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6월\□지분증권기초자산\루메나(채동우)_2405\1. 당기평가\"/>
    </mc:Choice>
  </mc:AlternateContent>
  <bookViews>
    <workbookView xWindow="0" yWindow="0" windowWidth="28800" windowHeight="12285" tabRatio="771" activeTab="4"/>
  </bookViews>
  <sheets>
    <sheet name="COMPANY" sheetId="1" r:id="rId1"/>
    <sheet name="RATE" sheetId="2" r:id="rId2"/>
    <sheet name="BETA" sheetId="3" state="hidden" r:id="rId3"/>
    <sheet name="Bloomberg" sheetId="17" r:id="rId4"/>
    <sheet name="TABLE" sheetId="16" r:id="rId5"/>
    <sheet name="재무적정보" sheetId="11" state="hidden" r:id="rId6"/>
    <sheet name="WACC" sheetId="4" r:id="rId7"/>
    <sheet name="감가상각추정" sheetId="6" r:id="rId8"/>
    <sheet name="비용추정" sheetId="5" r:id="rId9"/>
    <sheet name="IS추정" sheetId="8" r:id="rId10"/>
    <sheet name="NWC추정" sheetId="10" r:id="rId11"/>
    <sheet name="BS추정" sheetId="9" r:id="rId12"/>
    <sheet name="FCF추정" sheetId="7" r:id="rId13"/>
    <sheet name="성장률추정" sheetId="12" r:id="rId14"/>
    <sheet name="민감도" sheetId="24" r:id="rId15"/>
    <sheet name="보고서(일반)" sheetId="18" r:id="rId16"/>
    <sheet name="평가요약시트" sheetId="22" r:id="rId17"/>
    <sheet name="Settings" sheetId="23" r:id="rId18"/>
  </sheets>
  <definedNames>
    <definedName name="BS_tbl1_rows">Settings!$E$2</definedName>
    <definedName name="BS_tbl2_rows">Settings!$E$3</definedName>
    <definedName name="Cost_tbl1_rows">Settings!$E$4</definedName>
    <definedName name="Cost_tbl2_rows">Settings!$E$5</definedName>
    <definedName name="Depr_tbl1_rows">Settings!$E$6</definedName>
    <definedName name="Depr_tbl2_rows">Settings!$E$7</definedName>
    <definedName name="Depr_tbl3_rows">Settings!$E$8</definedName>
    <definedName name="FCF_tbl1_rows">Settings!$E$9</definedName>
    <definedName name="FCF_tbl2_rows">Settings!$E$10</definedName>
    <definedName name="FCF_tbl3_rows">Settings!$E$11</definedName>
    <definedName name="IS_tbl1_rows">Settings!$E$12</definedName>
    <definedName name="IS_tbl2_rows">Settings!$E$13</definedName>
    <definedName name="NWC_tbl1_rows">Settings!$E$14</definedName>
    <definedName name="NWC_tbl2_rows">Settings!$E$15</definedName>
    <definedName name="_xlnm.Print_Titles">#N/A</definedName>
    <definedName name="WACC_tbl1_rows">Settings!$E$16</definedName>
    <definedName name="WACC_tbl2_rows">Settings!$E$17</definedName>
    <definedName name="보고서연도설정">Settings!$E$30</definedName>
    <definedName name="보고서파일명">Settings!$E$29</definedName>
    <definedName name="영구g">민감도!$B$9</definedName>
    <definedName name="저장파일명">COMPANY!$G$14</definedName>
    <definedName name="평가값">민감도!$B$7</definedName>
    <definedName name="평가기준일">COMPANY!$G$2</definedName>
    <definedName name="평가회사명">Settings!$E$28</definedName>
    <definedName name="표_1">'보고서(일반)'!$B$4</definedName>
    <definedName name="표_10">'보고서(일반)'!$J$14</definedName>
    <definedName name="표_11">'보고서(일반)'!$J$25</definedName>
    <definedName name="표_12">'보고서(일반)'!$J$42</definedName>
    <definedName name="표_13">'보고서(일반)'!$J$47</definedName>
    <definedName name="표_14">'보고서(일반)'!$J$54</definedName>
    <definedName name="표_15">'보고서(일반)'!$R$4</definedName>
    <definedName name="표_16">'보고서(일반)'!$R$15</definedName>
    <definedName name="표_17">'보고서(일반)'!$U$4</definedName>
    <definedName name="표_18">'보고서(일반)'!$X$22</definedName>
    <definedName name="표_19">'보고서(일반)'!$AC$4</definedName>
    <definedName name="표_2">'보고서(일반)'!$B$8</definedName>
    <definedName name="표_20">'보고서(일반)'!$AC$30</definedName>
    <definedName name="표_21">'보고서(일반)'!$AC$42</definedName>
    <definedName name="표_3">'보고서(일반)'!$D$16</definedName>
    <definedName name="표_4">'보고서(일반)'!$B$25</definedName>
    <definedName name="표_5">'보고서(일반)'!$B$29</definedName>
    <definedName name="표_6">'보고서(일반)'!$B$32</definedName>
    <definedName name="표_7">'보고서(일반)'!$B$41</definedName>
    <definedName name="표_8">'보고서(일반)'!$J$4</definedName>
    <definedName name="표_9">'보고서(일반)'!$J$9</definedName>
  </definedNames>
  <calcPr calcId="162913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5" l="1"/>
  <c r="I2" i="5"/>
  <c r="B81" i="24"/>
  <c r="B80" i="24"/>
  <c r="B79" i="24"/>
  <c r="B78" i="24"/>
  <c r="B76" i="24"/>
  <c r="B75" i="24"/>
  <c r="B74" i="24"/>
  <c r="AA5" i="17" l="1"/>
  <c r="U8" i="17" l="1"/>
  <c r="X7" i="17"/>
  <c r="AI7" i="17"/>
  <c r="AJ7" i="17"/>
  <c r="AK7" i="17"/>
  <c r="AL7" i="17"/>
  <c r="AM7" i="17"/>
  <c r="AA7" i="17"/>
  <c r="AB7" i="17"/>
  <c r="AC7" i="17"/>
  <c r="AD7" i="17"/>
  <c r="AE7" i="17"/>
  <c r="AF7" i="17"/>
  <c r="AG7" i="17"/>
  <c r="AH7" i="17"/>
  <c r="W7" i="17"/>
  <c r="V7" i="17"/>
  <c r="Z7" i="17"/>
  <c r="Y7" i="17"/>
  <c r="E54" i="23"/>
  <c r="AC8" i="17"/>
  <c r="V8" i="17"/>
  <c r="I59" i="22" l="1"/>
  <c r="H59" i="22"/>
  <c r="G59" i="22"/>
  <c r="F59" i="22"/>
  <c r="E59" i="22"/>
  <c r="E63" i="23"/>
  <c r="E70" i="23"/>
  <c r="E69" i="23"/>
  <c r="E68" i="23"/>
  <c r="E66" i="23"/>
  <c r="E59" i="23"/>
  <c r="E58" i="23"/>
  <c r="E57" i="23"/>
  <c r="E53" i="23"/>
  <c r="S4" i="17"/>
  <c r="AL12" i="18"/>
  <c r="D8" i="17"/>
  <c r="Z8" i="17"/>
  <c r="AJ8" i="17"/>
  <c r="L8" i="17"/>
  <c r="S8" i="17"/>
  <c r="E8" i="17"/>
  <c r="AK8" i="17"/>
  <c r="AB8" i="17"/>
  <c r="X8" i="17"/>
  <c r="AG8" i="17"/>
  <c r="AE8" i="17"/>
  <c r="G8" i="17"/>
  <c r="AL8" i="17"/>
  <c r="J8" i="17"/>
  <c r="M8" i="17"/>
  <c r="AI8" i="17"/>
  <c r="AF8" i="17"/>
  <c r="I8" i="17"/>
  <c r="AM8" i="17"/>
  <c r="C8" i="17"/>
  <c r="AH8" i="17"/>
  <c r="K8" i="17"/>
  <c r="W8" i="17"/>
  <c r="T8" i="17"/>
  <c r="AD8" i="17"/>
  <c r="Y8" i="17"/>
  <c r="F8" i="17"/>
  <c r="H8" i="17"/>
  <c r="AA8" i="17"/>
  <c r="K19" i="7" l="1"/>
  <c r="K17" i="7"/>
  <c r="K16" i="7"/>
  <c r="E28" i="23" l="1"/>
  <c r="AR16" i="18"/>
  <c r="AR8" i="18"/>
  <c r="AR9" i="18"/>
  <c r="AR4" i="18"/>
  <c r="AR7" i="18"/>
  <c r="AR21" i="18"/>
  <c r="AR10" i="18"/>
  <c r="AR20" i="18"/>
  <c r="AR12" i="18"/>
  <c r="AR15" i="18"/>
  <c r="AR22" i="18"/>
  <c r="AR19" i="18"/>
  <c r="AR24" i="18"/>
  <c r="AR17" i="18"/>
  <c r="AR5" i="18"/>
  <c r="AR11" i="18"/>
  <c r="AR6" i="18"/>
  <c r="AR13" i="18"/>
  <c r="AR23" i="18"/>
  <c r="AR14" i="18"/>
  <c r="AR18" i="18"/>
  <c r="E52" i="23" l="1"/>
  <c r="B2" i="22"/>
  <c r="F86" i="22"/>
  <c r="E46" i="24" l="1"/>
  <c r="D46" i="24"/>
  <c r="C46" i="24"/>
  <c r="M59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S14" i="7" l="1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U36" i="8"/>
  <c r="T36" i="8"/>
  <c r="S36" i="8"/>
  <c r="U35" i="8"/>
  <c r="T35" i="8"/>
  <c r="S35" i="8"/>
  <c r="U34" i="8"/>
  <c r="T34" i="8"/>
  <c r="S34" i="8"/>
  <c r="U33" i="8"/>
  <c r="T33" i="8"/>
  <c r="S33" i="8"/>
  <c r="U32" i="8"/>
  <c r="T32" i="8"/>
  <c r="S32" i="8"/>
  <c r="R36" i="8"/>
  <c r="R35" i="8"/>
  <c r="R34" i="8"/>
  <c r="R32" i="8"/>
  <c r="R33" i="8"/>
  <c r="B11" i="24" l="1"/>
  <c r="F2" i="24" l="1"/>
  <c r="AA43" i="18" s="1"/>
  <c r="F3" i="24"/>
  <c r="AA44" i="18" s="1"/>
  <c r="F4" i="24"/>
  <c r="AA45" i="18" s="1"/>
  <c r="M4" i="7"/>
  <c r="E19" i="24"/>
  <c r="C19" i="24" l="1"/>
  <c r="D19" i="24"/>
  <c r="A52" i="7" l="1"/>
  <c r="A28" i="7"/>
  <c r="A1" i="7"/>
  <c r="B73" i="24" s="1"/>
  <c r="A41" i="9"/>
  <c r="A1" i="9"/>
  <c r="A45" i="10"/>
  <c r="A1" i="10"/>
  <c r="A46" i="8"/>
  <c r="A1" i="8"/>
  <c r="A73" i="5"/>
  <c r="A1" i="5"/>
  <c r="A31" i="6"/>
  <c r="A21" i="6"/>
  <c r="A1" i="6"/>
  <c r="E12" i="23"/>
  <c r="E15" i="23"/>
  <c r="E4" i="23"/>
  <c r="E13" i="23"/>
  <c r="E11" i="23"/>
  <c r="E3" i="23"/>
  <c r="E14" i="23"/>
  <c r="E25" i="23"/>
  <c r="E5" i="23"/>
  <c r="E17" i="23"/>
  <c r="E9" i="23"/>
  <c r="E2" i="23"/>
  <c r="E7" i="23"/>
  <c r="E10" i="23"/>
  <c r="E16" i="23"/>
  <c r="E8" i="23"/>
  <c r="E6" i="23"/>
  <c r="B15" i="24" l="1"/>
  <c r="AF5" i="17"/>
  <c r="E27" i="18" l="1"/>
  <c r="K4" i="17" l="1"/>
  <c r="AL11" i="18" l="1"/>
  <c r="AL10" i="18"/>
  <c r="AL5" i="18"/>
  <c r="AL9" i="18" l="1"/>
  <c r="E46" i="18" l="1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C30" i="18"/>
  <c r="C29" i="18"/>
  <c r="C27" i="18"/>
  <c r="E26" i="18"/>
  <c r="C26" i="18"/>
  <c r="E25" i="18"/>
  <c r="C25" i="18"/>
  <c r="E5" i="18"/>
  <c r="C4" i="18"/>
  <c r="B13" i="18"/>
  <c r="B12" i="18"/>
  <c r="B11" i="18"/>
  <c r="B10" i="18"/>
  <c r="B9" i="18"/>
  <c r="G48" i="10" l="1"/>
  <c r="F48" i="10"/>
  <c r="F8" i="22" l="1"/>
  <c r="G8" i="22"/>
  <c r="H8" i="22"/>
  <c r="I8" i="22"/>
  <c r="E8" i="22"/>
  <c r="L60" i="18"/>
  <c r="L4" i="17" l="1"/>
  <c r="AO4" i="18" l="1" a="1"/>
  <c r="AO4" i="18" s="1"/>
  <c r="AO11" i="18" l="1"/>
  <c r="U12" i="18" s="1"/>
  <c r="W12" i="18" s="1"/>
  <c r="AO10" i="18"/>
  <c r="U11" i="18" s="1"/>
  <c r="W11" i="18" s="1"/>
  <c r="AO17" i="18"/>
  <c r="U18" i="18" s="1"/>
  <c r="Y18" i="18" s="1"/>
  <c r="AO8" i="18"/>
  <c r="U9" i="18" s="1"/>
  <c r="V9" i="18" s="1"/>
  <c r="AO15" i="18"/>
  <c r="U16" i="18" s="1"/>
  <c r="V16" i="18" s="1"/>
  <c r="AO6" i="18"/>
  <c r="U7" i="18" s="1"/>
  <c r="AO13" i="18"/>
  <c r="U14" i="18" s="1"/>
  <c r="V14" i="18" s="1"/>
  <c r="AO5" i="18"/>
  <c r="U6" i="18" s="1"/>
  <c r="V6" i="18" s="1"/>
  <c r="AO18" i="18"/>
  <c r="U19" i="18" s="1"/>
  <c r="W19" i="18" s="1"/>
  <c r="AO9" i="18"/>
  <c r="U10" i="18" s="1"/>
  <c r="AO16" i="18"/>
  <c r="U17" i="18" s="1"/>
  <c r="V17" i="18" s="1"/>
  <c r="AO7" i="18"/>
  <c r="U8" i="18" s="1"/>
  <c r="V8" i="18" s="1"/>
  <c r="AO14" i="18"/>
  <c r="U15" i="18" s="1"/>
  <c r="X15" i="18" s="1"/>
  <c r="AO12" i="18"/>
  <c r="U13" i="18" s="1"/>
  <c r="V13" i="18" s="1"/>
  <c r="U5" i="18"/>
  <c r="V12" i="18" l="1"/>
  <c r="W9" i="18"/>
  <c r="V11" i="18"/>
  <c r="X12" i="18"/>
  <c r="W18" i="18"/>
  <c r="X17" i="18"/>
  <c r="X11" i="18"/>
  <c r="X6" i="18"/>
  <c r="X18" i="18"/>
  <c r="Y19" i="18"/>
  <c r="W15" i="18"/>
  <c r="V19" i="18"/>
  <c r="X19" i="18"/>
  <c r="X10" i="18"/>
  <c r="W13" i="18"/>
  <c r="W8" i="18"/>
  <c r="W17" i="18"/>
  <c r="X14" i="18"/>
  <c r="X8" i="18"/>
  <c r="X7" i="18"/>
  <c r="X13" i="18"/>
  <c r="W6" i="18"/>
  <c r="Y17" i="18"/>
  <c r="V7" i="18"/>
  <c r="V10" i="18"/>
  <c r="X9" i="18"/>
  <c r="W16" i="18"/>
  <c r="V18" i="18"/>
  <c r="W10" i="18"/>
  <c r="V15" i="18"/>
  <c r="X16" i="18"/>
  <c r="W14" i="18"/>
  <c r="W7" i="18"/>
  <c r="N28" i="12" l="1"/>
  <c r="I32" i="6" l="1"/>
  <c r="O31" i="6"/>
  <c r="N31" i="6"/>
  <c r="M31" i="6"/>
  <c r="L31" i="6"/>
  <c r="K31" i="6"/>
  <c r="J31" i="6"/>
  <c r="I31" i="6"/>
  <c r="D45" i="22" l="1"/>
  <c r="E6" i="22"/>
  <c r="F6" i="22"/>
  <c r="G6" i="22"/>
  <c r="H6" i="22"/>
  <c r="I6" i="22"/>
  <c r="E15" i="22"/>
  <c r="E16" i="22"/>
  <c r="E17" i="22"/>
  <c r="E12" i="22"/>
  <c r="E13" i="22"/>
  <c r="E14" i="22"/>
  <c r="E86" i="22" l="1"/>
  <c r="E88" i="22"/>
  <c r="E90" i="22"/>
  <c r="E91" i="22"/>
  <c r="E93" i="22"/>
  <c r="E94" i="22"/>
  <c r="E75" i="22"/>
  <c r="F75" i="22"/>
  <c r="G75" i="22"/>
  <c r="H75" i="22"/>
  <c r="I75" i="22"/>
  <c r="E79" i="22"/>
  <c r="F79" i="22"/>
  <c r="G79" i="22"/>
  <c r="H79" i="22"/>
  <c r="I79" i="22"/>
  <c r="E80" i="22"/>
  <c r="F80" i="22"/>
  <c r="G80" i="22"/>
  <c r="H80" i="22"/>
  <c r="I80" i="22"/>
  <c r="E81" i="22"/>
  <c r="F81" i="22"/>
  <c r="G81" i="22"/>
  <c r="H81" i="22"/>
  <c r="I81" i="22"/>
  <c r="E48" i="10" l="1"/>
  <c r="H48" i="10"/>
  <c r="J32" i="12" l="1"/>
  <c r="J33" i="12"/>
  <c r="X29" i="18" l="1"/>
  <c r="X26" i="18"/>
  <c r="E52" i="22" s="1"/>
  <c r="O13" i="8"/>
  <c r="N13" i="8"/>
  <c r="M13" i="8"/>
  <c r="L13" i="8"/>
  <c r="K13" i="8"/>
  <c r="J13" i="8"/>
  <c r="O14" i="9"/>
  <c r="N14" i="9"/>
  <c r="M14" i="9"/>
  <c r="L14" i="9"/>
  <c r="K14" i="9"/>
  <c r="J14" i="9"/>
  <c r="O12" i="10"/>
  <c r="N12" i="10"/>
  <c r="M12" i="10"/>
  <c r="L12" i="10"/>
  <c r="K12" i="10"/>
  <c r="J12" i="10"/>
  <c r="H53" i="8"/>
  <c r="G53" i="8"/>
  <c r="F53" i="8"/>
  <c r="E53" i="8"/>
  <c r="H52" i="8"/>
  <c r="G52" i="8"/>
  <c r="F52" i="8"/>
  <c r="E52" i="8"/>
  <c r="AA1" i="18"/>
  <c r="AC1" i="18"/>
  <c r="AD1" i="18"/>
  <c r="AE1" i="18"/>
  <c r="AF1" i="18"/>
  <c r="AG1" i="18"/>
  <c r="N54" i="18"/>
  <c r="M54" i="18"/>
  <c r="L54" i="18"/>
  <c r="K54" i="18"/>
  <c r="J54" i="18"/>
  <c r="N47" i="18"/>
  <c r="M47" i="18"/>
  <c r="L47" i="18"/>
  <c r="K47" i="18"/>
  <c r="J47" i="18"/>
  <c r="N42" i="18"/>
  <c r="M42" i="18"/>
  <c r="L42" i="18"/>
  <c r="K42" i="18"/>
  <c r="J42" i="18"/>
  <c r="N25" i="18"/>
  <c r="M25" i="18"/>
  <c r="L25" i="18"/>
  <c r="K25" i="18"/>
  <c r="J25" i="18"/>
  <c r="N14" i="18"/>
  <c r="M14" i="18"/>
  <c r="L14" i="18"/>
  <c r="K14" i="18"/>
  <c r="J14" i="18"/>
  <c r="N9" i="18"/>
  <c r="M9" i="18"/>
  <c r="L9" i="18"/>
  <c r="K9" i="18"/>
  <c r="J9" i="18"/>
  <c r="N4" i="18"/>
  <c r="M4" i="18"/>
  <c r="L4" i="18"/>
  <c r="K4" i="18"/>
  <c r="J4" i="18"/>
  <c r="E55" i="22" l="1"/>
  <c r="AC2" i="18"/>
  <c r="J52" i="18" s="1"/>
  <c r="D30" i="22"/>
  <c r="AD2" i="18"/>
  <c r="K18" i="18" s="1"/>
  <c r="K35" i="18" s="1"/>
  <c r="AD12" i="18" s="1"/>
  <c r="F67" i="22" s="1"/>
  <c r="AE2" i="18"/>
  <c r="L52" i="18" s="1"/>
  <c r="AF2" i="18"/>
  <c r="M52" i="18" s="1"/>
  <c r="AG2" i="18"/>
  <c r="N52" i="18" s="1"/>
  <c r="F44" i="22"/>
  <c r="D44" i="22"/>
  <c r="D37" i="22"/>
  <c r="E38" i="22"/>
  <c r="D38" i="22"/>
  <c r="E31" i="22"/>
  <c r="D31" i="22"/>
  <c r="D39" i="22"/>
  <c r="D36" i="22"/>
  <c r="D32" i="22"/>
  <c r="F40" i="22"/>
  <c r="D40" i="22"/>
  <c r="G33" i="22"/>
  <c r="D33" i="22"/>
  <c r="E41" i="22"/>
  <c r="D41" i="22"/>
  <c r="F34" i="22"/>
  <c r="D34" i="22"/>
  <c r="H42" i="22"/>
  <c r="D42" i="22"/>
  <c r="E35" i="22"/>
  <c r="D35" i="22"/>
  <c r="H43" i="22"/>
  <c r="D43" i="22"/>
  <c r="F41" i="22"/>
  <c r="G41" i="22"/>
  <c r="G35" i="22"/>
  <c r="F35" i="22"/>
  <c r="F38" i="22"/>
  <c r="E42" i="22"/>
  <c r="G34" i="22"/>
  <c r="E43" i="22"/>
  <c r="F33" i="22"/>
  <c r="E39" i="22"/>
  <c r="F43" i="22"/>
  <c r="G38" i="22"/>
  <c r="G31" i="22"/>
  <c r="G40" i="22"/>
  <c r="F31" i="22"/>
  <c r="E32" i="22"/>
  <c r="E37" i="22"/>
  <c r="F39" i="22"/>
  <c r="G42" i="22"/>
  <c r="G44" i="22"/>
  <c r="F32" i="22"/>
  <c r="G37" i="22"/>
  <c r="H44" i="22"/>
  <c r="E33" i="22"/>
  <c r="F37" i="22"/>
  <c r="F42" i="22"/>
  <c r="E36" i="22"/>
  <c r="G32" i="22"/>
  <c r="E34" i="22"/>
  <c r="F36" i="22"/>
  <c r="G39" i="22"/>
  <c r="E40" i="22"/>
  <c r="G43" i="22"/>
  <c r="E44" i="22"/>
  <c r="G36" i="22"/>
  <c r="E65" i="23" l="1"/>
  <c r="AC21" i="18"/>
  <c r="E76" i="22" s="1"/>
  <c r="J20" i="18"/>
  <c r="J37" i="18" s="1"/>
  <c r="AC14" i="18" s="1"/>
  <c r="E69" i="22" s="1"/>
  <c r="J18" i="18"/>
  <c r="J35" i="18" s="1"/>
  <c r="AC12" i="18" s="1"/>
  <c r="E67" i="22" s="1"/>
  <c r="J15" i="18"/>
  <c r="J32" i="18" s="1"/>
  <c r="AC9" i="18" s="1"/>
  <c r="E64" i="22" s="1"/>
  <c r="J50" i="18"/>
  <c r="J19" i="18"/>
  <c r="J36" i="18" s="1"/>
  <c r="AC13" i="18" s="1"/>
  <c r="E68" i="22" s="1"/>
  <c r="J51" i="18"/>
  <c r="J17" i="18"/>
  <c r="J34" i="18" s="1"/>
  <c r="AC11" i="18" s="1"/>
  <c r="E66" i="22" s="1"/>
  <c r="J16" i="18"/>
  <c r="J33" i="18" s="1"/>
  <c r="AC10" i="18" s="1"/>
  <c r="E65" i="22" s="1"/>
  <c r="J49" i="18"/>
  <c r="J5" i="18"/>
  <c r="J21" i="18"/>
  <c r="J38" i="18" s="1"/>
  <c r="J10" i="18"/>
  <c r="J11" i="18" s="1"/>
  <c r="J48" i="18"/>
  <c r="K48" i="18"/>
  <c r="K15" i="18"/>
  <c r="K32" i="18" s="1"/>
  <c r="AD9" i="18" s="1"/>
  <c r="F64" i="22" s="1"/>
  <c r="AC19" i="18"/>
  <c r="K49" i="18"/>
  <c r="K51" i="18"/>
  <c r="K19" i="18"/>
  <c r="K36" i="18" s="1"/>
  <c r="AD13" i="18" s="1"/>
  <c r="F68" i="22" s="1"/>
  <c r="K52" i="18"/>
  <c r="K20" i="18"/>
  <c r="K37" i="18" s="1"/>
  <c r="AD14" i="18" s="1"/>
  <c r="F69" i="22" s="1"/>
  <c r="K50" i="18"/>
  <c r="K17" i="18"/>
  <c r="K34" i="18" s="1"/>
  <c r="AD11" i="18" s="1"/>
  <c r="F66" i="22" s="1"/>
  <c r="K16" i="18"/>
  <c r="K33" i="18" s="1"/>
  <c r="AD10" i="18" s="1"/>
  <c r="F65" i="22" s="1"/>
  <c r="K5" i="18"/>
  <c r="K6" i="18" s="1"/>
  <c r="K10" i="18"/>
  <c r="K11" i="18" s="1"/>
  <c r="L50" i="18"/>
  <c r="AE19" i="18"/>
  <c r="K21" i="18"/>
  <c r="K38" i="18" s="1"/>
  <c r="AD19" i="18"/>
  <c r="AG19" i="18"/>
  <c r="AF19" i="18"/>
  <c r="N15" i="18"/>
  <c r="N22" i="18" s="1"/>
  <c r="M10" i="18"/>
  <c r="M11" i="18" s="1"/>
  <c r="N10" i="18"/>
  <c r="N28" i="18" s="1"/>
  <c r="L21" i="18"/>
  <c r="L38" i="18" s="1"/>
  <c r="L19" i="18"/>
  <c r="L36" i="18" s="1"/>
  <c r="AE13" i="18" s="1"/>
  <c r="G68" i="22" s="1"/>
  <c r="L17" i="18"/>
  <c r="L34" i="18" s="1"/>
  <c r="AE11" i="18" s="1"/>
  <c r="G66" i="22" s="1"/>
  <c r="M21" i="18"/>
  <c r="M38" i="18" s="1"/>
  <c r="L48" i="18"/>
  <c r="L20" i="18"/>
  <c r="L37" i="18" s="1"/>
  <c r="AE14" i="18" s="1"/>
  <c r="G69" i="22" s="1"/>
  <c r="L51" i="18"/>
  <c r="L15" i="18"/>
  <c r="L22" i="18" s="1"/>
  <c r="L5" i="18"/>
  <c r="L26" i="18" s="1"/>
  <c r="L16" i="18"/>
  <c r="L33" i="18" s="1"/>
  <c r="AE10" i="18" s="1"/>
  <c r="G65" i="22" s="1"/>
  <c r="L18" i="18"/>
  <c r="L35" i="18" s="1"/>
  <c r="AE12" i="18" s="1"/>
  <c r="G67" i="22" s="1"/>
  <c r="L10" i="18"/>
  <c r="L28" i="18" s="1"/>
  <c r="L49" i="18"/>
  <c r="AE21" i="18"/>
  <c r="G76" i="22" s="1"/>
  <c r="N19" i="18"/>
  <c r="N36" i="18" s="1"/>
  <c r="AG13" i="18" s="1"/>
  <c r="I68" i="22" s="1"/>
  <c r="N51" i="18"/>
  <c r="AG21" i="18"/>
  <c r="I76" i="22" s="1"/>
  <c r="N16" i="18"/>
  <c r="N33" i="18" s="1"/>
  <c r="AG10" i="18" s="1"/>
  <c r="I65" i="22" s="1"/>
  <c r="N5" i="18"/>
  <c r="N26" i="18" s="1"/>
  <c r="N48" i="18"/>
  <c r="N49" i="18"/>
  <c r="N21" i="18"/>
  <c r="N38" i="18" s="1"/>
  <c r="N18" i="18"/>
  <c r="N35" i="18" s="1"/>
  <c r="AG12" i="18" s="1"/>
  <c r="I67" i="22" s="1"/>
  <c r="N17" i="18"/>
  <c r="N34" i="18" s="1"/>
  <c r="AG11" i="18" s="1"/>
  <c r="I66" i="22" s="1"/>
  <c r="N20" i="18"/>
  <c r="N37" i="18" s="1"/>
  <c r="AG14" i="18" s="1"/>
  <c r="I69" i="22" s="1"/>
  <c r="N50" i="18"/>
  <c r="M51" i="18"/>
  <c r="M20" i="18"/>
  <c r="M37" i="18" s="1"/>
  <c r="AF14" i="18" s="1"/>
  <c r="H69" i="22" s="1"/>
  <c r="M18" i="18"/>
  <c r="M35" i="18" s="1"/>
  <c r="AF12" i="18" s="1"/>
  <c r="H67" i="22" s="1"/>
  <c r="M17" i="18"/>
  <c r="M34" i="18" s="1"/>
  <c r="AF11" i="18" s="1"/>
  <c r="H66" i="22" s="1"/>
  <c r="M48" i="18"/>
  <c r="AF21" i="18"/>
  <c r="H76" i="22" s="1"/>
  <c r="M19" i="18"/>
  <c r="M36" i="18" s="1"/>
  <c r="AF13" i="18" s="1"/>
  <c r="H68" i="22" s="1"/>
  <c r="M50" i="18"/>
  <c r="M5" i="18"/>
  <c r="AF5" i="18" s="1"/>
  <c r="M49" i="18"/>
  <c r="M15" i="18"/>
  <c r="M22" i="18" s="1"/>
  <c r="M16" i="18"/>
  <c r="M33" i="18" s="1"/>
  <c r="AF10" i="18" s="1"/>
  <c r="H65" i="22" s="1"/>
  <c r="E64" i="23" l="1"/>
  <c r="J26" i="18"/>
  <c r="E60" i="23"/>
  <c r="AD21" i="18"/>
  <c r="F76" i="22" s="1"/>
  <c r="I74" i="22"/>
  <c r="F74" i="22"/>
  <c r="H60" i="22"/>
  <c r="G74" i="22"/>
  <c r="H74" i="22"/>
  <c r="E74" i="22"/>
  <c r="J22" i="18"/>
  <c r="J31" i="18" s="1"/>
  <c r="AC8" i="18" s="1"/>
  <c r="E63" i="22" s="1"/>
  <c r="AC6" i="18"/>
  <c r="J28" i="18"/>
  <c r="J6" i="18"/>
  <c r="AC5" i="18"/>
  <c r="K22" i="18"/>
  <c r="K23" i="18" s="1"/>
  <c r="AC18" i="18"/>
  <c r="E73" i="22" s="1"/>
  <c r="K26" i="18"/>
  <c r="K28" i="18"/>
  <c r="AD6" i="18"/>
  <c r="AD5" i="18"/>
  <c r="M28" i="18"/>
  <c r="AF6" i="18"/>
  <c r="N11" i="18"/>
  <c r="N32" i="18"/>
  <c r="AG9" i="18" s="1"/>
  <c r="I64" i="22" s="1"/>
  <c r="L32" i="18"/>
  <c r="AE9" i="18" s="1"/>
  <c r="G64" i="22" s="1"/>
  <c r="L6" i="18"/>
  <c r="L23" i="18" s="1"/>
  <c r="AE5" i="18"/>
  <c r="AG6" i="18"/>
  <c r="M26" i="18"/>
  <c r="N6" i="18"/>
  <c r="AE18" i="18"/>
  <c r="G73" i="22" s="1"/>
  <c r="AE6" i="18"/>
  <c r="AG18" i="18"/>
  <c r="I73" i="22" s="1"/>
  <c r="AG5" i="18"/>
  <c r="L11" i="18"/>
  <c r="M32" i="18"/>
  <c r="AF9" i="18" s="1"/>
  <c r="H64" i="22" s="1"/>
  <c r="M6" i="18"/>
  <c r="M12" i="18" s="1"/>
  <c r="M29" i="18" s="1"/>
  <c r="AF18" i="18"/>
  <c r="H73" i="22" s="1"/>
  <c r="L31" i="18"/>
  <c r="AE8" i="18" s="1"/>
  <c r="G63" i="22" s="1"/>
  <c r="M31" i="18"/>
  <c r="AF8" i="18" s="1"/>
  <c r="H63" i="22" s="1"/>
  <c r="J7" i="18"/>
  <c r="N31" i="18"/>
  <c r="AG8" i="18" s="1"/>
  <c r="I63" i="22" s="1"/>
  <c r="L30" i="18"/>
  <c r="N30" i="18"/>
  <c r="K12" i="18"/>
  <c r="K29" i="18" s="1"/>
  <c r="J30" i="18" l="1"/>
  <c r="J39" i="18" s="1"/>
  <c r="E61" i="23"/>
  <c r="AD18" i="18"/>
  <c r="F73" i="22" s="1"/>
  <c r="E61" i="22"/>
  <c r="F61" i="22"/>
  <c r="F60" i="22"/>
  <c r="G60" i="22"/>
  <c r="I60" i="22"/>
  <c r="H61" i="22"/>
  <c r="E60" i="22"/>
  <c r="G61" i="22"/>
  <c r="I61" i="22"/>
  <c r="J23" i="18"/>
  <c r="J12" i="18"/>
  <c r="J29" i="18" s="1"/>
  <c r="AC7" i="18"/>
  <c r="E62" i="22" s="1"/>
  <c r="K7" i="18"/>
  <c r="K27" i="18" s="1"/>
  <c r="K31" i="18"/>
  <c r="AD8" i="18" s="1"/>
  <c r="F63" i="22" s="1"/>
  <c r="K30" i="18"/>
  <c r="AD7" i="18"/>
  <c r="F62" i="22" s="1"/>
  <c r="AF7" i="18"/>
  <c r="H62" i="22" s="1"/>
  <c r="M30" i="18"/>
  <c r="M39" i="18" s="1"/>
  <c r="M43" i="18" s="1"/>
  <c r="M44" i="18" s="1"/>
  <c r="AF16" i="18" s="1"/>
  <c r="H71" i="22" s="1"/>
  <c r="N12" i="18"/>
  <c r="N29" i="18" s="1"/>
  <c r="L7" i="18"/>
  <c r="L27" i="18" s="1"/>
  <c r="N23" i="18"/>
  <c r="L12" i="18"/>
  <c r="L29" i="18" s="1"/>
  <c r="AE7" i="18"/>
  <c r="G62" i="22" s="1"/>
  <c r="AG7" i="18"/>
  <c r="I62" i="22" s="1"/>
  <c r="M7" i="18"/>
  <c r="M27" i="18" s="1"/>
  <c r="N7" i="18"/>
  <c r="N27" i="18" s="1"/>
  <c r="M23" i="18"/>
  <c r="N39" i="18"/>
  <c r="AG15" i="18" s="1"/>
  <c r="L39" i="18"/>
  <c r="L43" i="18" s="1"/>
  <c r="L44" i="18" s="1"/>
  <c r="AE16" i="18" s="1"/>
  <c r="G71" i="22" s="1"/>
  <c r="K39" i="18" l="1"/>
  <c r="K40" i="18" s="1"/>
  <c r="AF15" i="18"/>
  <c r="AF17" i="18" s="1"/>
  <c r="M40" i="18"/>
  <c r="I70" i="22"/>
  <c r="N40" i="18"/>
  <c r="N43" i="18"/>
  <c r="N44" i="18" s="1"/>
  <c r="AG16" i="18" s="1"/>
  <c r="I71" i="22" s="1"/>
  <c r="AE15" i="18"/>
  <c r="L40" i="18"/>
  <c r="AC15" i="18"/>
  <c r="J43" i="18"/>
  <c r="J44" i="18" s="1"/>
  <c r="J40" i="18"/>
  <c r="AC16" i="18" l="1"/>
  <c r="E71" i="22" s="1"/>
  <c r="E62" i="23"/>
  <c r="K43" i="18"/>
  <c r="K44" i="18" s="1"/>
  <c r="AD16" i="18" s="1"/>
  <c r="F71" i="22" s="1"/>
  <c r="AD15" i="18"/>
  <c r="F70" i="22" s="1"/>
  <c r="AG17" i="18"/>
  <c r="AG22" i="18" s="1"/>
  <c r="H70" i="22"/>
  <c r="AE17" i="18"/>
  <c r="G70" i="22"/>
  <c r="E70" i="22"/>
  <c r="AF22" i="18"/>
  <c r="H72" i="22"/>
  <c r="AC17" i="18" l="1"/>
  <c r="AC22" i="18" s="1"/>
  <c r="AD17" i="18"/>
  <c r="F72" i="22" s="1"/>
  <c r="I72" i="22"/>
  <c r="AG28" i="18"/>
  <c r="I82" i="22" s="1"/>
  <c r="I77" i="22"/>
  <c r="AF28" i="18"/>
  <c r="H82" i="22" s="1"/>
  <c r="H77" i="22"/>
  <c r="AE22" i="18"/>
  <c r="G72" i="22"/>
  <c r="E72" i="22" l="1"/>
  <c r="AD22" i="18"/>
  <c r="AD28" i="18" s="1"/>
  <c r="F82" i="22" s="1"/>
  <c r="AC28" i="18"/>
  <c r="E82" i="22" s="1"/>
  <c r="E77" i="22"/>
  <c r="AE28" i="18"/>
  <c r="G82" i="22" s="1"/>
  <c r="G77" i="22"/>
  <c r="F77" i="22" l="1"/>
  <c r="AC30" i="18"/>
  <c r="AC32" i="18" l="1"/>
  <c r="E85" i="22"/>
  <c r="N6" i="4"/>
  <c r="O6" i="4"/>
  <c r="P6" i="4"/>
  <c r="Q6" i="4"/>
  <c r="R6" i="4"/>
  <c r="S6" i="4"/>
  <c r="M6" i="4"/>
  <c r="AC34" i="18" l="1"/>
  <c r="E87" i="22"/>
  <c r="V5" i="18" l="1"/>
  <c r="W5" i="18"/>
  <c r="AC37" i="18"/>
  <c r="E92" i="22" s="1"/>
  <c r="E89" i="22"/>
  <c r="K6" i="17" l="1"/>
  <c r="E24" i="4" s="1"/>
  <c r="L6" i="17"/>
  <c r="Y10" i="18" l="1"/>
  <c r="H35" i="22" s="1"/>
  <c r="Y12" i="18"/>
  <c r="H37" i="22" s="1"/>
  <c r="Y14" i="18"/>
  <c r="H39" i="22" s="1"/>
  <c r="Y13" i="18"/>
  <c r="H38" i="22" s="1"/>
  <c r="Y16" i="18"/>
  <c r="H41" i="22" s="1"/>
  <c r="Y15" i="18"/>
  <c r="H40" i="22" s="1"/>
  <c r="Y11" i="18"/>
  <c r="H36" i="22" s="1"/>
  <c r="E26" i="4"/>
  <c r="Y6" i="18"/>
  <c r="H31" i="22" s="1"/>
  <c r="Y7" i="18"/>
  <c r="H32" i="22" s="1"/>
  <c r="Y9" i="18"/>
  <c r="H34" i="22" s="1"/>
  <c r="Y8" i="18"/>
  <c r="H33" i="22" s="1"/>
  <c r="V20" i="18"/>
  <c r="E45" i="22" s="1"/>
  <c r="E30" i="22"/>
  <c r="W20" i="18"/>
  <c r="F45" i="22" s="1"/>
  <c r="F30" i="22"/>
  <c r="F21" i="10"/>
  <c r="G21" i="10"/>
  <c r="H21" i="10"/>
  <c r="E21" i="10"/>
  <c r="F17" i="10"/>
  <c r="G17" i="10"/>
  <c r="H17" i="10"/>
  <c r="E17" i="10"/>
  <c r="E55" i="10"/>
  <c r="F55" i="10"/>
  <c r="G55" i="10"/>
  <c r="E23" i="4" l="1"/>
  <c r="E22" i="4"/>
  <c r="E36" i="4"/>
  <c r="E18" i="4"/>
  <c r="E14" i="4"/>
  <c r="E12" i="4"/>
  <c r="E5" i="4"/>
  <c r="E37" i="4" l="1"/>
  <c r="W59" i="4"/>
  <c r="X24" i="18"/>
  <c r="E50" i="22" s="1"/>
  <c r="X25" i="18"/>
  <c r="E51" i="22" s="1"/>
  <c r="E15" i="4"/>
  <c r="E21" i="4" s="1"/>
  <c r="E38" i="4"/>
  <c r="E19" i="4" l="1"/>
  <c r="AA36" i="5"/>
  <c r="Z36" i="5"/>
  <c r="Y36" i="5"/>
  <c r="X36" i="5"/>
  <c r="W36" i="5"/>
  <c r="V36" i="5"/>
  <c r="V32" i="5" s="1"/>
  <c r="W32" i="5" s="1"/>
  <c r="X32" i="5" s="1"/>
  <c r="Y32" i="5" s="1"/>
  <c r="Z32" i="5" s="1"/>
  <c r="AA32" i="5" s="1"/>
  <c r="AA35" i="5"/>
  <c r="AA31" i="5" s="1"/>
  <c r="Z35" i="5"/>
  <c r="Z31" i="5" s="1"/>
  <c r="Y35" i="5"/>
  <c r="Y31" i="5" s="1"/>
  <c r="X35" i="5"/>
  <c r="X31" i="5" s="1"/>
  <c r="W35" i="5"/>
  <c r="W31" i="5" s="1"/>
  <c r="V35" i="5"/>
  <c r="V31" i="5" s="1"/>
  <c r="M32" i="5" l="1"/>
  <c r="L32" i="5"/>
  <c r="J32" i="5"/>
  <c r="O32" i="5"/>
  <c r="K32" i="5"/>
  <c r="N32" i="5"/>
  <c r="O25" i="12"/>
  <c r="O23" i="12"/>
  <c r="N23" i="12"/>
  <c r="M23" i="12"/>
  <c r="L23" i="12"/>
  <c r="K23" i="12"/>
  <c r="O22" i="12"/>
  <c r="N22" i="12"/>
  <c r="M22" i="12"/>
  <c r="L22" i="12"/>
  <c r="K22" i="12"/>
  <c r="J22" i="7"/>
  <c r="I22" i="7"/>
  <c r="F27" i="24" s="1"/>
  <c r="H22" i="7"/>
  <c r="E27" i="24" s="1"/>
  <c r="F28" i="24" s="1"/>
  <c r="G22" i="7"/>
  <c r="D27" i="24" s="1"/>
  <c r="E28" i="24" s="1"/>
  <c r="F22" i="7"/>
  <c r="C27" i="24" s="1"/>
  <c r="D28" i="24" s="1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T9" i="6"/>
  <c r="S9" i="6"/>
  <c r="R9" i="6"/>
  <c r="I65" i="6"/>
  <c r="H65" i="6"/>
  <c r="G65" i="6"/>
  <c r="F65" i="6"/>
  <c r="E65" i="6"/>
  <c r="J64" i="6"/>
  <c r="J63" i="6"/>
  <c r="J62" i="6"/>
  <c r="F59" i="6"/>
  <c r="F58" i="6"/>
  <c r="F57" i="6"/>
  <c r="I53" i="6"/>
  <c r="H53" i="6"/>
  <c r="G53" i="6"/>
  <c r="F53" i="6"/>
  <c r="E53" i="6"/>
  <c r="J52" i="6"/>
  <c r="J51" i="6"/>
  <c r="J50" i="6"/>
  <c r="J49" i="6"/>
  <c r="J48" i="6"/>
  <c r="J47" i="6"/>
  <c r="J46" i="6"/>
  <c r="F43" i="6"/>
  <c r="F42" i="6"/>
  <c r="F41" i="6"/>
  <c r="F40" i="6"/>
  <c r="F39" i="6"/>
  <c r="F38" i="6"/>
  <c r="G2" i="1"/>
  <c r="E41" i="4"/>
  <c r="E71" i="23" a="1"/>
  <c r="E71" i="23" l="1"/>
  <c r="E72" i="23" s="1"/>
  <c r="AL7" i="18" s="1"/>
  <c r="J2" i="7"/>
  <c r="G27" i="24"/>
  <c r="G28" i="24"/>
  <c r="E29" i="23"/>
  <c r="G14" i="1"/>
  <c r="E27" i="23"/>
  <c r="O59" i="4"/>
  <c r="H2" i="7"/>
  <c r="I23" i="7"/>
  <c r="I2" i="7"/>
  <c r="J23" i="7"/>
  <c r="F2" i="7"/>
  <c r="G23" i="7"/>
  <c r="G2" i="7"/>
  <c r="H23" i="7"/>
  <c r="B6" i="24"/>
  <c r="C28" i="24" s="1"/>
  <c r="C5" i="18"/>
  <c r="AL4" i="18"/>
  <c r="D59" i="4"/>
  <c r="J65" i="6"/>
  <c r="K62" i="6" s="1"/>
  <c r="J53" i="6"/>
  <c r="L8" i="12"/>
  <c r="O24" i="12"/>
  <c r="I2" i="2"/>
  <c r="E22" i="7"/>
  <c r="F23" i="7" s="1"/>
  <c r="J54" i="6"/>
  <c r="K51" i="6" s="1"/>
  <c r="AL6" i="18" l="1"/>
  <c r="AL8" i="18" s="1"/>
  <c r="K50" i="6"/>
  <c r="L50" i="6" s="1"/>
  <c r="K49" i="6"/>
  <c r="L49" i="6" s="1"/>
  <c r="K63" i="6"/>
  <c r="L63" i="6" s="1"/>
  <c r="K48" i="6"/>
  <c r="M48" i="6" s="1"/>
  <c r="K64" i="6"/>
  <c r="L64" i="6" s="1"/>
  <c r="L51" i="6"/>
  <c r="M51" i="6"/>
  <c r="M62" i="6"/>
  <c r="L62" i="6"/>
  <c r="L65" i="6" s="1"/>
  <c r="K46" i="6"/>
  <c r="K47" i="6"/>
  <c r="M49" i="6"/>
  <c r="M50" i="6"/>
  <c r="K65" i="6" l="1"/>
  <c r="M63" i="6"/>
  <c r="M64" i="6"/>
  <c r="L48" i="6"/>
  <c r="L47" i="6"/>
  <c r="M47" i="6"/>
  <c r="K53" i="6"/>
  <c r="L46" i="6"/>
  <c r="L53" i="6" s="1"/>
  <c r="M46" i="6"/>
  <c r="M65" i="6" l="1"/>
  <c r="M53" i="6"/>
  <c r="G24" i="7" l="1"/>
  <c r="D29" i="24" s="1"/>
  <c r="F24" i="7"/>
  <c r="C29" i="24" s="1"/>
  <c r="L51" i="8"/>
  <c r="L79" i="5"/>
  <c r="G28" i="6"/>
  <c r="H28" i="6"/>
  <c r="I28" i="6"/>
  <c r="F28" i="6"/>
  <c r="H24" i="7" l="1"/>
  <c r="E29" i="24" s="1"/>
  <c r="F6" i="12"/>
  <c r="G6" i="12"/>
  <c r="H6" i="12"/>
  <c r="I6" i="12"/>
  <c r="J6" i="12"/>
  <c r="E6" i="12"/>
  <c r="I24" i="7" l="1"/>
  <c r="F29" i="24" s="1"/>
  <c r="E17" i="12"/>
  <c r="E16" i="12"/>
  <c r="F16" i="12"/>
  <c r="G16" i="12"/>
  <c r="H16" i="12"/>
  <c r="I16" i="12"/>
  <c r="J24" i="7" l="1"/>
  <c r="G29" i="24" s="1"/>
  <c r="I27" i="12"/>
  <c r="J16" i="12"/>
  <c r="J18" i="6"/>
  <c r="J27" i="12" l="1"/>
  <c r="K16" i="12"/>
  <c r="J21" i="12"/>
  <c r="L16" i="12" l="1"/>
  <c r="K21" i="12"/>
  <c r="M16" i="12" l="1"/>
  <c r="L21" i="12"/>
  <c r="H47" i="10"/>
  <c r="H46" i="10"/>
  <c r="J19" i="6"/>
  <c r="N16" i="12" l="1"/>
  <c r="M21" i="12"/>
  <c r="G30" i="7"/>
  <c r="G31" i="7"/>
  <c r="G32" i="7"/>
  <c r="G33" i="7"/>
  <c r="G34" i="7"/>
  <c r="G35" i="7"/>
  <c r="G36" i="7"/>
  <c r="G38" i="7"/>
  <c r="G39" i="7"/>
  <c r="G40" i="7"/>
  <c r="G41" i="7"/>
  <c r="G42" i="7"/>
  <c r="G43" i="7"/>
  <c r="G44" i="7"/>
  <c r="G46" i="7"/>
  <c r="G47" i="7"/>
  <c r="G29" i="7"/>
  <c r="J39" i="4"/>
  <c r="O7" i="12" s="1"/>
  <c r="J32" i="4"/>
  <c r="J27" i="4"/>
  <c r="O16" i="12" l="1"/>
  <c r="O21" i="12" s="1"/>
  <c r="O20" i="12" s="1"/>
  <c r="N21" i="12"/>
  <c r="E40" i="9"/>
  <c r="G46" i="10"/>
  <c r="G47" i="10"/>
  <c r="F47" i="10"/>
  <c r="F46" i="10"/>
  <c r="D64" i="9"/>
  <c r="D63" i="9"/>
  <c r="D62" i="9"/>
  <c r="D61" i="9"/>
  <c r="D60" i="9"/>
  <c r="F64" i="9"/>
  <c r="F63" i="9"/>
  <c r="F62" i="9"/>
  <c r="F61" i="9"/>
  <c r="F60" i="9"/>
  <c r="D52" i="9"/>
  <c r="D51" i="9"/>
  <c r="D50" i="9"/>
  <c r="D49" i="9"/>
  <c r="D48" i="9"/>
  <c r="F52" i="9"/>
  <c r="F51" i="9"/>
  <c r="F50" i="9"/>
  <c r="F49" i="9"/>
  <c r="E60" i="9"/>
  <c r="G60" i="9"/>
  <c r="H60" i="9"/>
  <c r="I60" i="9"/>
  <c r="E61" i="9"/>
  <c r="G61" i="9"/>
  <c r="H61" i="9"/>
  <c r="I61" i="9"/>
  <c r="E62" i="9"/>
  <c r="G62" i="9"/>
  <c r="H62" i="9"/>
  <c r="I62" i="9"/>
  <c r="E63" i="9"/>
  <c r="G63" i="9"/>
  <c r="H63" i="9"/>
  <c r="I63" i="9"/>
  <c r="E64" i="9"/>
  <c r="G64" i="9"/>
  <c r="H64" i="9"/>
  <c r="I64" i="9"/>
  <c r="E49" i="9"/>
  <c r="G49" i="9"/>
  <c r="H49" i="9"/>
  <c r="E50" i="9"/>
  <c r="G50" i="9"/>
  <c r="H50" i="9"/>
  <c r="I50" i="9"/>
  <c r="E51" i="9"/>
  <c r="G51" i="9"/>
  <c r="H51" i="9"/>
  <c r="I51" i="9"/>
  <c r="E52" i="9"/>
  <c r="G52" i="9"/>
  <c r="H52" i="9"/>
  <c r="I52" i="9"/>
  <c r="F38" i="9"/>
  <c r="G38" i="9"/>
  <c r="H38" i="9"/>
  <c r="I38" i="9"/>
  <c r="F39" i="9"/>
  <c r="G39" i="9"/>
  <c r="H39" i="9"/>
  <c r="I39" i="9"/>
  <c r="F40" i="9"/>
  <c r="G40" i="9"/>
  <c r="H40" i="9"/>
  <c r="G40" i="4" s="1"/>
  <c r="I40" i="9"/>
  <c r="E39" i="9"/>
  <c r="E38" i="9"/>
  <c r="F81" i="5"/>
  <c r="G81" i="5"/>
  <c r="H81" i="5"/>
  <c r="I81" i="5"/>
  <c r="J81" i="5"/>
  <c r="K81" i="5"/>
  <c r="L81" i="5"/>
  <c r="M81" i="5"/>
  <c r="N81" i="5"/>
  <c r="O81" i="5"/>
  <c r="E81" i="5"/>
  <c r="J9" i="12" l="1"/>
  <c r="AA37" i="5" s="1"/>
  <c r="S46" i="10"/>
  <c r="J46" i="10" s="1"/>
  <c r="J61" i="18" s="1"/>
  <c r="S47" i="10"/>
  <c r="J47" i="10" s="1"/>
  <c r="J62" i="18" s="1"/>
  <c r="S48" i="10"/>
  <c r="J48" i="10" s="1"/>
  <c r="J63" i="18" s="1"/>
  <c r="O18" i="12"/>
  <c r="J36" i="4"/>
  <c r="I17" i="4"/>
  <c r="J18" i="4"/>
  <c r="J37" i="4" s="1"/>
  <c r="G37" i="4" s="1"/>
  <c r="I16" i="4"/>
  <c r="J14" i="4"/>
  <c r="J12" i="4"/>
  <c r="J5" i="4"/>
  <c r="J28" i="4" s="1"/>
  <c r="J34" i="4" s="1"/>
  <c r="F84" i="5"/>
  <c r="G84" i="5"/>
  <c r="E84" i="5"/>
  <c r="I3" i="8" l="1"/>
  <c r="O3" i="8"/>
  <c r="J33" i="4"/>
  <c r="J38" i="4"/>
  <c r="J15" i="4"/>
  <c r="J20" i="4" s="1"/>
  <c r="I17" i="12"/>
  <c r="G90" i="5"/>
  <c r="H90" i="5"/>
  <c r="F90" i="5"/>
  <c r="G89" i="5"/>
  <c r="H89" i="5"/>
  <c r="F89" i="5"/>
  <c r="F88" i="5"/>
  <c r="G88" i="5"/>
  <c r="H88" i="5"/>
  <c r="E88" i="5"/>
  <c r="F87" i="5"/>
  <c r="G87" i="5"/>
  <c r="H87" i="5"/>
  <c r="E87" i="5"/>
  <c r="F86" i="5"/>
  <c r="G86" i="5"/>
  <c r="H86" i="5"/>
  <c r="E86" i="5"/>
  <c r="F85" i="5"/>
  <c r="G85" i="5"/>
  <c r="E85" i="5"/>
  <c r="F83" i="5"/>
  <c r="G83" i="5"/>
  <c r="E83" i="5"/>
  <c r="F17" i="12"/>
  <c r="G17" i="12"/>
  <c r="H17" i="12"/>
  <c r="I18" i="12" l="1"/>
  <c r="E21" i="12"/>
  <c r="J19" i="4"/>
  <c r="J21" i="4"/>
  <c r="G18" i="12"/>
  <c r="H18" i="12"/>
  <c r="F18" i="12"/>
  <c r="G21" i="12" l="1"/>
  <c r="J35" i="4"/>
  <c r="F21" i="12"/>
  <c r="I30" i="12"/>
  <c r="P30" i="12" s="1"/>
  <c r="I28" i="12"/>
  <c r="P28" i="12" s="1"/>
  <c r="H48" i="7"/>
  <c r="H57" i="7" s="1"/>
  <c r="H45" i="7"/>
  <c r="H56" i="7" s="1"/>
  <c r="H37" i="7"/>
  <c r="H54" i="7" s="1"/>
  <c r="I31" i="4"/>
  <c r="I29" i="4"/>
  <c r="I13" i="4"/>
  <c r="I11" i="4"/>
  <c r="I10" i="4"/>
  <c r="I9" i="4"/>
  <c r="I8" i="4"/>
  <c r="I7" i="4"/>
  <c r="I6" i="4"/>
  <c r="I4" i="4"/>
  <c r="I3" i="4"/>
  <c r="I2" i="4"/>
  <c r="J28" i="12" l="1"/>
  <c r="J30" i="12"/>
  <c r="H55" i="7"/>
  <c r="O5" i="10"/>
  <c r="O6" i="10"/>
  <c r="O7" i="10"/>
  <c r="O10" i="10"/>
  <c r="O11" i="10"/>
  <c r="O7" i="8"/>
  <c r="O9" i="8"/>
  <c r="O30" i="5"/>
  <c r="O48" i="5"/>
  <c r="O49" i="5"/>
  <c r="H17" i="11"/>
  <c r="G17" i="11"/>
  <c r="F17" i="11"/>
  <c r="E17" i="11"/>
  <c r="K28" i="12" l="1"/>
  <c r="J24" i="12"/>
  <c r="J20" i="12" s="1"/>
  <c r="J25" i="12"/>
  <c r="K30" i="12"/>
  <c r="H58" i="7"/>
  <c r="P46" i="10"/>
  <c r="P47" i="10"/>
  <c r="P48" i="10"/>
  <c r="O47" i="10"/>
  <c r="O46" i="10"/>
  <c r="H68" i="11"/>
  <c r="I68" i="11"/>
  <c r="I85" i="11" s="1"/>
  <c r="I84" i="11"/>
  <c r="I83" i="11"/>
  <c r="I76" i="11"/>
  <c r="I73" i="11"/>
  <c r="K24" i="6"/>
  <c r="K27" i="6"/>
  <c r="J18" i="12" l="1"/>
  <c r="J17" i="12" s="1"/>
  <c r="E9" i="12"/>
  <c r="I77" i="11"/>
  <c r="L30" i="12"/>
  <c r="K25" i="12"/>
  <c r="L28" i="12"/>
  <c r="K24" i="12"/>
  <c r="K20" i="12" s="1"/>
  <c r="I87" i="11"/>
  <c r="I86" i="11"/>
  <c r="J2" i="3"/>
  <c r="O48" i="10"/>
  <c r="T48" i="10"/>
  <c r="T46" i="10"/>
  <c r="T47" i="10"/>
  <c r="H60" i="7"/>
  <c r="K18" i="12" l="1"/>
  <c r="F9" i="12"/>
  <c r="V37" i="5"/>
  <c r="V33" i="5" s="1"/>
  <c r="J3" i="8"/>
  <c r="K17" i="12"/>
  <c r="J27" i="18"/>
  <c r="M28" i="12"/>
  <c r="L24" i="12"/>
  <c r="L20" i="12" s="1"/>
  <c r="M30" i="12"/>
  <c r="L25" i="12"/>
  <c r="E74" i="5"/>
  <c r="E78" i="5"/>
  <c r="E68" i="5"/>
  <c r="E65" i="5"/>
  <c r="E64" i="5"/>
  <c r="E63" i="5"/>
  <c r="E49" i="5"/>
  <c r="E48" i="5"/>
  <c r="E47" i="5"/>
  <c r="E40" i="5"/>
  <c r="F40" i="5"/>
  <c r="E37" i="5"/>
  <c r="E31" i="5" s="1"/>
  <c r="E30" i="5"/>
  <c r="E29" i="5"/>
  <c r="E75" i="5" s="1"/>
  <c r="E4" i="5"/>
  <c r="F9" i="11"/>
  <c r="G9" i="11"/>
  <c r="H9" i="11"/>
  <c r="E9" i="11"/>
  <c r="E84" i="11"/>
  <c r="H85" i="11"/>
  <c r="F84" i="11"/>
  <c r="G84" i="11"/>
  <c r="H84" i="11"/>
  <c r="L18" i="12" l="1"/>
  <c r="G9" i="12"/>
  <c r="L17" i="12"/>
  <c r="W37" i="5"/>
  <c r="K3" i="8"/>
  <c r="W33" i="5"/>
  <c r="N25" i="12"/>
  <c r="M25" i="12"/>
  <c r="N24" i="12"/>
  <c r="N20" i="12" s="1"/>
  <c r="M24" i="12"/>
  <c r="M20" i="12" s="1"/>
  <c r="E76" i="5"/>
  <c r="E79" i="5"/>
  <c r="E5" i="8"/>
  <c r="E6" i="8"/>
  <c r="E4" i="8"/>
  <c r="E41" i="5"/>
  <c r="E77" i="5" s="1"/>
  <c r="H73" i="11"/>
  <c r="H77" i="11" s="1"/>
  <c r="H87" i="11" s="1"/>
  <c r="E83" i="11"/>
  <c r="F73" i="11"/>
  <c r="G73" i="11"/>
  <c r="E73" i="11"/>
  <c r="F85" i="11"/>
  <c r="G68" i="11"/>
  <c r="G85" i="11" s="1"/>
  <c r="E68" i="11"/>
  <c r="E85" i="11" s="1"/>
  <c r="E55" i="8"/>
  <c r="E37" i="8" s="1"/>
  <c r="E125" i="8"/>
  <c r="E49" i="8" s="1"/>
  <c r="E124" i="8"/>
  <c r="E38" i="8" s="1"/>
  <c r="E56" i="8"/>
  <c r="E47" i="8" s="1"/>
  <c r="H68" i="5"/>
  <c r="G68" i="5"/>
  <c r="F68" i="5"/>
  <c r="I11" i="6"/>
  <c r="I25" i="4"/>
  <c r="I24" i="4"/>
  <c r="I9" i="12" l="1"/>
  <c r="N18" i="12"/>
  <c r="M18" i="12"/>
  <c r="H9" i="12"/>
  <c r="X37" i="5"/>
  <c r="X33" i="5" s="1"/>
  <c r="L3" i="8"/>
  <c r="L9" i="12"/>
  <c r="M17" i="12"/>
  <c r="N17" i="12" s="1"/>
  <c r="O17" i="12" s="1"/>
  <c r="E7" i="8"/>
  <c r="G77" i="11"/>
  <c r="E77" i="11"/>
  <c r="E9" i="8"/>
  <c r="E51" i="8"/>
  <c r="G87" i="11"/>
  <c r="F86" i="11"/>
  <c r="I26" i="4"/>
  <c r="F21" i="4"/>
  <c r="F19" i="4" s="1"/>
  <c r="E67" i="5"/>
  <c r="E69" i="5" s="1"/>
  <c r="G86" i="11"/>
  <c r="E86" i="11"/>
  <c r="F77" i="11"/>
  <c r="F87" i="11" s="1"/>
  <c r="E87" i="11"/>
  <c r="H86" i="11"/>
  <c r="F8" i="9"/>
  <c r="G8" i="9"/>
  <c r="H8" i="9"/>
  <c r="I8" i="9"/>
  <c r="E8" i="9"/>
  <c r="F5" i="9"/>
  <c r="G5" i="9"/>
  <c r="H5" i="9"/>
  <c r="I5" i="9"/>
  <c r="E5" i="9"/>
  <c r="Y37" i="5" l="1"/>
  <c r="Y33" i="5" s="1"/>
  <c r="M3" i="8"/>
  <c r="Z37" i="5"/>
  <c r="N3" i="8"/>
  <c r="H45" i="9"/>
  <c r="G45" i="9"/>
  <c r="F45" i="9"/>
  <c r="O45" i="9" s="1"/>
  <c r="E45" i="9"/>
  <c r="E47" i="10"/>
  <c r="E46" i="10"/>
  <c r="H78" i="5"/>
  <c r="G78" i="5"/>
  <c r="F78" i="5"/>
  <c r="E4" i="10"/>
  <c r="E2" i="10"/>
  <c r="I16" i="8"/>
  <c r="I5" i="4"/>
  <c r="I14" i="4"/>
  <c r="I22" i="4"/>
  <c r="I23" i="4"/>
  <c r="I36" i="4"/>
  <c r="Z33" i="5" l="1"/>
  <c r="AA33" i="5" s="1"/>
  <c r="S78" i="5"/>
  <c r="J78" i="5" s="1"/>
  <c r="O6" i="8" s="1"/>
  <c r="Q45" i="9"/>
  <c r="N45" i="9"/>
  <c r="K45" i="9"/>
  <c r="P45" i="9"/>
  <c r="I12" i="4"/>
  <c r="F12" i="4"/>
  <c r="Q5" i="17" s="1"/>
  <c r="S45" i="9"/>
  <c r="R45" i="9"/>
  <c r="I37" i="4"/>
  <c r="H82" i="5"/>
  <c r="K82" i="5"/>
  <c r="O82" i="5"/>
  <c r="N82" i="5"/>
  <c r="M82" i="5"/>
  <c r="J82" i="5"/>
  <c r="I18" i="4"/>
  <c r="L82" i="5"/>
  <c r="I82" i="5"/>
  <c r="P78" i="5"/>
  <c r="O78" i="5"/>
  <c r="K78" i="5"/>
  <c r="Q78" i="5"/>
  <c r="N78" i="5"/>
  <c r="R78" i="5"/>
  <c r="T78" i="5"/>
  <c r="K46" i="10"/>
  <c r="N46" i="10"/>
  <c r="Q46" i="10"/>
  <c r="R46" i="10"/>
  <c r="K48" i="10"/>
  <c r="N48" i="10"/>
  <c r="Q48" i="10"/>
  <c r="R48" i="10"/>
  <c r="K47" i="10"/>
  <c r="N47" i="10"/>
  <c r="Q47" i="10"/>
  <c r="R47" i="10"/>
  <c r="H59" i="4"/>
  <c r="H57" i="4" s="1"/>
  <c r="I38" i="4" l="1"/>
  <c r="I84" i="5"/>
  <c r="I85" i="5"/>
  <c r="H84" i="5"/>
  <c r="H85" i="5"/>
  <c r="H83" i="5"/>
  <c r="I59" i="4" s="1"/>
  <c r="I57" i="4" s="1"/>
  <c r="I19" i="4"/>
  <c r="I15" i="4"/>
  <c r="I21" i="4"/>
  <c r="I20" i="4"/>
  <c r="E45" i="7" l="1"/>
  <c r="G45" i="7" s="1"/>
  <c r="E37" i="7"/>
  <c r="G37" i="7" s="1"/>
  <c r="G23" i="6" l="1"/>
  <c r="E11" i="9"/>
  <c r="E3" i="10" l="1"/>
  <c r="E5" i="10"/>
  <c r="E6" i="10"/>
  <c r="F41" i="10"/>
  <c r="G41" i="10"/>
  <c r="H41" i="10"/>
  <c r="H43" i="10" s="1"/>
  <c r="I41" i="10"/>
  <c r="I43" i="10" s="1"/>
  <c r="E41" i="10"/>
  <c r="E43" i="10" s="1"/>
  <c r="F33" i="10"/>
  <c r="G33" i="10"/>
  <c r="H33" i="10"/>
  <c r="I33" i="10"/>
  <c r="I42" i="10" s="1"/>
  <c r="E33" i="10"/>
  <c r="E42" i="10" s="1"/>
  <c r="F50" i="10" l="1"/>
  <c r="F43" i="10"/>
  <c r="F49" i="10"/>
  <c r="F42" i="10"/>
  <c r="G50" i="10"/>
  <c r="G43" i="10"/>
  <c r="G49" i="10"/>
  <c r="G42" i="10"/>
  <c r="H50" i="10"/>
  <c r="H49" i="10"/>
  <c r="H42" i="10"/>
  <c r="E49" i="10"/>
  <c r="E8" i="10" s="1"/>
  <c r="E50" i="10"/>
  <c r="E9" i="10" s="1"/>
  <c r="E7" i="10"/>
  <c r="E10" i="10"/>
  <c r="E11" i="10"/>
  <c r="O50" i="10" l="1"/>
  <c r="S49" i="10"/>
  <c r="J49" i="10" s="1"/>
  <c r="O8" i="10" s="1"/>
  <c r="P49" i="10"/>
  <c r="S50" i="10"/>
  <c r="J50" i="10" s="1"/>
  <c r="O9" i="10" s="1"/>
  <c r="O49" i="10"/>
  <c r="R49" i="10"/>
  <c r="P50" i="10"/>
  <c r="T50" i="10"/>
  <c r="T49" i="10"/>
  <c r="Q49" i="10"/>
  <c r="N49" i="10"/>
  <c r="K49" i="10"/>
  <c r="Q50" i="10"/>
  <c r="N50" i="10"/>
  <c r="K50" i="10"/>
  <c r="R50" i="10"/>
  <c r="F29" i="5"/>
  <c r="G29" i="5"/>
  <c r="H29" i="5"/>
  <c r="I29" i="5"/>
  <c r="E48" i="7"/>
  <c r="G48" i="7" s="1"/>
  <c r="I22" i="9"/>
  <c r="I24" i="9"/>
  <c r="I3" i="9"/>
  <c r="I7" i="9"/>
  <c r="I3" i="10"/>
  <c r="I2" i="10"/>
  <c r="H2" i="10"/>
  <c r="F9" i="9"/>
  <c r="G9" i="9"/>
  <c r="H9" i="9"/>
  <c r="E9" i="9"/>
  <c r="H25" i="6"/>
  <c r="H23" i="6"/>
  <c r="N3" i="12"/>
  <c r="M3" i="12"/>
  <c r="L3" i="12"/>
  <c r="K3" i="12" s="1"/>
  <c r="K2" i="12"/>
  <c r="I24" i="8"/>
  <c r="I15" i="10" l="1"/>
  <c r="I4" i="9" s="1"/>
  <c r="I18" i="10"/>
  <c r="I13" i="10"/>
  <c r="Q23" i="6"/>
  <c r="O23" i="6"/>
  <c r="G24" i="8"/>
  <c r="H24" i="8"/>
  <c r="F24" i="8"/>
  <c r="E57" i="7"/>
  <c r="E56" i="7"/>
  <c r="E54" i="7"/>
  <c r="I124" i="8"/>
  <c r="G125" i="8"/>
  <c r="H125" i="8"/>
  <c r="I125" i="8"/>
  <c r="I30" i="8" s="1"/>
  <c r="I44" i="8" s="1"/>
  <c r="F125" i="8"/>
  <c r="I55" i="8"/>
  <c r="G56" i="8"/>
  <c r="H56" i="8"/>
  <c r="I56" i="8"/>
  <c r="I27" i="8" s="1"/>
  <c r="I43" i="8" s="1"/>
  <c r="F56" i="8"/>
  <c r="J32" i="9"/>
  <c r="K32" i="9" s="1"/>
  <c r="J31" i="9"/>
  <c r="K31" i="9" s="1"/>
  <c r="L31" i="9" s="1"/>
  <c r="M31" i="9" s="1"/>
  <c r="N31" i="9" s="1"/>
  <c r="O31" i="9" s="1"/>
  <c r="J33" i="9"/>
  <c r="K33" i="9" s="1"/>
  <c r="L33" i="9" s="1"/>
  <c r="M33" i="9" s="1"/>
  <c r="N33" i="9" s="1"/>
  <c r="O33" i="9" s="1"/>
  <c r="J34" i="9"/>
  <c r="K34" i="9" s="1"/>
  <c r="L34" i="9" s="1"/>
  <c r="M34" i="9" s="1"/>
  <c r="N34" i="9" s="1"/>
  <c r="O34" i="9" s="1"/>
  <c r="J20" i="9"/>
  <c r="K20" i="9" s="1"/>
  <c r="L20" i="9" s="1"/>
  <c r="M20" i="9" s="1"/>
  <c r="N20" i="9" s="1"/>
  <c r="O20" i="9" s="1"/>
  <c r="F24" i="9"/>
  <c r="G24" i="9"/>
  <c r="H24" i="9"/>
  <c r="E24" i="9"/>
  <c r="F23" i="9"/>
  <c r="F48" i="9" s="1"/>
  <c r="G23" i="9"/>
  <c r="G48" i="9" s="1"/>
  <c r="H23" i="9"/>
  <c r="H48" i="9" s="1"/>
  <c r="E23" i="9"/>
  <c r="E48" i="9" s="1"/>
  <c r="F21" i="9"/>
  <c r="G21" i="9"/>
  <c r="H21" i="9"/>
  <c r="E21" i="9"/>
  <c r="F22" i="9"/>
  <c r="G22" i="9"/>
  <c r="H22" i="9"/>
  <c r="E22" i="9"/>
  <c r="H11" i="9"/>
  <c r="I11" i="9" s="1"/>
  <c r="F11" i="9"/>
  <c r="E7" i="9"/>
  <c r="F7" i="9"/>
  <c r="G7" i="9"/>
  <c r="H7" i="9"/>
  <c r="F6" i="9"/>
  <c r="G6" i="9"/>
  <c r="H6" i="9"/>
  <c r="E6" i="9"/>
  <c r="F4" i="9"/>
  <c r="G4" i="9"/>
  <c r="H4" i="9"/>
  <c r="E4" i="9"/>
  <c r="F3" i="9"/>
  <c r="G3" i="9"/>
  <c r="H3" i="9"/>
  <c r="E3" i="9"/>
  <c r="F2" i="9"/>
  <c r="G2" i="9"/>
  <c r="H2" i="9"/>
  <c r="E2" i="9"/>
  <c r="G4" i="10"/>
  <c r="H4" i="10"/>
  <c r="I4" i="10" s="1"/>
  <c r="F4" i="10"/>
  <c r="G3" i="10"/>
  <c r="H3" i="10"/>
  <c r="H6" i="10" s="1"/>
  <c r="I6" i="10" s="1"/>
  <c r="F3" i="10"/>
  <c r="G2" i="10"/>
  <c r="F2" i="10"/>
  <c r="F12" i="8"/>
  <c r="G9" i="10"/>
  <c r="H12" i="8"/>
  <c r="I12" i="8"/>
  <c r="E12" i="8"/>
  <c r="F11" i="8"/>
  <c r="G8" i="10"/>
  <c r="H11" i="8"/>
  <c r="E11" i="8"/>
  <c r="G57" i="7" l="1"/>
  <c r="B43" i="24"/>
  <c r="G56" i="7"/>
  <c r="B42" i="24"/>
  <c r="G54" i="7"/>
  <c r="B41" i="24"/>
  <c r="F27" i="8"/>
  <c r="F43" i="8" s="1"/>
  <c r="F47" i="8"/>
  <c r="F7" i="8" s="1"/>
  <c r="H27" i="8"/>
  <c r="H43" i="8" s="1"/>
  <c r="H47" i="8"/>
  <c r="G27" i="8"/>
  <c r="G43" i="8" s="1"/>
  <c r="G47" i="8"/>
  <c r="P47" i="8" s="1"/>
  <c r="I21" i="10"/>
  <c r="I6" i="9"/>
  <c r="I17" i="10"/>
  <c r="I2" i="9"/>
  <c r="F30" i="8"/>
  <c r="F44" i="8" s="1"/>
  <c r="F49" i="8"/>
  <c r="G42" i="9"/>
  <c r="G10" i="9" s="1"/>
  <c r="H30" i="8"/>
  <c r="H44" i="8" s="1"/>
  <c r="H49" i="8"/>
  <c r="H9" i="8" s="1"/>
  <c r="I9" i="8" s="1"/>
  <c r="F42" i="9"/>
  <c r="F10" i="9" s="1"/>
  <c r="G30" i="8"/>
  <c r="G44" i="8" s="1"/>
  <c r="G49" i="8"/>
  <c r="G9" i="8" s="1"/>
  <c r="J20" i="6"/>
  <c r="L4" i="10"/>
  <c r="M4" i="10"/>
  <c r="K4" i="10"/>
  <c r="N4" i="10"/>
  <c r="J4" i="10"/>
  <c r="O4" i="10"/>
  <c r="H42" i="9"/>
  <c r="F48" i="8"/>
  <c r="E48" i="8"/>
  <c r="E42" i="9"/>
  <c r="E43" i="9"/>
  <c r="E12" i="9" s="1"/>
  <c r="E44" i="9"/>
  <c r="E13" i="9" s="1"/>
  <c r="E50" i="8"/>
  <c r="F50" i="8"/>
  <c r="F43" i="9"/>
  <c r="F44" i="9"/>
  <c r="G43" i="9"/>
  <c r="G44" i="9"/>
  <c r="H43" i="9"/>
  <c r="H12" i="9" s="1"/>
  <c r="I12" i="9" s="1"/>
  <c r="H44" i="9"/>
  <c r="G11" i="9"/>
  <c r="I45" i="9"/>
  <c r="J45" i="9" s="1"/>
  <c r="O11" i="9" s="1"/>
  <c r="G11" i="10"/>
  <c r="G10" i="10"/>
  <c r="G7" i="10"/>
  <c r="G5" i="10"/>
  <c r="I48" i="10"/>
  <c r="G6" i="10"/>
  <c r="I11" i="8"/>
  <c r="L32" i="9"/>
  <c r="M32" i="9" s="1"/>
  <c r="N32" i="9" s="1"/>
  <c r="O32" i="9" s="1"/>
  <c r="H11" i="10"/>
  <c r="I11" i="10" s="1"/>
  <c r="G12" i="8"/>
  <c r="H50" i="8" s="1"/>
  <c r="M37" i="4" s="1"/>
  <c r="G11" i="8"/>
  <c r="H48" i="8" s="1"/>
  <c r="G22" i="10"/>
  <c r="G44" i="10" s="1"/>
  <c r="H9" i="10"/>
  <c r="I9" i="10" s="1"/>
  <c r="H8" i="10"/>
  <c r="I8" i="10" s="1"/>
  <c r="E22" i="10"/>
  <c r="H22" i="10"/>
  <c r="F22" i="10"/>
  <c r="F44" i="10" s="1"/>
  <c r="F6" i="10"/>
  <c r="F10" i="10"/>
  <c r="H10" i="10"/>
  <c r="I10" i="10" s="1"/>
  <c r="G124" i="8"/>
  <c r="G38" i="8" s="1"/>
  <c r="H124" i="8"/>
  <c r="H38" i="8" s="1"/>
  <c r="F124" i="8"/>
  <c r="F38" i="8" s="1"/>
  <c r="G55" i="8"/>
  <c r="G37" i="8" s="1"/>
  <c r="H55" i="8"/>
  <c r="H37" i="8" s="1"/>
  <c r="F55" i="8"/>
  <c r="F37" i="8" s="1"/>
  <c r="R47" i="8" l="1"/>
  <c r="S47" i="8"/>
  <c r="O47" i="8"/>
  <c r="N47" i="8"/>
  <c r="Q47" i="8"/>
  <c r="K47" i="8"/>
  <c r="G7" i="8"/>
  <c r="I22" i="10"/>
  <c r="I23" i="10" s="1"/>
  <c r="E16" i="7"/>
  <c r="E17" i="7"/>
  <c r="H44" i="10"/>
  <c r="H53" i="10"/>
  <c r="E44" i="10"/>
  <c r="E53" i="10"/>
  <c r="G53" i="10"/>
  <c r="F53" i="10"/>
  <c r="J14" i="8"/>
  <c r="J39" i="8" s="1"/>
  <c r="O42" i="9"/>
  <c r="R49" i="8"/>
  <c r="R51" i="8" s="1"/>
  <c r="S49" i="8"/>
  <c r="S51" i="8" s="1"/>
  <c r="H51" i="8"/>
  <c r="P49" i="8"/>
  <c r="P51" i="8" s="1"/>
  <c r="G51" i="8"/>
  <c r="O49" i="8"/>
  <c r="F51" i="8"/>
  <c r="Q49" i="8"/>
  <c r="N49" i="8"/>
  <c r="K49" i="8"/>
  <c r="P42" i="9"/>
  <c r="H10" i="9"/>
  <c r="I10" i="9" s="1"/>
  <c r="R42" i="9"/>
  <c r="S42" i="9"/>
  <c r="G23" i="10"/>
  <c r="J16" i="10"/>
  <c r="K16" i="10" s="1"/>
  <c r="L16" i="10" s="1"/>
  <c r="M16" i="10" s="1"/>
  <c r="N16" i="10" s="1"/>
  <c r="O16" i="10" s="1"/>
  <c r="J19" i="10"/>
  <c r="J20" i="10"/>
  <c r="K20" i="10" s="1"/>
  <c r="L20" i="10" s="1"/>
  <c r="M20" i="10" s="1"/>
  <c r="N20" i="10" s="1"/>
  <c r="O20" i="10" s="1"/>
  <c r="J14" i="10"/>
  <c r="H13" i="9"/>
  <c r="I13" i="9" s="1"/>
  <c r="S44" i="9"/>
  <c r="R44" i="9"/>
  <c r="G13" i="9"/>
  <c r="P44" i="9"/>
  <c r="Q44" i="9"/>
  <c r="N44" i="9"/>
  <c r="K42" i="9"/>
  <c r="Q42" i="9"/>
  <c r="N42" i="9"/>
  <c r="O44" i="9"/>
  <c r="S43" i="9"/>
  <c r="R43" i="9"/>
  <c r="G12" i="9"/>
  <c r="P43" i="9"/>
  <c r="Q43" i="9"/>
  <c r="N43" i="9"/>
  <c r="O43" i="9"/>
  <c r="F10" i="8"/>
  <c r="F8" i="8"/>
  <c r="G50" i="8"/>
  <c r="O50" i="8" s="1"/>
  <c r="K43" i="9"/>
  <c r="E8" i="8"/>
  <c r="G48" i="8"/>
  <c r="N48" i="8" s="1"/>
  <c r="K44" i="9"/>
  <c r="E10" i="9"/>
  <c r="E10" i="8"/>
  <c r="F9" i="10"/>
  <c r="I50" i="10"/>
  <c r="I47" i="10"/>
  <c r="I46" i="10"/>
  <c r="I42" i="9"/>
  <c r="J42" i="9" s="1"/>
  <c r="O10" i="9" s="1"/>
  <c r="F8" i="10"/>
  <c r="I49" i="10"/>
  <c r="F12" i="9"/>
  <c r="I43" i="9"/>
  <c r="J43" i="9" s="1"/>
  <c r="O12" i="9" s="1"/>
  <c r="I44" i="9"/>
  <c r="J44" i="9" s="1"/>
  <c r="O13" i="9" s="1"/>
  <c r="H8" i="8"/>
  <c r="I8" i="8" s="1"/>
  <c r="H10" i="8"/>
  <c r="I10" i="8" s="1"/>
  <c r="H7" i="10"/>
  <c r="I7" i="10" s="1"/>
  <c r="H5" i="10"/>
  <c r="I5" i="10" s="1"/>
  <c r="F23" i="10"/>
  <c r="N11" i="9"/>
  <c r="H23" i="10"/>
  <c r="H7" i="8"/>
  <c r="I7" i="8" s="1"/>
  <c r="I47" i="8"/>
  <c r="F9" i="8"/>
  <c r="I49" i="8"/>
  <c r="F11" i="10"/>
  <c r="F5" i="10"/>
  <c r="K6" i="10"/>
  <c r="M6" i="10"/>
  <c r="L6" i="10"/>
  <c r="N6" i="10"/>
  <c r="J6" i="10"/>
  <c r="F13" i="9"/>
  <c r="F7" i="10"/>
  <c r="G65" i="5"/>
  <c r="G23" i="8" s="1"/>
  <c r="H65" i="5"/>
  <c r="H23" i="8" s="1"/>
  <c r="F65" i="5"/>
  <c r="F23" i="8" s="1"/>
  <c r="G64" i="5"/>
  <c r="G22" i="8" s="1"/>
  <c r="H64" i="5"/>
  <c r="H22" i="8" s="1"/>
  <c r="F64" i="5"/>
  <c r="F22" i="8" s="1"/>
  <c r="G63" i="5"/>
  <c r="H63" i="5"/>
  <c r="I63" i="5"/>
  <c r="F63" i="5"/>
  <c r="G6" i="8"/>
  <c r="H6" i="8"/>
  <c r="I6" i="8" s="1"/>
  <c r="F6" i="8"/>
  <c r="G74" i="5"/>
  <c r="H74" i="5"/>
  <c r="F74" i="5"/>
  <c r="G49" i="5"/>
  <c r="H49" i="5"/>
  <c r="I49" i="5"/>
  <c r="J49" i="5"/>
  <c r="J50" i="5" s="1"/>
  <c r="K49" i="5"/>
  <c r="L49" i="5"/>
  <c r="M49" i="5"/>
  <c r="N49" i="5"/>
  <c r="F49" i="5"/>
  <c r="G48" i="5"/>
  <c r="H48" i="5"/>
  <c r="I48" i="5"/>
  <c r="J48" i="5"/>
  <c r="J53" i="5" s="1"/>
  <c r="K48" i="5"/>
  <c r="L48" i="5"/>
  <c r="M48" i="5"/>
  <c r="N48" i="5"/>
  <c r="F48" i="5"/>
  <c r="G30" i="5"/>
  <c r="H30" i="5"/>
  <c r="I30" i="5"/>
  <c r="J30" i="5"/>
  <c r="K30" i="5"/>
  <c r="L30" i="5"/>
  <c r="M30" i="5"/>
  <c r="N30" i="5"/>
  <c r="F30" i="5"/>
  <c r="G47" i="5"/>
  <c r="G20" i="8" s="1"/>
  <c r="H47" i="5"/>
  <c r="H20" i="8" s="1"/>
  <c r="I47" i="5"/>
  <c r="I20" i="8" s="1"/>
  <c r="F47" i="5"/>
  <c r="F20" i="8" s="1"/>
  <c r="G40" i="5"/>
  <c r="H40" i="5"/>
  <c r="I40" i="5"/>
  <c r="G37" i="5"/>
  <c r="H37" i="5"/>
  <c r="I37" i="5"/>
  <c r="F37" i="5"/>
  <c r="G18" i="8"/>
  <c r="H18" i="8"/>
  <c r="I18" i="8"/>
  <c r="G4" i="5"/>
  <c r="H4" i="5"/>
  <c r="I4" i="5"/>
  <c r="F4" i="5"/>
  <c r="G26" i="6"/>
  <c r="H26" i="6"/>
  <c r="F26" i="6"/>
  <c r="G25" i="6"/>
  <c r="H5" i="6"/>
  <c r="I5" i="6" s="1"/>
  <c r="F25" i="6"/>
  <c r="G3" i="6"/>
  <c r="H3" i="6"/>
  <c r="I3" i="6" s="1"/>
  <c r="F23" i="6"/>
  <c r="R23" i="6" s="1"/>
  <c r="J23" i="6" s="1"/>
  <c r="G17" i="6"/>
  <c r="G27" i="6" s="1"/>
  <c r="H17" i="6"/>
  <c r="F17" i="6"/>
  <c r="F27" i="6" s="1"/>
  <c r="G13" i="6"/>
  <c r="H13" i="6"/>
  <c r="F13" i="6"/>
  <c r="F12" i="6"/>
  <c r="G22" i="6" s="1"/>
  <c r="G12" i="6"/>
  <c r="H12" i="6"/>
  <c r="E12" i="6"/>
  <c r="F22" i="6" s="1"/>
  <c r="I65" i="5"/>
  <c r="I23" i="8" s="1"/>
  <c r="I64" i="5"/>
  <c r="I22" i="8" s="1"/>
  <c r="Q51" i="8" l="1"/>
  <c r="Q74" i="5"/>
  <c r="N74" i="5"/>
  <c r="I53" i="10"/>
  <c r="I44" i="10"/>
  <c r="E18" i="7"/>
  <c r="O51" i="8"/>
  <c r="K51" i="8"/>
  <c r="N51" i="8"/>
  <c r="F33" i="6"/>
  <c r="H33" i="6"/>
  <c r="G33" i="6"/>
  <c r="F24" i="6"/>
  <c r="F4" i="6" s="1"/>
  <c r="G24" i="6"/>
  <c r="G4" i="6" s="1"/>
  <c r="K14" i="10"/>
  <c r="K3" i="9" s="1"/>
  <c r="K19" i="10"/>
  <c r="K14" i="8"/>
  <c r="K39" i="8" s="1"/>
  <c r="R26" i="6"/>
  <c r="J26" i="6" s="1"/>
  <c r="O6" i="6" s="1"/>
  <c r="S74" i="5"/>
  <c r="O3" i="6"/>
  <c r="N3" i="6"/>
  <c r="R25" i="6"/>
  <c r="J25" i="6" s="1"/>
  <c r="O5" i="6" s="1"/>
  <c r="I51" i="8"/>
  <c r="J84" i="5"/>
  <c r="J2" i="5"/>
  <c r="J2" i="10"/>
  <c r="G10" i="8"/>
  <c r="G8" i="8"/>
  <c r="J5" i="9"/>
  <c r="J8" i="9"/>
  <c r="F21" i="8"/>
  <c r="G21" i="8"/>
  <c r="H21" i="8"/>
  <c r="I21" i="8"/>
  <c r="G4" i="8"/>
  <c r="P74" i="5"/>
  <c r="H4" i="8"/>
  <c r="I4" i="8" s="1"/>
  <c r="R74" i="5"/>
  <c r="T74" i="5"/>
  <c r="F4" i="8"/>
  <c r="O74" i="5"/>
  <c r="K74" i="5"/>
  <c r="F3" i="6"/>
  <c r="P23" i="6"/>
  <c r="N23" i="6"/>
  <c r="G6" i="6"/>
  <c r="O26" i="6"/>
  <c r="G7" i="6"/>
  <c r="F5" i="6"/>
  <c r="P25" i="6"/>
  <c r="N25" i="6"/>
  <c r="H6" i="6"/>
  <c r="I6" i="6" s="1"/>
  <c r="Q26" i="6"/>
  <c r="P22" i="6"/>
  <c r="F6" i="6"/>
  <c r="P26" i="6"/>
  <c r="N26" i="6"/>
  <c r="I26" i="6"/>
  <c r="G2" i="6"/>
  <c r="F7" i="6"/>
  <c r="P27" i="6"/>
  <c r="G5" i="6"/>
  <c r="O25" i="6"/>
  <c r="Q25" i="6"/>
  <c r="K5" i="9"/>
  <c r="K50" i="8"/>
  <c r="P50" i="8"/>
  <c r="R48" i="8"/>
  <c r="N50" i="8"/>
  <c r="R50" i="8"/>
  <c r="K48" i="8"/>
  <c r="P48" i="8"/>
  <c r="O48" i="8"/>
  <c r="S48" i="8"/>
  <c r="Q48" i="8"/>
  <c r="Q50" i="8"/>
  <c r="S50" i="8"/>
  <c r="J3" i="9"/>
  <c r="K8" i="9"/>
  <c r="J7" i="9"/>
  <c r="L5" i="9"/>
  <c r="K9" i="10"/>
  <c r="M9" i="10"/>
  <c r="J9" i="10"/>
  <c r="L9" i="10"/>
  <c r="N9" i="10"/>
  <c r="K8" i="10"/>
  <c r="M8" i="10"/>
  <c r="L8" i="10"/>
  <c r="N8" i="10"/>
  <c r="J8" i="10"/>
  <c r="I48" i="8"/>
  <c r="O8" i="8" s="1"/>
  <c r="H22" i="6"/>
  <c r="I22" i="6" s="1"/>
  <c r="M5" i="10"/>
  <c r="M12" i="9"/>
  <c r="L12" i="9"/>
  <c r="M11" i="9"/>
  <c r="I41" i="5"/>
  <c r="I19" i="8" s="1"/>
  <c r="I31" i="5"/>
  <c r="H76" i="5"/>
  <c r="H31" i="5"/>
  <c r="G76" i="5"/>
  <c r="P76" i="5" s="1"/>
  <c r="G31" i="5"/>
  <c r="F76" i="5"/>
  <c r="F31" i="5"/>
  <c r="E61" i="7"/>
  <c r="F61" i="7" s="1"/>
  <c r="E59" i="7"/>
  <c r="B44" i="24" s="1"/>
  <c r="F75" i="5"/>
  <c r="F18" i="8"/>
  <c r="H75" i="5"/>
  <c r="H79" i="5" s="1"/>
  <c r="L11" i="9"/>
  <c r="J11" i="9"/>
  <c r="K11" i="9"/>
  <c r="I50" i="8"/>
  <c r="O10" i="8" s="1"/>
  <c r="I78" i="5"/>
  <c r="H27" i="6"/>
  <c r="O27" i="6" s="1"/>
  <c r="H24" i="6"/>
  <c r="I25" i="6"/>
  <c r="K7" i="8"/>
  <c r="M7" i="8"/>
  <c r="J7" i="8"/>
  <c r="L7" i="8"/>
  <c r="N7" i="8"/>
  <c r="L9" i="8"/>
  <c r="N9" i="8"/>
  <c r="K9" i="8"/>
  <c r="M9" i="8"/>
  <c r="J9" i="8"/>
  <c r="J30" i="8" s="1"/>
  <c r="J29" i="8" s="1"/>
  <c r="F41" i="5"/>
  <c r="F67" i="5" s="1"/>
  <c r="F69" i="5" s="1"/>
  <c r="H41" i="5"/>
  <c r="H19" i="8" s="1"/>
  <c r="G41" i="5"/>
  <c r="G75" i="5"/>
  <c r="P75" i="5" s="1"/>
  <c r="L6" i="8"/>
  <c r="I74" i="5"/>
  <c r="F2" i="6"/>
  <c r="I23" i="6"/>
  <c r="K53" i="5"/>
  <c r="L53" i="5" s="1"/>
  <c r="M53" i="5" s="1"/>
  <c r="N53" i="5" s="1"/>
  <c r="O53" i="5" s="1"/>
  <c r="K7" i="10"/>
  <c r="M7" i="10"/>
  <c r="J7" i="10"/>
  <c r="L7" i="10"/>
  <c r="N7" i="10"/>
  <c r="K10" i="9"/>
  <c r="M10" i="9"/>
  <c r="J10" i="9"/>
  <c r="L10" i="9"/>
  <c r="N10" i="9"/>
  <c r="K5" i="10"/>
  <c r="J5" i="10"/>
  <c r="N5" i="10"/>
  <c r="K13" i="9"/>
  <c r="M13" i="9"/>
  <c r="J13" i="9"/>
  <c r="L13" i="9"/>
  <c r="N13" i="9"/>
  <c r="K10" i="10"/>
  <c r="M10" i="10"/>
  <c r="L10" i="10"/>
  <c r="N10" i="10"/>
  <c r="J10" i="10"/>
  <c r="K11" i="10"/>
  <c r="M11" i="10"/>
  <c r="J11" i="10"/>
  <c r="L11" i="10"/>
  <c r="N11" i="10"/>
  <c r="K50" i="5"/>
  <c r="L50" i="5" s="1"/>
  <c r="M50" i="5" s="1"/>
  <c r="J51" i="5"/>
  <c r="K51" i="5" s="1"/>
  <c r="L51" i="5" s="1"/>
  <c r="M51" i="5" s="1"/>
  <c r="N51" i="5" s="1"/>
  <c r="O51" i="5" s="1"/>
  <c r="J62" i="5"/>
  <c r="K62" i="5" s="1"/>
  <c r="L62" i="5" s="1"/>
  <c r="M62" i="5" s="1"/>
  <c r="N62" i="5" s="1"/>
  <c r="O62" i="5" s="1"/>
  <c r="J60" i="5"/>
  <c r="K60" i="5" s="1"/>
  <c r="L60" i="5" s="1"/>
  <c r="M60" i="5" s="1"/>
  <c r="N60" i="5" s="1"/>
  <c r="O60" i="5" s="1"/>
  <c r="J58" i="5"/>
  <c r="K58" i="5" s="1"/>
  <c r="L58" i="5" s="1"/>
  <c r="M58" i="5" s="1"/>
  <c r="N58" i="5" s="1"/>
  <c r="O58" i="5" s="1"/>
  <c r="J56" i="5"/>
  <c r="K56" i="5" s="1"/>
  <c r="L56" i="5" s="1"/>
  <c r="M56" i="5" s="1"/>
  <c r="N56" i="5" s="1"/>
  <c r="O56" i="5" s="1"/>
  <c r="J54" i="5"/>
  <c r="K54" i="5" s="1"/>
  <c r="L54" i="5" s="1"/>
  <c r="M54" i="5" s="1"/>
  <c r="N54" i="5" s="1"/>
  <c r="O54" i="5" s="1"/>
  <c r="J52" i="5"/>
  <c r="J61" i="5"/>
  <c r="K61" i="5" s="1"/>
  <c r="L61" i="5" s="1"/>
  <c r="M61" i="5" s="1"/>
  <c r="N61" i="5" s="1"/>
  <c r="O61" i="5" s="1"/>
  <c r="J59" i="5"/>
  <c r="K59" i="5" s="1"/>
  <c r="L59" i="5" s="1"/>
  <c r="M59" i="5" s="1"/>
  <c r="N59" i="5" s="1"/>
  <c r="O59" i="5" s="1"/>
  <c r="J57" i="5"/>
  <c r="K57" i="5" s="1"/>
  <c r="L57" i="5" s="1"/>
  <c r="M57" i="5" s="1"/>
  <c r="N57" i="5" s="1"/>
  <c r="O57" i="5" s="1"/>
  <c r="J55" i="5"/>
  <c r="N76" i="5" l="1"/>
  <c r="Q76" i="5"/>
  <c r="N75" i="5"/>
  <c r="N79" i="5" s="1"/>
  <c r="Q75" i="5"/>
  <c r="Q79" i="5" s="1"/>
  <c r="O24" i="6"/>
  <c r="M8" i="8"/>
  <c r="K8" i="8"/>
  <c r="L8" i="8"/>
  <c r="N8" i="8"/>
  <c r="J8" i="8"/>
  <c r="P24" i="6"/>
  <c r="N6" i="6"/>
  <c r="N5" i="6"/>
  <c r="J6" i="6"/>
  <c r="M6" i="6"/>
  <c r="L6" i="6"/>
  <c r="L5" i="6"/>
  <c r="K2" i="10"/>
  <c r="K13" i="10" s="1"/>
  <c r="K84" i="5"/>
  <c r="K27" i="8"/>
  <c r="K26" i="8" s="1"/>
  <c r="L14" i="8"/>
  <c r="L39" i="8" s="1"/>
  <c r="L19" i="10"/>
  <c r="K7" i="9"/>
  <c r="K2" i="5"/>
  <c r="L14" i="10"/>
  <c r="L3" i="9" s="1"/>
  <c r="J13" i="10"/>
  <c r="J2" i="9" s="1"/>
  <c r="J15" i="9" s="1"/>
  <c r="R22" i="6"/>
  <c r="J22" i="6" s="1"/>
  <c r="M2" i="6" s="1"/>
  <c r="S75" i="5"/>
  <c r="J75" i="5" s="1"/>
  <c r="O5" i="8" s="1"/>
  <c r="N22" i="6"/>
  <c r="M5" i="6"/>
  <c r="R27" i="6"/>
  <c r="J27" i="6" s="1"/>
  <c r="M7" i="6" s="1"/>
  <c r="S76" i="5"/>
  <c r="J76" i="5" s="1"/>
  <c r="G79" i="5"/>
  <c r="R24" i="6"/>
  <c r="J24" i="6" s="1"/>
  <c r="O4" i="6" s="1"/>
  <c r="F79" i="5"/>
  <c r="S79" i="5"/>
  <c r="J74" i="5"/>
  <c r="N4" i="8" s="1"/>
  <c r="J31" i="5"/>
  <c r="K31" i="5" s="1"/>
  <c r="L31" i="5" s="1"/>
  <c r="M31" i="5" s="1"/>
  <c r="N31" i="5" s="1"/>
  <c r="O31" i="5" s="1"/>
  <c r="I27" i="6"/>
  <c r="K30" i="8"/>
  <c r="K29" i="8" s="1"/>
  <c r="J27" i="8"/>
  <c r="J26" i="8" s="1"/>
  <c r="I17" i="8"/>
  <c r="I25" i="8" s="1"/>
  <c r="G61" i="7"/>
  <c r="G59" i="7"/>
  <c r="L8" i="9"/>
  <c r="K55" i="5"/>
  <c r="K52" i="5"/>
  <c r="L52" i="5" s="1"/>
  <c r="F5" i="8"/>
  <c r="O75" i="5"/>
  <c r="O79" i="5" s="1"/>
  <c r="K75" i="5"/>
  <c r="K79" i="5" s="1"/>
  <c r="O76" i="5"/>
  <c r="K76" i="5"/>
  <c r="R76" i="5"/>
  <c r="T76" i="5"/>
  <c r="G5" i="8"/>
  <c r="P79" i="5"/>
  <c r="N24" i="6"/>
  <c r="H7" i="6"/>
  <c r="I7" i="6" s="1"/>
  <c r="Q27" i="6"/>
  <c r="N27" i="6"/>
  <c r="H4" i="6"/>
  <c r="I4" i="6" s="1"/>
  <c r="Q24" i="6"/>
  <c r="H2" i="6"/>
  <c r="I2" i="6" s="1"/>
  <c r="Q22" i="6"/>
  <c r="O22" i="6"/>
  <c r="H5" i="8"/>
  <c r="I5" i="8" s="1"/>
  <c r="T75" i="5"/>
  <c r="T79" i="5" s="1"/>
  <c r="R75" i="5"/>
  <c r="R79" i="5" s="1"/>
  <c r="I76" i="5"/>
  <c r="L5" i="10"/>
  <c r="M8" i="9"/>
  <c r="M5" i="9"/>
  <c r="H67" i="5"/>
  <c r="H69" i="5" s="1"/>
  <c r="N6" i="8"/>
  <c r="N12" i="9"/>
  <c r="J12" i="9"/>
  <c r="K12" i="9"/>
  <c r="I67" i="5"/>
  <c r="J6" i="8"/>
  <c r="J24" i="8" s="1"/>
  <c r="J66" i="5" s="1"/>
  <c r="M6" i="8"/>
  <c r="K6" i="6"/>
  <c r="I75" i="5"/>
  <c r="I79" i="5" s="1"/>
  <c r="G77" i="5"/>
  <c r="P77" i="5" s="1"/>
  <c r="G19" i="8"/>
  <c r="F77" i="5"/>
  <c r="F19" i="8"/>
  <c r="H77" i="5"/>
  <c r="K10" i="8"/>
  <c r="N10" i="8"/>
  <c r="M10" i="8"/>
  <c r="L10" i="8"/>
  <c r="J10" i="8"/>
  <c r="K6" i="8"/>
  <c r="K24" i="8" s="1"/>
  <c r="K66" i="5" s="1"/>
  <c r="I24" i="6"/>
  <c r="K5" i="6"/>
  <c r="J5" i="6"/>
  <c r="G67" i="5"/>
  <c r="G69" i="5" s="1"/>
  <c r="K3" i="6"/>
  <c r="M3" i="6"/>
  <c r="L3" i="6"/>
  <c r="J3" i="6"/>
  <c r="J63" i="5"/>
  <c r="N50" i="5"/>
  <c r="Q77" i="5" l="1"/>
  <c r="N77" i="5"/>
  <c r="J4" i="8"/>
  <c r="J15" i="8" s="1"/>
  <c r="J40" i="8" s="1"/>
  <c r="M4" i="8"/>
  <c r="K4" i="8"/>
  <c r="K15" i="8" s="1"/>
  <c r="K40" i="8" s="1"/>
  <c r="J7" i="6"/>
  <c r="I16" i="6" s="1"/>
  <c r="I23" i="9" s="1"/>
  <c r="K7" i="6"/>
  <c r="K2" i="6"/>
  <c r="J2" i="6"/>
  <c r="L2" i="6"/>
  <c r="L7" i="6"/>
  <c r="M14" i="8"/>
  <c r="M39" i="8" s="1"/>
  <c r="L84" i="5"/>
  <c r="L2" i="5"/>
  <c r="L27" i="8"/>
  <c r="L26" i="8" s="1"/>
  <c r="L2" i="10"/>
  <c r="L13" i="10" s="1"/>
  <c r="L30" i="8"/>
  <c r="L29" i="8" s="1"/>
  <c r="I32" i="8"/>
  <c r="I33" i="8" s="1"/>
  <c r="I34" i="8" s="1"/>
  <c r="I52" i="8"/>
  <c r="J33" i="10"/>
  <c r="J25" i="10" s="1"/>
  <c r="M19" i="10"/>
  <c r="L7" i="9"/>
  <c r="J3" i="5"/>
  <c r="J4" i="5" s="1"/>
  <c r="L24" i="8"/>
  <c r="L66" i="5" s="1"/>
  <c r="M14" i="10"/>
  <c r="M3" i="9" s="1"/>
  <c r="J79" i="5"/>
  <c r="O4" i="8"/>
  <c r="O7" i="6"/>
  <c r="N7" i="6"/>
  <c r="L4" i="8"/>
  <c r="L15" i="8" s="1"/>
  <c r="L40" i="8" s="1"/>
  <c r="S77" i="5"/>
  <c r="J77" i="5" s="1"/>
  <c r="N2" i="6"/>
  <c r="O2" i="6"/>
  <c r="K33" i="10"/>
  <c r="K37" i="5"/>
  <c r="K40" i="5" s="1"/>
  <c r="K41" i="5" s="1"/>
  <c r="K19" i="8" s="1"/>
  <c r="J37" i="5"/>
  <c r="J40" i="5" s="1"/>
  <c r="J41" i="5" s="1"/>
  <c r="J19" i="8" s="1"/>
  <c r="I86" i="5"/>
  <c r="K63" i="5"/>
  <c r="K21" i="8" s="1"/>
  <c r="I87" i="5"/>
  <c r="L55" i="5"/>
  <c r="M52" i="5"/>
  <c r="J21" i="8"/>
  <c r="O77" i="5"/>
  <c r="K77" i="5"/>
  <c r="R77" i="5"/>
  <c r="T77" i="5"/>
  <c r="J14" i="6"/>
  <c r="O50" i="5"/>
  <c r="L5" i="8"/>
  <c r="L18" i="8" s="1"/>
  <c r="L29" i="5" s="1"/>
  <c r="L37" i="5"/>
  <c r="K2" i="9"/>
  <c r="K15" i="9" s="1"/>
  <c r="M5" i="8"/>
  <c r="N5" i="8"/>
  <c r="J5" i="8"/>
  <c r="J18" i="8" s="1"/>
  <c r="J29" i="5" s="1"/>
  <c r="K5" i="8"/>
  <c r="K18" i="8" s="1"/>
  <c r="K29" i="5" s="1"/>
  <c r="I77" i="5"/>
  <c r="L4" i="6"/>
  <c r="K4" i="6"/>
  <c r="J4" i="6"/>
  <c r="I10" i="6" s="1"/>
  <c r="M4" i="6"/>
  <c r="N4" i="6"/>
  <c r="J16" i="8" l="1"/>
  <c r="J3" i="10"/>
  <c r="J18" i="10" s="1"/>
  <c r="J6" i="9" s="1"/>
  <c r="J28" i="9" s="1"/>
  <c r="K3" i="10"/>
  <c r="K3" i="5"/>
  <c r="K4" i="5" s="1"/>
  <c r="K16" i="8"/>
  <c r="I17" i="6"/>
  <c r="I35" i="8"/>
  <c r="I36" i="8" s="1"/>
  <c r="M30" i="8"/>
  <c r="M29" i="8" s="1"/>
  <c r="M27" i="8"/>
  <c r="M26" i="8" s="1"/>
  <c r="M18" i="8"/>
  <c r="M29" i="5" s="1"/>
  <c r="M2" i="10"/>
  <c r="M84" i="5"/>
  <c r="N14" i="8"/>
  <c r="N39" i="8" s="1"/>
  <c r="M15" i="8"/>
  <c r="M40" i="8" s="1"/>
  <c r="M24" i="8"/>
  <c r="M66" i="5" s="1"/>
  <c r="M2" i="5"/>
  <c r="J15" i="6"/>
  <c r="J65" i="5" s="1"/>
  <c r="J23" i="8" s="1"/>
  <c r="J30" i="9"/>
  <c r="J29" i="9" s="1"/>
  <c r="J29" i="10"/>
  <c r="J11" i="8"/>
  <c r="J28" i="8" s="1"/>
  <c r="J43" i="8" s="1"/>
  <c r="J28" i="10"/>
  <c r="J31" i="10"/>
  <c r="J30" i="10"/>
  <c r="J27" i="10"/>
  <c r="J32" i="10"/>
  <c r="J26" i="10"/>
  <c r="L3" i="5"/>
  <c r="L4" i="5" s="1"/>
  <c r="N19" i="10"/>
  <c r="M7" i="9"/>
  <c r="N14" i="10"/>
  <c r="N3" i="9" s="1"/>
  <c r="I48" i="9"/>
  <c r="L3" i="10"/>
  <c r="L16" i="8"/>
  <c r="L33" i="10"/>
  <c r="L29" i="10" s="1"/>
  <c r="L2" i="9"/>
  <c r="L15" i="9" s="1"/>
  <c r="J16" i="6"/>
  <c r="K14" i="6" s="1"/>
  <c r="J24" i="9"/>
  <c r="J15" i="10"/>
  <c r="K26" i="10"/>
  <c r="K28" i="10"/>
  <c r="K30" i="10"/>
  <c r="K32" i="10"/>
  <c r="K25" i="10"/>
  <c r="K27" i="10"/>
  <c r="K29" i="10"/>
  <c r="K31" i="10"/>
  <c r="N52" i="5"/>
  <c r="M55" i="5"/>
  <c r="M63" i="5" s="1"/>
  <c r="L63" i="5"/>
  <c r="I13" i="6"/>
  <c r="I12" i="6"/>
  <c r="J8" i="6" s="1"/>
  <c r="J32" i="6" s="1"/>
  <c r="I21" i="9"/>
  <c r="I19" i="9" s="1"/>
  <c r="E13" i="7"/>
  <c r="N5" i="9"/>
  <c r="O5" i="9"/>
  <c r="N8" i="9"/>
  <c r="O8" i="9"/>
  <c r="K11" i="8"/>
  <c r="K28" i="8" s="1"/>
  <c r="K47" i="5"/>
  <c r="K20" i="8" s="1"/>
  <c r="M37" i="5"/>
  <c r="L40" i="5"/>
  <c r="L41" i="5" s="1"/>
  <c r="J41" i="10" l="1"/>
  <c r="J34" i="10" s="1"/>
  <c r="J21" i="10"/>
  <c r="F17" i="7" s="1"/>
  <c r="I33" i="6"/>
  <c r="J12" i="8"/>
  <c r="J31" i="8" s="1"/>
  <c r="J43" i="10" s="1"/>
  <c r="J40" i="10"/>
  <c r="J35" i="10"/>
  <c r="J37" i="10"/>
  <c r="J36" i="10"/>
  <c r="J38" i="10"/>
  <c r="L15" i="10"/>
  <c r="L4" i="9" s="1"/>
  <c r="L16" i="9" s="1"/>
  <c r="L17" i="9" s="1"/>
  <c r="L18" i="10"/>
  <c r="K15" i="10"/>
  <c r="K17" i="10" s="1"/>
  <c r="K18" i="10"/>
  <c r="J39" i="10"/>
  <c r="M3" i="10"/>
  <c r="J17" i="6"/>
  <c r="J23" i="9"/>
  <c r="M16" i="8"/>
  <c r="M3" i="5"/>
  <c r="M4" i="5" s="1"/>
  <c r="M13" i="10"/>
  <c r="M33" i="10" s="1"/>
  <c r="O14" i="8"/>
  <c r="N2" i="10"/>
  <c r="N13" i="10" s="1"/>
  <c r="N24" i="8"/>
  <c r="N66" i="5" s="1"/>
  <c r="N2" i="5"/>
  <c r="N15" i="8"/>
  <c r="N40" i="8" s="1"/>
  <c r="N84" i="5"/>
  <c r="N18" i="8"/>
  <c r="N29" i="5" s="1"/>
  <c r="N27" i="8"/>
  <c r="N26" i="8" s="1"/>
  <c r="N30" i="8"/>
  <c r="N29" i="8" s="1"/>
  <c r="K15" i="6"/>
  <c r="K65" i="5" s="1"/>
  <c r="K23" i="8" s="1"/>
  <c r="J42" i="10"/>
  <c r="J17" i="10"/>
  <c r="I88" i="5"/>
  <c r="I53" i="8"/>
  <c r="O19" i="10"/>
  <c r="O7" i="9" s="1"/>
  <c r="N7" i="9"/>
  <c r="I49" i="9"/>
  <c r="O14" i="10"/>
  <c r="O3" i="9" s="1"/>
  <c r="L25" i="10"/>
  <c r="L11" i="8"/>
  <c r="L28" i="8" s="1"/>
  <c r="L43" i="8" s="1"/>
  <c r="L27" i="10"/>
  <c r="L32" i="10"/>
  <c r="L30" i="10"/>
  <c r="L28" i="10"/>
  <c r="L26" i="10"/>
  <c r="L31" i="10"/>
  <c r="I89" i="5"/>
  <c r="I90" i="5"/>
  <c r="I9" i="9"/>
  <c r="I83" i="5"/>
  <c r="J10" i="6"/>
  <c r="J28" i="6"/>
  <c r="J4" i="9"/>
  <c r="J16" i="9" s="1"/>
  <c r="J17" i="9" s="1"/>
  <c r="J39" i="9" s="1"/>
  <c r="K24" i="9"/>
  <c r="K16" i="6"/>
  <c r="L14" i="6" s="1"/>
  <c r="K43" i="8"/>
  <c r="K42" i="10"/>
  <c r="M21" i="8"/>
  <c r="O52" i="5"/>
  <c r="L21" i="8"/>
  <c r="N55" i="5"/>
  <c r="N63" i="5" s="1"/>
  <c r="J22" i="9"/>
  <c r="J9" i="6"/>
  <c r="J64" i="5" s="1"/>
  <c r="J22" i="8" s="1"/>
  <c r="J11" i="6"/>
  <c r="E12" i="7"/>
  <c r="E14" i="7" s="1"/>
  <c r="N37" i="5"/>
  <c r="N40" i="5" s="1"/>
  <c r="N41" i="5" s="1"/>
  <c r="O37" i="5"/>
  <c r="O40" i="5" s="1"/>
  <c r="O41" i="5" s="1"/>
  <c r="J47" i="5"/>
  <c r="L19" i="8"/>
  <c r="L47" i="5"/>
  <c r="L20" i="8" s="1"/>
  <c r="M40" i="5"/>
  <c r="M41" i="5" s="1"/>
  <c r="J44" i="8" l="1"/>
  <c r="G16" i="7"/>
  <c r="K4" i="9"/>
  <c r="K16" i="9" s="1"/>
  <c r="K17" i="9" s="1"/>
  <c r="F13" i="7"/>
  <c r="L17" i="10"/>
  <c r="K41" i="10"/>
  <c r="K6" i="9"/>
  <c r="K21" i="10"/>
  <c r="L6" i="9"/>
  <c r="L41" i="10"/>
  <c r="L21" i="10"/>
  <c r="M15" i="10"/>
  <c r="M4" i="9" s="1"/>
  <c r="M16" i="9" s="1"/>
  <c r="M18" i="10"/>
  <c r="J22" i="10"/>
  <c r="J44" i="10" s="1"/>
  <c r="N3" i="10"/>
  <c r="N18" i="10" s="1"/>
  <c r="N21" i="10" s="1"/>
  <c r="O30" i="8"/>
  <c r="O29" i="8" s="1"/>
  <c r="O39" i="8"/>
  <c r="M2" i="9"/>
  <c r="M15" i="9" s="1"/>
  <c r="O24" i="8"/>
  <c r="O66" i="5" s="1"/>
  <c r="O15" i="8"/>
  <c r="O40" i="8" s="1"/>
  <c r="O2" i="10"/>
  <c r="O13" i="10" s="1"/>
  <c r="O84" i="5"/>
  <c r="O2" i="5"/>
  <c r="O27" i="8"/>
  <c r="O26" i="8" s="1"/>
  <c r="O18" i="8"/>
  <c r="N16" i="8"/>
  <c r="N3" i="5"/>
  <c r="N4" i="5" s="1"/>
  <c r="F16" i="7"/>
  <c r="F18" i="7" s="1"/>
  <c r="F19" i="7" s="1"/>
  <c r="J13" i="6"/>
  <c r="J33" i="6" s="1"/>
  <c r="L16" i="6"/>
  <c r="L17" i="6" s="1"/>
  <c r="L42" i="10"/>
  <c r="K17" i="6"/>
  <c r="L24" i="9"/>
  <c r="L15" i="6"/>
  <c r="L65" i="5" s="1"/>
  <c r="L23" i="8" s="1"/>
  <c r="K23" i="9"/>
  <c r="J21" i="9"/>
  <c r="J19" i="9" s="1"/>
  <c r="J12" i="6"/>
  <c r="K8" i="6" s="1"/>
  <c r="N33" i="10"/>
  <c r="N11" i="8" s="1"/>
  <c r="N28" i="8" s="1"/>
  <c r="M26" i="10"/>
  <c r="M28" i="10"/>
  <c r="M30" i="10"/>
  <c r="M32" i="10"/>
  <c r="M25" i="10"/>
  <c r="M27" i="10"/>
  <c r="M29" i="10"/>
  <c r="M31" i="10"/>
  <c r="N21" i="8"/>
  <c r="O55" i="5"/>
  <c r="J20" i="8"/>
  <c r="J17" i="8" s="1"/>
  <c r="J67" i="5"/>
  <c r="O47" i="5"/>
  <c r="O20" i="8" s="1"/>
  <c r="O19" i="8"/>
  <c r="M11" i="8"/>
  <c r="M28" i="8" s="1"/>
  <c r="N2" i="9"/>
  <c r="N19" i="8"/>
  <c r="N47" i="5"/>
  <c r="N20" i="8" s="1"/>
  <c r="M19" i="8"/>
  <c r="M47" i="5"/>
  <c r="M20" i="8" s="1"/>
  <c r="O17" i="8" l="1"/>
  <c r="O41" i="8" s="1"/>
  <c r="J41" i="8"/>
  <c r="J86" i="5"/>
  <c r="J25" i="8"/>
  <c r="H16" i="7"/>
  <c r="M17" i="9"/>
  <c r="M17" i="10"/>
  <c r="H17" i="7"/>
  <c r="L22" i="10"/>
  <c r="L35" i="10"/>
  <c r="L40" i="10"/>
  <c r="L12" i="8"/>
  <c r="L31" i="8" s="1"/>
  <c r="L37" i="10"/>
  <c r="L39" i="10"/>
  <c r="L38" i="10"/>
  <c r="L34" i="10"/>
  <c r="L36" i="10"/>
  <c r="G17" i="7"/>
  <c r="G18" i="7" s="1"/>
  <c r="G19" i="7" s="1"/>
  <c r="K22" i="10"/>
  <c r="L28" i="9"/>
  <c r="L39" i="9" s="1"/>
  <c r="L30" i="9"/>
  <c r="N15" i="10"/>
  <c r="N17" i="10" s="1"/>
  <c r="N22" i="10" s="1"/>
  <c r="N44" i="10" s="1"/>
  <c r="M41" i="10"/>
  <c r="M6" i="9"/>
  <c r="M21" i="10"/>
  <c r="K30" i="9"/>
  <c r="K28" i="9"/>
  <c r="K39" i="9" s="1"/>
  <c r="K39" i="10"/>
  <c r="K38" i="10"/>
  <c r="K12" i="8"/>
  <c r="K31" i="8" s="1"/>
  <c r="K35" i="10"/>
  <c r="K34" i="10"/>
  <c r="K40" i="10"/>
  <c r="K37" i="10"/>
  <c r="K36" i="10"/>
  <c r="J23" i="10"/>
  <c r="N41" i="10"/>
  <c r="N38" i="10" s="1"/>
  <c r="N6" i="9"/>
  <c r="N28" i="9" s="1"/>
  <c r="O3" i="10"/>
  <c r="O16" i="8"/>
  <c r="O25" i="8" s="1"/>
  <c r="O86" i="5"/>
  <c r="O3" i="5"/>
  <c r="O4" i="5" s="1"/>
  <c r="O29" i="5"/>
  <c r="K28" i="6"/>
  <c r="K32" i="6"/>
  <c r="L23" i="9"/>
  <c r="M14" i="6"/>
  <c r="F12" i="7"/>
  <c r="F14" i="7" s="1"/>
  <c r="F15" i="7" s="1"/>
  <c r="G13" i="7"/>
  <c r="K9" i="6"/>
  <c r="K64" i="5" s="1"/>
  <c r="K22" i="8" s="1"/>
  <c r="K17" i="8" s="1"/>
  <c r="K41" i="8" s="1"/>
  <c r="K10" i="6"/>
  <c r="K11" i="6"/>
  <c r="K22" i="9"/>
  <c r="O33" i="10"/>
  <c r="M43" i="8"/>
  <c r="M42" i="10"/>
  <c r="N43" i="8"/>
  <c r="N42" i="10"/>
  <c r="N25" i="10"/>
  <c r="N27" i="10"/>
  <c r="N29" i="10"/>
  <c r="N31" i="10"/>
  <c r="N26" i="10"/>
  <c r="N28" i="10"/>
  <c r="N30" i="10"/>
  <c r="N32" i="10"/>
  <c r="O63" i="5"/>
  <c r="J17" i="7"/>
  <c r="O2" i="9"/>
  <c r="O15" i="9" s="1"/>
  <c r="N15" i="9"/>
  <c r="J52" i="8" l="1"/>
  <c r="J42" i="8" s="1"/>
  <c r="J87" i="5"/>
  <c r="F7" i="7"/>
  <c r="J32" i="8"/>
  <c r="D21" i="24"/>
  <c r="E21" i="24"/>
  <c r="C21" i="24"/>
  <c r="M22" i="10"/>
  <c r="M44" i="10" s="1"/>
  <c r="H18" i="7"/>
  <c r="H19" i="7" s="1"/>
  <c r="I16" i="7"/>
  <c r="L43" i="10"/>
  <c r="L44" i="8"/>
  <c r="K43" i="10"/>
  <c r="K44" i="8"/>
  <c r="L29" i="9"/>
  <c r="L44" i="10"/>
  <c r="L23" i="10"/>
  <c r="M37" i="10"/>
  <c r="M35" i="10"/>
  <c r="M36" i="10"/>
  <c r="M39" i="10"/>
  <c r="M40" i="10"/>
  <c r="M12" i="8"/>
  <c r="M31" i="8" s="1"/>
  <c r="M38" i="10"/>
  <c r="M34" i="10"/>
  <c r="O15" i="10"/>
  <c r="O4" i="9" s="1"/>
  <c r="O16" i="9" s="1"/>
  <c r="O17" i="9" s="1"/>
  <c r="O18" i="10"/>
  <c r="O41" i="10" s="1"/>
  <c r="O38" i="10" s="1"/>
  <c r="K29" i="9"/>
  <c r="N4" i="9"/>
  <c r="N16" i="9" s="1"/>
  <c r="N17" i="9" s="1"/>
  <c r="N39" i="9" s="1"/>
  <c r="I17" i="7"/>
  <c r="M30" i="9"/>
  <c r="M28" i="9"/>
  <c r="M39" i="9" s="1"/>
  <c r="K44" i="10"/>
  <c r="K23" i="10"/>
  <c r="K34" i="6" s="1"/>
  <c r="N30" i="9"/>
  <c r="N29" i="9" s="1"/>
  <c r="N37" i="10"/>
  <c r="N35" i="10"/>
  <c r="N39" i="10"/>
  <c r="L34" i="6"/>
  <c r="J34" i="6"/>
  <c r="J35" i="6" s="1"/>
  <c r="O52" i="8"/>
  <c r="O42" i="8" s="1"/>
  <c r="N34" i="10"/>
  <c r="N12" i="8"/>
  <c r="N31" i="8" s="1"/>
  <c r="N43" i="10" s="1"/>
  <c r="N40" i="10"/>
  <c r="N36" i="10"/>
  <c r="K25" i="8"/>
  <c r="H13" i="7"/>
  <c r="M24" i="9"/>
  <c r="M15" i="6"/>
  <c r="M65" i="5" s="1"/>
  <c r="M23" i="8" s="1"/>
  <c r="M16" i="6"/>
  <c r="J16" i="7"/>
  <c r="K67" i="5"/>
  <c r="K86" i="5"/>
  <c r="K13" i="6"/>
  <c r="K33" i="6" s="1"/>
  <c r="K21" i="9"/>
  <c r="K19" i="9" s="1"/>
  <c r="K12" i="6"/>
  <c r="L8" i="6" s="1"/>
  <c r="O26" i="10"/>
  <c r="O28" i="10"/>
  <c r="O30" i="10"/>
  <c r="O32" i="10"/>
  <c r="O25" i="10"/>
  <c r="O27" i="10"/>
  <c r="O29" i="10"/>
  <c r="O31" i="10"/>
  <c r="O32" i="8"/>
  <c r="O33" i="8" s="1"/>
  <c r="O34" i="8" s="1"/>
  <c r="O87" i="5"/>
  <c r="O21" i="8"/>
  <c r="O11" i="8"/>
  <c r="O28" i="8" s="1"/>
  <c r="J33" i="8" l="1"/>
  <c r="E20" i="24"/>
  <c r="D20" i="24"/>
  <c r="C20" i="24"/>
  <c r="O17" i="10"/>
  <c r="N23" i="10"/>
  <c r="N34" i="6" s="1"/>
  <c r="M23" i="10"/>
  <c r="M34" i="6" s="1"/>
  <c r="J18" i="7"/>
  <c r="K18" i="7"/>
  <c r="O37" i="10"/>
  <c r="O21" i="10"/>
  <c r="O12" i="8"/>
  <c r="O31" i="8" s="1"/>
  <c r="O43" i="10" s="1"/>
  <c r="I18" i="7"/>
  <c r="I19" i="7" s="1"/>
  <c r="O36" i="10"/>
  <c r="O39" i="10"/>
  <c r="O40" i="10"/>
  <c r="O6" i="9"/>
  <c r="O28" i="9" s="1"/>
  <c r="O39" i="9" s="1"/>
  <c r="O34" i="10"/>
  <c r="O35" i="10"/>
  <c r="M43" i="10"/>
  <c r="M44" i="8"/>
  <c r="M29" i="9"/>
  <c r="K35" i="6"/>
  <c r="N44" i="8"/>
  <c r="K52" i="8"/>
  <c r="K42" i="8" s="1"/>
  <c r="G7" i="7"/>
  <c r="K87" i="5"/>
  <c r="K32" i="8"/>
  <c r="K33" i="8" s="1"/>
  <c r="K34" i="8" s="1"/>
  <c r="L11" i="6"/>
  <c r="L32" i="6"/>
  <c r="O35" i="8"/>
  <c r="O36" i="8" s="1"/>
  <c r="M23" i="9"/>
  <c r="M17" i="6"/>
  <c r="N14" i="6"/>
  <c r="L9" i="6"/>
  <c r="L64" i="5" s="1"/>
  <c r="L22" i="9"/>
  <c r="L28" i="6"/>
  <c r="L10" i="6"/>
  <c r="G12" i="7"/>
  <c r="G14" i="7" s="1"/>
  <c r="G15" i="7" s="1"/>
  <c r="O43" i="8"/>
  <c r="P43" i="8" s="1"/>
  <c r="O42" i="10"/>
  <c r="J34" i="8" l="1"/>
  <c r="J35" i="8" s="1"/>
  <c r="J36" i="8" s="1"/>
  <c r="F10" i="7"/>
  <c r="F11" i="7" s="1"/>
  <c r="F20" i="7" s="1"/>
  <c r="C34" i="24" s="1"/>
  <c r="D22" i="24"/>
  <c r="D23" i="24" s="1"/>
  <c r="C22" i="24"/>
  <c r="C23" i="24" s="1"/>
  <c r="E22" i="24"/>
  <c r="E23" i="24" s="1"/>
  <c r="O44" i="8"/>
  <c r="P44" i="8" s="1"/>
  <c r="O22" i="10"/>
  <c r="O44" i="10" s="1"/>
  <c r="J19" i="7"/>
  <c r="O30" i="9"/>
  <c r="O29" i="9" s="1"/>
  <c r="K35" i="8"/>
  <c r="K36" i="8" s="1"/>
  <c r="K9" i="9" s="1"/>
  <c r="N24" i="9"/>
  <c r="N15" i="6"/>
  <c r="N65" i="5" s="1"/>
  <c r="N23" i="8" s="1"/>
  <c r="N16" i="6"/>
  <c r="I13" i="7"/>
  <c r="O9" i="9"/>
  <c r="O53" i="8"/>
  <c r="L21" i="9"/>
  <c r="L19" i="9" s="1"/>
  <c r="L13" i="6"/>
  <c r="L33" i="6" s="1"/>
  <c r="L35" i="6" s="1"/>
  <c r="L12" i="6"/>
  <c r="M8" i="6" s="1"/>
  <c r="M32" i="6" s="1"/>
  <c r="L67" i="5"/>
  <c r="L22" i="8"/>
  <c r="L17" i="8" s="1"/>
  <c r="L41" i="8" s="1"/>
  <c r="O83" i="5"/>
  <c r="O88" i="5"/>
  <c r="J53" i="8" l="1"/>
  <c r="J88" i="5"/>
  <c r="J9" i="9"/>
  <c r="J35" i="9" s="1"/>
  <c r="J36" i="9" s="1"/>
  <c r="J83" i="5"/>
  <c r="J89" i="5"/>
  <c r="O23" i="10"/>
  <c r="O34" i="6" s="1"/>
  <c r="K83" i="5"/>
  <c r="K88" i="5"/>
  <c r="G10" i="7"/>
  <c r="G11" i="7" s="1"/>
  <c r="G20" i="7" s="1"/>
  <c r="D34" i="24" s="1"/>
  <c r="K53" i="8"/>
  <c r="N23" i="9"/>
  <c r="O14" i="6"/>
  <c r="O16" i="6" s="1"/>
  <c r="N17" i="6"/>
  <c r="H12" i="7"/>
  <c r="H14" i="7" s="1"/>
  <c r="H15" i="7" s="1"/>
  <c r="L25" i="8"/>
  <c r="L86" i="5"/>
  <c r="M28" i="6"/>
  <c r="M22" i="9"/>
  <c r="M11" i="6"/>
  <c r="M10" i="6"/>
  <c r="M9" i="6"/>
  <c r="M64" i="5" s="1"/>
  <c r="J40" i="9" l="1"/>
  <c r="J85" i="5"/>
  <c r="J37" i="9"/>
  <c r="J38" i="9"/>
  <c r="K35" i="9"/>
  <c r="K36" i="9" s="1"/>
  <c r="L52" i="8"/>
  <c r="L42" i="8" s="1"/>
  <c r="O17" i="6"/>
  <c r="O23" i="9"/>
  <c r="O24" i="9"/>
  <c r="O15" i="6"/>
  <c r="O65" i="5" s="1"/>
  <c r="O23" i="8" s="1"/>
  <c r="J13" i="7"/>
  <c r="L87" i="5"/>
  <c r="L32" i="8"/>
  <c r="L33" i="8" s="1"/>
  <c r="L34" i="8" s="1"/>
  <c r="H7" i="7"/>
  <c r="M22" i="8"/>
  <c r="M17" i="8" s="1"/>
  <c r="M41" i="8" s="1"/>
  <c r="M67" i="5"/>
  <c r="M13" i="6"/>
  <c r="M33" i="6" s="1"/>
  <c r="M35" i="6" s="1"/>
  <c r="M21" i="9"/>
  <c r="M19" i="9" s="1"/>
  <c r="M12" i="6"/>
  <c r="N8" i="6" s="1"/>
  <c r="N32" i="6" s="1"/>
  <c r="K85" i="5" l="1"/>
  <c r="K37" i="9"/>
  <c r="K27" i="9" s="1"/>
  <c r="K40" i="9"/>
  <c r="K38" i="9"/>
  <c r="K89" i="5"/>
  <c r="J27" i="9"/>
  <c r="J26" i="9" s="1"/>
  <c r="J25" i="9" s="1"/>
  <c r="J18" i="9" s="1"/>
  <c r="J90" i="5"/>
  <c r="K90" i="5"/>
  <c r="L35" i="8"/>
  <c r="L36" i="8" s="1"/>
  <c r="M25" i="8"/>
  <c r="M86" i="5"/>
  <c r="N22" i="9"/>
  <c r="N28" i="6"/>
  <c r="N10" i="6"/>
  <c r="N9" i="6"/>
  <c r="N64" i="5" s="1"/>
  <c r="I12" i="7"/>
  <c r="I14" i="7" s="1"/>
  <c r="I15" i="7" s="1"/>
  <c r="N11" i="6"/>
  <c r="K26" i="9"/>
  <c r="M52" i="8" l="1"/>
  <c r="M42" i="8" s="1"/>
  <c r="L53" i="8"/>
  <c r="N12" i="6"/>
  <c r="O8" i="6" s="1"/>
  <c r="N13" i="6"/>
  <c r="N33" i="6" s="1"/>
  <c r="N35" i="6" s="1"/>
  <c r="N21" i="9"/>
  <c r="N19" i="9" s="1"/>
  <c r="L88" i="5"/>
  <c r="L9" i="9"/>
  <c r="L35" i="9" s="1"/>
  <c r="L36" i="9" s="1"/>
  <c r="L89" i="5" s="1"/>
  <c r="L83" i="5"/>
  <c r="N22" i="8"/>
  <c r="N17" i="8" s="1"/>
  <c r="N41" i="8" s="1"/>
  <c r="N67" i="5"/>
  <c r="H10" i="7"/>
  <c r="I7" i="7"/>
  <c r="M32" i="8"/>
  <c r="M33" i="8" s="1"/>
  <c r="M34" i="8" s="1"/>
  <c r="M87" i="5"/>
  <c r="K25" i="9"/>
  <c r="K18" i="9" s="1"/>
  <c r="H11" i="7" l="1"/>
  <c r="H20" i="7" s="1"/>
  <c r="E34" i="24" s="1"/>
  <c r="O10" i="6"/>
  <c r="O21" i="9" s="1"/>
  <c r="O19" i="9" s="1"/>
  <c r="O32" i="6"/>
  <c r="L40" i="9"/>
  <c r="L37" i="9"/>
  <c r="L38" i="9"/>
  <c r="L85" i="5"/>
  <c r="J12" i="7"/>
  <c r="J14" i="7" s="1"/>
  <c r="J15" i="7" s="1"/>
  <c r="N86" i="5"/>
  <c r="N25" i="8"/>
  <c r="M35" i="8"/>
  <c r="M36" i="8" s="1"/>
  <c r="O28" i="6"/>
  <c r="O22" i="9"/>
  <c r="O9" i="6"/>
  <c r="O64" i="5" s="1"/>
  <c r="O11" i="6"/>
  <c r="L27" i="9" l="1"/>
  <c r="L26" i="9" s="1"/>
  <c r="L25" i="9" s="1"/>
  <c r="L18" i="9" s="1"/>
  <c r="L90" i="5"/>
  <c r="O13" i="6"/>
  <c r="O33" i="6" s="1"/>
  <c r="O35" i="6" s="1"/>
  <c r="O12" i="6"/>
  <c r="N52" i="8"/>
  <c r="N42" i="8" s="1"/>
  <c r="M53" i="8"/>
  <c r="M9" i="9"/>
  <c r="M35" i="9" s="1"/>
  <c r="M36" i="9" s="1"/>
  <c r="M89" i="5" s="1"/>
  <c r="M88" i="5"/>
  <c r="M83" i="5"/>
  <c r="J7" i="7"/>
  <c r="N32" i="8"/>
  <c r="N33" i="8" s="1"/>
  <c r="N87" i="5"/>
  <c r="I10" i="7"/>
  <c r="O67" i="5"/>
  <c r="O22" i="8"/>
  <c r="I11" i="7" l="1"/>
  <c r="I20" i="7" s="1"/>
  <c r="F34" i="24" s="1"/>
  <c r="B16" i="24"/>
  <c r="N34" i="8"/>
  <c r="N35" i="8" s="1"/>
  <c r="N36" i="8" s="1"/>
  <c r="M38" i="9"/>
  <c r="M40" i="9"/>
  <c r="M37" i="9"/>
  <c r="M85" i="5"/>
  <c r="M27" i="9" l="1"/>
  <c r="M26" i="9" s="1"/>
  <c r="M25" i="9" s="1"/>
  <c r="M18" i="9" s="1"/>
  <c r="M90" i="5"/>
  <c r="E24" i="24"/>
  <c r="D24" i="24"/>
  <c r="C24" i="24"/>
  <c r="R5" i="17"/>
  <c r="P8" i="17" s="1"/>
  <c r="E27" i="4"/>
  <c r="X28" i="18"/>
  <c r="E32" i="4"/>
  <c r="I30" i="4"/>
  <c r="N53" i="8"/>
  <c r="N9" i="9"/>
  <c r="N35" i="9" s="1"/>
  <c r="N83" i="5"/>
  <c r="N88" i="5"/>
  <c r="J10" i="7"/>
  <c r="J11" i="7" s="1"/>
  <c r="J20" i="7" l="1"/>
  <c r="G34" i="24" s="1"/>
  <c r="K10" i="7"/>
  <c r="K11" i="7" s="1"/>
  <c r="E54" i="22"/>
  <c r="X30" i="18"/>
  <c r="R8" i="17"/>
  <c r="Y5" i="18" s="1"/>
  <c r="X5" i="18"/>
  <c r="I27" i="4"/>
  <c r="R6" i="17"/>
  <c r="E56" i="23" s="1"/>
  <c r="I32" i="4"/>
  <c r="Q8" i="17"/>
  <c r="P6" i="17"/>
  <c r="E55" i="23" s="1"/>
  <c r="N36" i="9"/>
  <c r="N89" i="5" s="1"/>
  <c r="O35" i="9"/>
  <c r="O36" i="9" s="1"/>
  <c r="F28" i="4" l="1"/>
  <c r="E34" i="4" s="1"/>
  <c r="E35" i="4" s="1"/>
  <c r="Q6" i="17"/>
  <c r="E28" i="4" s="1"/>
  <c r="I28" i="4" s="1"/>
  <c r="X20" i="18"/>
  <c r="G45" i="22" s="1"/>
  <c r="G30" i="22"/>
  <c r="O38" i="9"/>
  <c r="O40" i="9"/>
  <c r="O37" i="9"/>
  <c r="O27" i="9" s="1"/>
  <c r="O26" i="9" s="1"/>
  <c r="O25" i="9" s="1"/>
  <c r="O18" i="9" s="1"/>
  <c r="O85" i="5"/>
  <c r="N38" i="9"/>
  <c r="N40" i="9"/>
  <c r="N85" i="5"/>
  <c r="N37" i="9"/>
  <c r="N90" i="5" s="1"/>
  <c r="O89" i="5"/>
  <c r="I34" i="4" l="1"/>
  <c r="X27" i="18"/>
  <c r="E53" i="22" s="1"/>
  <c r="G34" i="4"/>
  <c r="AC23" i="18"/>
  <c r="E78" i="22" s="1"/>
  <c r="X31" i="18"/>
  <c r="E56" i="22" s="1"/>
  <c r="AF23" i="18"/>
  <c r="H78" i="22" s="1"/>
  <c r="AD23" i="18"/>
  <c r="F78" i="22" s="1"/>
  <c r="B40" i="24"/>
  <c r="B32" i="24" s="1"/>
  <c r="AG23" i="18"/>
  <c r="I78" i="22" s="1"/>
  <c r="AE23" i="18"/>
  <c r="G78" i="22" s="1"/>
  <c r="Y20" i="18"/>
  <c r="H30" i="22"/>
  <c r="N27" i="9"/>
  <c r="N26" i="9" s="1"/>
  <c r="N25" i="9" s="1"/>
  <c r="N18" i="9" s="1"/>
  <c r="P18" i="9" s="1"/>
  <c r="O90" i="5"/>
  <c r="I33" i="4"/>
  <c r="D32" i="24" l="1"/>
  <c r="D36" i="24" s="1"/>
  <c r="B48" i="24"/>
  <c r="B47" i="24"/>
  <c r="B35" i="24" s="1"/>
  <c r="B49" i="24"/>
  <c r="B37" i="24" s="1"/>
  <c r="B31" i="24"/>
  <c r="C32" i="24"/>
  <c r="C36" i="24" s="1"/>
  <c r="E32" i="24"/>
  <c r="E36" i="24" s="1"/>
  <c r="F32" i="24"/>
  <c r="F36" i="24" s="1"/>
  <c r="B33" i="24"/>
  <c r="B21" i="24"/>
  <c r="G32" i="24"/>
  <c r="G36" i="24" s="1"/>
  <c r="X23" i="18"/>
  <c r="E49" i="22" s="1"/>
  <c r="H45" i="22"/>
  <c r="I35" i="4"/>
  <c r="I3" i="7"/>
  <c r="G3" i="7"/>
  <c r="J3" i="7"/>
  <c r="J5" i="7" s="1"/>
  <c r="H3" i="7"/>
  <c r="F3" i="7"/>
  <c r="D33" i="24" l="1"/>
  <c r="D37" i="24" s="1"/>
  <c r="D31" i="24"/>
  <c r="D35" i="24" s="1"/>
  <c r="E31" i="24"/>
  <c r="E35" i="24" s="1"/>
  <c r="F31" i="24"/>
  <c r="F35" i="24" s="1"/>
  <c r="B52" i="24"/>
  <c r="B55" i="24" s="1"/>
  <c r="B58" i="24" s="1"/>
  <c r="I1" i="24" s="1"/>
  <c r="AE42" i="18" s="1"/>
  <c r="G49" i="24"/>
  <c r="E49" i="24" s="1"/>
  <c r="B20" i="24"/>
  <c r="B50" i="24"/>
  <c r="B53" i="24" s="1"/>
  <c r="B56" i="24" s="1"/>
  <c r="G1" i="24" s="1"/>
  <c r="AC42" i="18" s="1"/>
  <c r="G47" i="24"/>
  <c r="E47" i="24" s="1"/>
  <c r="G31" i="24"/>
  <c r="G35" i="24" s="1"/>
  <c r="B51" i="24"/>
  <c r="B54" i="24" s="1"/>
  <c r="B57" i="24" s="1"/>
  <c r="H1" i="24" s="1"/>
  <c r="AD42" i="18" s="1"/>
  <c r="G48" i="24"/>
  <c r="B22" i="24"/>
  <c r="C31" i="24"/>
  <c r="C35" i="24" s="1"/>
  <c r="G33" i="24"/>
  <c r="G37" i="24" s="1"/>
  <c r="B36" i="24"/>
  <c r="C33" i="24"/>
  <c r="C37" i="24" s="1"/>
  <c r="E33" i="24"/>
  <c r="E37" i="24" s="1"/>
  <c r="F33" i="24"/>
  <c r="F37" i="24" s="1"/>
  <c r="I5" i="7"/>
  <c r="I21" i="7" s="1"/>
  <c r="G5" i="7"/>
  <c r="G21" i="7" s="1"/>
  <c r="F5" i="7"/>
  <c r="F21" i="7" s="1"/>
  <c r="H5" i="7"/>
  <c r="H21" i="7" s="1"/>
  <c r="J21" i="7"/>
  <c r="K3" i="7"/>
  <c r="K20" i="7" s="1"/>
  <c r="E50" i="24" l="1"/>
  <c r="E53" i="24" s="1"/>
  <c r="E56" i="24" s="1"/>
  <c r="C47" i="24"/>
  <c r="C50" i="24" s="1"/>
  <c r="C53" i="24" s="1"/>
  <c r="C56" i="24" s="1"/>
  <c r="E52" i="24"/>
  <c r="E55" i="24" s="1"/>
  <c r="E58" i="24" s="1"/>
  <c r="D47" i="24"/>
  <c r="D50" i="24" s="1"/>
  <c r="D53" i="24" s="1"/>
  <c r="D56" i="24" s="1"/>
  <c r="E48" i="24"/>
  <c r="E51" i="24" s="1"/>
  <c r="E54" i="24" s="1"/>
  <c r="E57" i="24" s="1"/>
  <c r="C48" i="24"/>
  <c r="C51" i="24" s="1"/>
  <c r="C54" i="24" s="1"/>
  <c r="C57" i="24" s="1"/>
  <c r="D48" i="24"/>
  <c r="D51" i="24" s="1"/>
  <c r="D54" i="24" s="1"/>
  <c r="D57" i="24" s="1"/>
  <c r="C49" i="24"/>
  <c r="C52" i="24" s="1"/>
  <c r="C55" i="24" s="1"/>
  <c r="C58" i="24" s="1"/>
  <c r="D49" i="24"/>
  <c r="D52" i="24" s="1"/>
  <c r="D55" i="24" s="1"/>
  <c r="D58" i="24" s="1"/>
  <c r="K5" i="7"/>
  <c r="K21" i="7" s="1"/>
  <c r="B2" i="24" l="1" a="1"/>
  <c r="B3" i="24" s="1"/>
  <c r="E53" i="7"/>
  <c r="C3" i="24" l="1"/>
  <c r="AD44" i="18" s="1"/>
  <c r="D3" i="24"/>
  <c r="AE44" i="18" s="1"/>
  <c r="D4" i="24"/>
  <c r="AE45" i="18" s="1"/>
  <c r="C4" i="24"/>
  <c r="B4" i="24"/>
  <c r="G4" i="24" s="1"/>
  <c r="C2" i="24"/>
  <c r="B2" i="24"/>
  <c r="G2" i="24" s="1"/>
  <c r="D2" i="24"/>
  <c r="AE43" i="18" s="1"/>
  <c r="AD45" i="18"/>
  <c r="H4" i="24"/>
  <c r="AD43" i="18"/>
  <c r="H2" i="24"/>
  <c r="AC44" i="18"/>
  <c r="G3" i="24"/>
  <c r="G53" i="7"/>
  <c r="E55" i="7"/>
  <c r="AC45" i="18" l="1"/>
  <c r="I4" i="24"/>
  <c r="H3" i="24"/>
  <c r="I2" i="24"/>
  <c r="I3" i="24"/>
  <c r="AC43" i="18"/>
  <c r="E58" i="7"/>
  <c r="G55" i="7"/>
  <c r="G58" i="7" l="1"/>
  <c r="E60" i="7"/>
  <c r="F60" i="7" l="1"/>
  <c r="B7" i="24"/>
  <c r="G60" i="7"/>
  <c r="M7" i="12" l="1"/>
  <c r="Q43" i="10"/>
  <c r="Q44" i="8"/>
  <c r="L72" i="5"/>
  <c r="E39" i="4"/>
  <c r="E51" i="23"/>
  <c r="Q39" i="9"/>
  <c r="L20" i="6"/>
  <c r="C2" i="18"/>
  <c r="D2" i="18" s="1"/>
  <c r="F39" i="4" l="1"/>
  <c r="I39" i="4"/>
  <c r="P5" i="17"/>
  <c r="E59" i="4"/>
  <c r="G59" i="4" l="1"/>
  <c r="E57" i="4" s="1"/>
  <c r="P59" i="4" l="1"/>
  <c r="G57" i="4"/>
  <c r="F57" i="4"/>
  <c r="K59" i="4"/>
  <c r="J59" i="4"/>
</calcChain>
</file>

<file path=xl/comments1.xml><?xml version="1.0" encoding="utf-8"?>
<comments xmlns="http://schemas.openxmlformats.org/spreadsheetml/2006/main">
  <authors>
    <author>다.이현승</author>
  </authors>
  <commentList>
    <comment ref="E30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법인세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돋움"/>
            <family val="3"/>
            <charset val="129"/>
          </rPr>
          <t>세율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必</t>
        </r>
        <r>
          <rPr>
            <sz val="9"/>
            <color indexed="81"/>
            <rFont val="Tahoma"/>
            <family val="2"/>
          </rPr>
          <t>!!</t>
        </r>
      </text>
    </comment>
  </commentList>
</comments>
</file>

<file path=xl/comments2.xml><?xml version="1.0" encoding="utf-8"?>
<comments xmlns="http://schemas.openxmlformats.org/spreadsheetml/2006/main">
  <authors>
    <author>다.이현승</author>
  </authors>
  <commentList>
    <comment ref="A1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DB </t>
        </r>
        <r>
          <rPr>
            <sz val="9"/>
            <color indexed="81"/>
            <rFont val="돋움"/>
            <family val="3"/>
            <charset val="129"/>
          </rPr>
          <t>저장용도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테이블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<sst xmlns="http://schemas.openxmlformats.org/spreadsheetml/2006/main" count="38038" uniqueCount="17476">
  <si>
    <t>DCF가격</t>
    <phoneticPr fontId="3" type="noConversion"/>
  </si>
  <si>
    <t>1주당가치(DCF)(원)</t>
    <phoneticPr fontId="3" type="noConversion"/>
  </si>
  <si>
    <t>#,##0</t>
    <phoneticPr fontId="3" type="noConversion"/>
  </si>
  <si>
    <t>#0.00</t>
    <phoneticPr fontId="3" type="noConversion"/>
  </si>
  <si>
    <t>B</t>
    <phoneticPr fontId="3" type="noConversion"/>
  </si>
  <si>
    <t>#0.00</t>
    <phoneticPr fontId="9" type="noConversion"/>
  </si>
  <si>
    <t>B</t>
    <phoneticPr fontId="9" type="noConversion"/>
  </si>
  <si>
    <t>Time</t>
  </si>
  <si>
    <t>WACC(%)</t>
  </si>
  <si>
    <t>Discount Factor</t>
  </si>
  <si>
    <t>잉여현금흐름(Free Cash Flow)</t>
  </si>
  <si>
    <t>잉여현금흐름의현재가치(Present Value of FCF)</t>
  </si>
  <si>
    <t>-</t>
    <phoneticPr fontId="9" type="noConversion"/>
  </si>
  <si>
    <t>#,##0</t>
  </si>
  <si>
    <t xml:space="preserve"> </t>
  </si>
  <si>
    <t>계산</t>
  </si>
  <si>
    <t>0번</t>
    <phoneticPr fontId="3" type="noConversion"/>
  </si>
  <si>
    <t>Diff</t>
    <phoneticPr fontId="3" type="noConversion"/>
  </si>
  <si>
    <t>전기등급</t>
    <phoneticPr fontId="3" type="noConversion"/>
  </si>
  <si>
    <t>자본비용역전</t>
    <phoneticPr fontId="3" type="noConversion"/>
  </si>
  <si>
    <t>주식수변동</t>
    <phoneticPr fontId="3" type="noConversion"/>
  </si>
  <si>
    <t>자본잠식여부</t>
    <phoneticPr fontId="3" type="noConversion"/>
  </si>
  <si>
    <t>BPS</t>
    <phoneticPr fontId="3" type="noConversion"/>
  </si>
  <si>
    <t>PER</t>
    <phoneticPr fontId="3" type="noConversion"/>
  </si>
  <si>
    <t>PBR</t>
    <phoneticPr fontId="3" type="noConversion"/>
  </si>
  <si>
    <t>전기비율</t>
    <phoneticPr fontId="3" type="noConversion"/>
  </si>
  <si>
    <t>Aver 3Y</t>
    <phoneticPr fontId="3" type="noConversion"/>
  </si>
  <si>
    <t>Aver 2Y</t>
    <phoneticPr fontId="3" type="noConversion"/>
  </si>
  <si>
    <t>WA 2Y</t>
    <phoneticPr fontId="3" type="noConversion"/>
  </si>
  <si>
    <t>전기비율</t>
    <phoneticPr fontId="3" type="noConversion"/>
  </si>
  <si>
    <t>Aver 4Y</t>
    <phoneticPr fontId="3" type="noConversion"/>
  </si>
  <si>
    <t>WA 4Y</t>
    <phoneticPr fontId="3" type="noConversion"/>
  </si>
  <si>
    <t>Aver 4Y</t>
    <phoneticPr fontId="3" type="noConversion"/>
  </si>
  <si>
    <t>Aver 3Y</t>
    <phoneticPr fontId="3" type="noConversion"/>
  </si>
  <si>
    <t>Aver 2Y</t>
    <phoneticPr fontId="3" type="noConversion"/>
  </si>
  <si>
    <t>WA 4Y</t>
    <phoneticPr fontId="3" type="noConversion"/>
  </si>
  <si>
    <t>WA 2Y</t>
    <phoneticPr fontId="3" type="noConversion"/>
  </si>
  <si>
    <t>Diff</t>
    <phoneticPr fontId="3" type="noConversion"/>
  </si>
  <si>
    <t>전기자료</t>
    <phoneticPr fontId="3" type="noConversion"/>
  </si>
  <si>
    <t>자본금</t>
  </si>
  <si>
    <t> [수권주식수]</t>
  </si>
  <si>
    <t> [1주의금액](원)</t>
  </si>
  <si>
    <t>  보통주자본금</t>
  </si>
  <si>
    <t>  [보통주발행주식수]</t>
  </si>
  <si>
    <t>  우선주자본금</t>
  </si>
  <si>
    <t>  [우선주발행주식수]</t>
  </si>
  <si>
    <t> 자본잉여금</t>
  </si>
  <si>
    <t>  자본준비금</t>
  </si>
  <si>
    <t>   주식발행초과금</t>
  </si>
  <si>
    <t>CAGR</t>
    <phoneticPr fontId="14" type="noConversion"/>
  </si>
  <si>
    <t>Avg.</t>
    <phoneticPr fontId="14" type="noConversion"/>
  </si>
  <si>
    <t>매출추정내역</t>
    <phoneticPr fontId="9" type="noConversion"/>
  </si>
  <si>
    <t>&lt;단위: 백만원, %&gt;</t>
    <phoneticPr fontId="9" type="noConversion"/>
  </si>
  <si>
    <t>구  분</t>
    <phoneticPr fontId="9" type="noConversion"/>
  </si>
  <si>
    <t>과거 매출액</t>
    <phoneticPr fontId="9" type="noConversion"/>
  </si>
  <si>
    <t>증가율(%)</t>
    <phoneticPr fontId="9" type="noConversion"/>
  </si>
  <si>
    <t>&lt;자산계정의 변화 그래프&gt;</t>
    <phoneticPr fontId="3" type="noConversion"/>
  </si>
  <si>
    <t>EPS</t>
    <phoneticPr fontId="3" type="noConversion"/>
  </si>
  <si>
    <t>BPS</t>
    <phoneticPr fontId="3" type="noConversion"/>
  </si>
  <si>
    <t>판관비율</t>
    <phoneticPr fontId="3" type="noConversion"/>
  </si>
  <si>
    <t>영업이익률</t>
    <phoneticPr fontId="3" type="noConversion"/>
  </si>
  <si>
    <t>당기순이익률</t>
    <phoneticPr fontId="3" type="noConversion"/>
  </si>
  <si>
    <t>ROE</t>
    <phoneticPr fontId="3" type="noConversion"/>
  </si>
  <si>
    <t>ROA</t>
    <phoneticPr fontId="3" type="noConversion"/>
  </si>
  <si>
    <t>SPS</t>
    <phoneticPr fontId="3" type="noConversion"/>
  </si>
  <si>
    <t>보통주 유통주식수</t>
    <phoneticPr fontId="3" type="noConversion"/>
  </si>
  <si>
    <t>DCF</t>
    <phoneticPr fontId="3" type="noConversion"/>
  </si>
  <si>
    <t>최종가</t>
    <phoneticPr fontId="3" type="noConversion"/>
  </si>
  <si>
    <t>전기</t>
    <phoneticPr fontId="3" type="noConversion"/>
  </si>
  <si>
    <t>이자수익/경상영업외수익</t>
    <phoneticPr fontId="3" type="noConversion"/>
  </si>
  <si>
    <t>이자비용/경상영업외비용</t>
    <phoneticPr fontId="3" type="noConversion"/>
  </si>
  <si>
    <t>전기 추정 매출액증가율(%)</t>
    <phoneticPr fontId="9" type="noConversion"/>
  </si>
  <si>
    <t>우선주 자본금</t>
    <phoneticPr fontId="3" type="noConversion"/>
  </si>
  <si>
    <t>이자수익/이자수입성자산(%)</t>
    <phoneticPr fontId="3" type="noConversion"/>
  </si>
  <si>
    <t>이자비용/이자지급성부채(%)</t>
    <phoneticPr fontId="3" type="noConversion"/>
  </si>
  <si>
    <t>&lt;부채 및 계정의 변화 그래프&gt;</t>
    <phoneticPr fontId="3" type="noConversion"/>
  </si>
  <si>
    <t>부채비율(%)</t>
    <phoneticPr fontId="3" type="noConversion"/>
  </si>
  <si>
    <t>유동비율(%)</t>
    <phoneticPr fontId="3" type="noConversion"/>
  </si>
  <si>
    <t>자본잠식 비율(%)</t>
    <phoneticPr fontId="3" type="noConversion"/>
  </si>
  <si>
    <t>&lt;기타비영업용자산 항목&gt;</t>
    <phoneticPr fontId="9" type="noConversion"/>
  </si>
  <si>
    <t>항목</t>
    <phoneticPr fontId="3" type="noConversion"/>
  </si>
  <si>
    <t>금액</t>
    <phoneticPr fontId="3" type="noConversion"/>
  </si>
  <si>
    <t>민감도분석(최종가)
성장률(%) / 할인율(%)</t>
    <phoneticPr fontId="3" type="noConversion"/>
  </si>
  <si>
    <t>매출액 영업이익률</t>
    <phoneticPr fontId="3" type="noConversion"/>
  </si>
  <si>
    <t>W.A.</t>
    <phoneticPr fontId="14" type="noConversion"/>
  </si>
  <si>
    <t>가중치</t>
    <phoneticPr fontId="9" type="noConversion"/>
  </si>
  <si>
    <t>경제성장률</t>
    <phoneticPr fontId="9" type="noConversion"/>
  </si>
  <si>
    <t>매출액 순이익률</t>
    <phoneticPr fontId="3" type="noConversion"/>
  </si>
  <si>
    <t>Multiple</t>
    <phoneticPr fontId="3" type="noConversion"/>
  </si>
  <si>
    <t>생산자물가상승률</t>
    <phoneticPr fontId="3" type="noConversion"/>
  </si>
  <si>
    <t>IMF경제성장률평균</t>
    <phoneticPr fontId="3" type="noConversion"/>
  </si>
  <si>
    <t>추정성장률평균</t>
    <phoneticPr fontId="3" type="noConversion"/>
  </si>
  <si>
    <t>무보증공모채</t>
  </si>
  <si>
    <t>신용등급</t>
  </si>
  <si>
    <t>1년</t>
  </si>
  <si>
    <t>2년</t>
  </si>
  <si>
    <t>3년</t>
  </si>
  <si>
    <t>5년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</si>
  <si>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</si>
  <si>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</si>
  <si>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</si>
  <si>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</si>
  <si>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</si>
  <si>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</si>
  <si>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</si>
  <si>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</si>
  <si>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</si>
  <si>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</si>
  <si>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</si>
  <si>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</si>
  <si>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무보증사모채</t>
  </si>
  <si>
    <t>&lt;세전타인자본비용&gt;</t>
    <phoneticPr fontId="3" type="noConversion"/>
  </si>
  <si>
    <t>증분차입</t>
    <phoneticPr fontId="3" type="noConversion"/>
  </si>
  <si>
    <t>이자/이자부부채</t>
    <phoneticPr fontId="3" type="noConversion"/>
  </si>
  <si>
    <t>회사명</t>
    <phoneticPr fontId="3" type="noConversion"/>
  </si>
  <si>
    <t>구분</t>
    <phoneticPr fontId="3" type="noConversion"/>
  </si>
  <si>
    <t>취득일자</t>
    <phoneticPr fontId="3" type="noConversion"/>
  </si>
  <si>
    <t>취득가격(총액)</t>
    <phoneticPr fontId="3" type="noConversion"/>
  </si>
  <si>
    <t>취득수량</t>
    <phoneticPr fontId="3" type="noConversion"/>
  </si>
  <si>
    <t>주당 취득가격</t>
    <phoneticPr fontId="3" type="noConversion"/>
  </si>
  <si>
    <t>평가기준일</t>
  </si>
  <si>
    <t>공모/사모</t>
  </si>
  <si>
    <t>등급</t>
  </si>
  <si>
    <t>시장</t>
  </si>
  <si>
    <t>업종</t>
  </si>
  <si>
    <t>DCF 규모 및 비상장 프리미엄 판단기준</t>
    <phoneticPr fontId="3" type="noConversion"/>
  </si>
  <si>
    <t>프리미엄(%)</t>
    <phoneticPr fontId="3" type="noConversion"/>
  </si>
  <si>
    <t>1. 코넥스 상장기업 또는 IPO 예정기업(1년 이내)</t>
    <phoneticPr fontId="3" type="noConversion"/>
  </si>
  <si>
    <t>1. 외감기업이며, 매출액 규모가 1000억원 이상인 경우</t>
    <phoneticPr fontId="3" type="noConversion"/>
  </si>
  <si>
    <t>1~2%</t>
    <phoneticPr fontId="3" type="noConversion"/>
  </si>
  <si>
    <t>1. 외감기업이며, 매출액 규모가 1000억원 미만인 경우</t>
    <phoneticPr fontId="3" type="noConversion"/>
  </si>
  <si>
    <t>2~3%</t>
    <phoneticPr fontId="3" type="noConversion"/>
  </si>
  <si>
    <t>1. 비외감기업인 경우</t>
    <phoneticPr fontId="3" type="noConversion"/>
  </si>
  <si>
    <t>3~4%</t>
    <phoneticPr fontId="3" type="noConversion"/>
  </si>
  <si>
    <t>1. 중소벤처기업 등</t>
    <phoneticPr fontId="3" type="noConversion"/>
  </si>
  <si>
    <t>4~5%</t>
    <phoneticPr fontId="3" type="noConversion"/>
  </si>
  <si>
    <t>평가기준일</t>
    <phoneticPr fontId="3" type="noConversion"/>
  </si>
  <si>
    <t xml:space="preserve">8. 영구현금흐름 법인세율 </t>
    <phoneticPr fontId="3" type="noConversion"/>
  </si>
  <si>
    <t>2. RATE 및 BETA 기준일</t>
  </si>
  <si>
    <t>3. 주식수 및 WACC sheet 법인세 수식</t>
  </si>
  <si>
    <t>4. 감가상각비 계산 수식</t>
  </si>
  <si>
    <t>5. IS sheet 법인세율 금액에 맞춰 계산되는지</t>
  </si>
  <si>
    <t>6. BS sheet 유형자산 계산 내역</t>
  </si>
  <si>
    <t>1. 공시 확인</t>
    <phoneticPr fontId="3" type="noConversion"/>
  </si>
  <si>
    <t>9. IMF 성장률 밀림현상 확인</t>
    <phoneticPr fontId="3" type="noConversion"/>
  </si>
  <si>
    <t>평가기준일</t>
    <phoneticPr fontId="3" type="noConversion"/>
  </si>
  <si>
    <t>유형자산 구분</t>
    <phoneticPr fontId="3" type="noConversion"/>
  </si>
  <si>
    <t>감가상각률</t>
    <phoneticPr fontId="3" type="noConversion"/>
  </si>
  <si>
    <t>BV</t>
    <phoneticPr fontId="3" type="noConversion"/>
  </si>
  <si>
    <t>건물</t>
  </si>
  <si>
    <t>구축물</t>
  </si>
  <si>
    <t>기계장치</t>
  </si>
  <si>
    <t>차량운반구</t>
    <phoneticPr fontId="3" type="noConversion"/>
  </si>
  <si>
    <t>비품</t>
    <phoneticPr fontId="3" type="noConversion"/>
  </si>
  <si>
    <t>기타유형자산</t>
  </si>
  <si>
    <t>유형자산 구분</t>
    <phoneticPr fontId="3" type="noConversion"/>
  </si>
  <si>
    <t>기초BV</t>
    <phoneticPr fontId="3" type="noConversion"/>
  </si>
  <si>
    <t>취득</t>
    <phoneticPr fontId="3" type="noConversion"/>
  </si>
  <si>
    <t>처분</t>
    <phoneticPr fontId="3" type="noConversion"/>
  </si>
  <si>
    <t>대체</t>
    <phoneticPr fontId="3" type="noConversion"/>
  </si>
  <si>
    <t>감가상각비</t>
    <phoneticPr fontId="3" type="noConversion"/>
  </si>
  <si>
    <t>기말BV</t>
    <phoneticPr fontId="3" type="noConversion"/>
  </si>
  <si>
    <t>비중</t>
    <phoneticPr fontId="3" type="noConversion"/>
  </si>
  <si>
    <t>상각률 1</t>
    <phoneticPr fontId="3" type="noConversion"/>
  </si>
  <si>
    <t>상각률 2</t>
    <phoneticPr fontId="3" type="noConversion"/>
  </si>
  <si>
    <t>차량운반구</t>
    <phoneticPr fontId="3" type="noConversion"/>
  </si>
  <si>
    <t>비품</t>
    <phoneticPr fontId="3" type="noConversion"/>
  </si>
  <si>
    <t>건설중인자산</t>
    <phoneticPr fontId="3" type="noConversion"/>
  </si>
  <si>
    <t>계</t>
    <phoneticPr fontId="3" type="noConversion"/>
  </si>
  <si>
    <t>무형자산 구분</t>
    <phoneticPr fontId="3" type="noConversion"/>
  </si>
  <si>
    <t>감가상각률</t>
    <phoneticPr fontId="3" type="noConversion"/>
  </si>
  <si>
    <t>영업권</t>
    <phoneticPr fontId="3" type="noConversion"/>
  </si>
  <si>
    <t>산업재산권</t>
  </si>
  <si>
    <t>기타무형자산</t>
    <phoneticPr fontId="3" type="noConversion"/>
  </si>
  <si>
    <t>무형자산 구분</t>
    <phoneticPr fontId="3" type="noConversion"/>
  </si>
  <si>
    <t>기초BV</t>
    <phoneticPr fontId="3" type="noConversion"/>
  </si>
  <si>
    <t>취득</t>
    <phoneticPr fontId="3" type="noConversion"/>
  </si>
  <si>
    <t>무형상각비</t>
    <phoneticPr fontId="3" type="noConversion"/>
  </si>
  <si>
    <t>기말BV</t>
    <phoneticPr fontId="3" type="noConversion"/>
  </si>
  <si>
    <t>비중</t>
    <phoneticPr fontId="3" type="noConversion"/>
  </si>
  <si>
    <t>영업권</t>
    <phoneticPr fontId="3" type="noConversion"/>
  </si>
  <si>
    <t>기타무형자산</t>
    <phoneticPr fontId="3" type="noConversion"/>
  </si>
  <si>
    <t>계</t>
    <phoneticPr fontId="3" type="noConversion"/>
  </si>
  <si>
    <t>영업권</t>
    <phoneticPr fontId="3" type="noConversion"/>
  </si>
  <si>
    <t>회원권</t>
    <phoneticPr fontId="3" type="noConversion"/>
  </si>
  <si>
    <t>내용연수</t>
    <phoneticPr fontId="3" type="noConversion"/>
  </si>
  <si>
    <t>내용연수</t>
    <phoneticPr fontId="3" type="noConversion"/>
  </si>
  <si>
    <t>건설中</t>
    <phoneticPr fontId="3" type="noConversion"/>
  </si>
  <si>
    <t>전기가격</t>
  </si>
  <si>
    <t>수렴비율</t>
    <phoneticPr fontId="9" type="noConversion"/>
  </si>
  <si>
    <t>수렴연도</t>
    <phoneticPr fontId="9" type="noConversion"/>
  </si>
  <si>
    <t>경제수렴</t>
    <phoneticPr fontId="9" type="noConversion"/>
  </si>
  <si>
    <t>산업수렴</t>
    <phoneticPr fontId="9" type="noConversion"/>
  </si>
  <si>
    <t>경제수렴</t>
    <phoneticPr fontId="9" type="noConversion"/>
  </si>
  <si>
    <t>산업수렴</t>
    <phoneticPr fontId="9" type="noConversion"/>
  </si>
  <si>
    <t>과세표준</t>
    <phoneticPr fontId="3" type="noConversion"/>
  </si>
  <si>
    <t>누진공제</t>
    <phoneticPr fontId="3" type="noConversion"/>
  </si>
  <si>
    <t>인원수</t>
    <phoneticPr fontId="3" type="noConversion"/>
  </si>
  <si>
    <t>경제성장률</t>
    <phoneticPr fontId="3" type="noConversion"/>
  </si>
  <si>
    <t>적용성장률</t>
    <phoneticPr fontId="3" type="noConversion"/>
  </si>
  <si>
    <t>비중</t>
    <phoneticPr fontId="3" type="noConversion"/>
  </si>
  <si>
    <t>경제성장 적용</t>
  </si>
  <si>
    <t>경제성장 적용</t>
    <phoneticPr fontId="3" type="noConversion"/>
  </si>
  <si>
    <t>적용성장 적용</t>
    <phoneticPr fontId="3" type="noConversion"/>
  </si>
  <si>
    <t>7. FCF sheet NOPLAT 법인세율 확인</t>
    <phoneticPr fontId="3" type="noConversion"/>
  </si>
  <si>
    <t>Avg 2Y</t>
    <phoneticPr fontId="3" type="noConversion"/>
  </si>
  <si>
    <t>WA 3Y</t>
  </si>
  <si>
    <t>WA 3Y</t>
    <phoneticPr fontId="3" type="noConversion"/>
  </si>
  <si>
    <t>Aver 2Y</t>
    <phoneticPr fontId="3" type="noConversion"/>
  </si>
  <si>
    <t>Avg 3Y</t>
    <phoneticPr fontId="3" type="noConversion"/>
  </si>
  <si>
    <t>WA 3Y</t>
    <phoneticPr fontId="3" type="noConversion"/>
  </si>
  <si>
    <t>Avg 3Y</t>
    <phoneticPr fontId="3" type="noConversion"/>
  </si>
  <si>
    <t># 해당시트는 삭제하거나 숨길 것</t>
    <phoneticPr fontId="3" type="noConversion"/>
  </si>
  <si>
    <t>Ticker</t>
  </si>
  <si>
    <t>Symbol</t>
  </si>
  <si>
    <t>종목명(Eng)</t>
  </si>
  <si>
    <t>종목명</t>
  </si>
  <si>
    <t>10차표준(세분류)</t>
  </si>
  <si>
    <t>매출액</t>
  </si>
  <si>
    <t>영업이익</t>
  </si>
  <si>
    <t>세전이익</t>
  </si>
  <si>
    <t>자본총계</t>
  </si>
  <si>
    <t>베타</t>
  </si>
  <si>
    <t>차입금/시총</t>
  </si>
  <si>
    <t>거래정지</t>
  </si>
  <si>
    <t>관리종목</t>
  </si>
  <si>
    <t>시작일</t>
  </si>
  <si>
    <t>종료일</t>
  </si>
  <si>
    <t>차입금</t>
  </si>
  <si>
    <t>시가총액</t>
  </si>
  <si>
    <t>평가가격</t>
    <phoneticPr fontId="14" type="noConversion"/>
  </si>
  <si>
    <t>차입금비율</t>
    <phoneticPr fontId="14" type="noConversion"/>
  </si>
  <si>
    <t>법인세율</t>
    <phoneticPr fontId="14" type="noConversion"/>
  </si>
  <si>
    <t>종목명</t>
    <phoneticPr fontId="14" type="noConversion"/>
  </si>
  <si>
    <t>Ticker</t>
    <phoneticPr fontId="14" type="noConversion"/>
  </si>
  <si>
    <t>법인번호</t>
    <phoneticPr fontId="14" type="noConversion"/>
  </si>
  <si>
    <t>10차표준(세분류)</t>
    <phoneticPr fontId="14" type="noConversion"/>
  </si>
  <si>
    <t>영업이익</t>
    <phoneticPr fontId="14" type="noConversion"/>
  </si>
  <si>
    <t>세전이익</t>
    <phoneticPr fontId="14" type="noConversion"/>
  </si>
  <si>
    <t>자본총계</t>
    <phoneticPr fontId="14" type="noConversion"/>
  </si>
  <si>
    <t>베타</t>
    <phoneticPr fontId="14" type="noConversion"/>
  </si>
  <si>
    <t>차입금/시총</t>
    <phoneticPr fontId="14" type="noConversion"/>
  </si>
  <si>
    <t>Unlevered</t>
    <phoneticPr fontId="14" type="noConversion"/>
  </si>
  <si>
    <t>Levered</t>
    <phoneticPr fontId="14" type="noConversion"/>
  </si>
  <si>
    <t>산업평균</t>
    <phoneticPr fontId="14" type="noConversion"/>
  </si>
  <si>
    <t>거래정지</t>
    <phoneticPr fontId="9" type="noConversion"/>
  </si>
  <si>
    <t>관리종목</t>
    <phoneticPr fontId="9" type="noConversion"/>
  </si>
  <si>
    <t>롯데지주</t>
    <phoneticPr fontId="9" type="noConversion"/>
  </si>
  <si>
    <t>성장률 확인 必</t>
    <phoneticPr fontId="9" type="noConversion"/>
  </si>
  <si>
    <t>FCF추정!E22</t>
    <phoneticPr fontId="9" type="noConversion"/>
  </si>
  <si>
    <t>연도</t>
  </si>
  <si>
    <t>FCF</t>
  </si>
  <si>
    <t>현가계수</t>
  </si>
  <si>
    <t>현재가치</t>
  </si>
  <si>
    <t>구분</t>
  </si>
  <si>
    <t>금액</t>
  </si>
  <si>
    <t>비고</t>
  </si>
  <si>
    <t>Peer Companies</t>
  </si>
  <si>
    <t>관측베타</t>
  </si>
  <si>
    <t>차입금/시총(%)</t>
    <phoneticPr fontId="9" type="noConversion"/>
  </si>
  <si>
    <t>Unlevered Beta</t>
  </si>
  <si>
    <t>Levered Beta</t>
  </si>
  <si>
    <t>FCF추정!F22</t>
  </si>
  <si>
    <t>FCF추정!G22</t>
  </si>
  <si>
    <t>FCF추정!H22</t>
  </si>
  <si>
    <t>FCF추정!I22</t>
  </si>
  <si>
    <t>FCF추정!J22</t>
  </si>
  <si>
    <t>FCF추정!F20</t>
    <phoneticPr fontId="9" type="noConversion"/>
  </si>
  <si>
    <t>FCF추정!F5</t>
  </si>
  <si>
    <t>FCF추정!F24</t>
  </si>
  <si>
    <t>FCF추정!F21</t>
  </si>
  <si>
    <t>단기금융상품</t>
  </si>
  <si>
    <t>Ⅰ. 매출액</t>
  </si>
  <si>
    <t>FCF추정!G20</t>
  </si>
  <si>
    <t>FCF추정!G5</t>
  </si>
  <si>
    <t>FCF추정!G24</t>
  </si>
  <si>
    <t>FCF추정!G21</t>
  </si>
  <si>
    <t>계</t>
  </si>
  <si>
    <t>단기투자증권</t>
  </si>
  <si>
    <t>Ⅱ. 매출원가</t>
  </si>
  <si>
    <t>FCF추정!H20</t>
  </si>
  <si>
    <t>FCF추정!H5</t>
  </si>
  <si>
    <t>FCF추정!H24</t>
  </si>
  <si>
    <t>FCF추정!H21</t>
  </si>
  <si>
    <t>Growth Rate(%)</t>
    <phoneticPr fontId="9" type="noConversion"/>
  </si>
  <si>
    <t>장기금융상품</t>
  </si>
  <si>
    <t>Ⅲ. 매출총이익</t>
  </si>
  <si>
    <t>FCF추정!I20</t>
  </si>
  <si>
    <t>FCF추정!I5</t>
  </si>
  <si>
    <t>FCF추정!I24</t>
  </si>
  <si>
    <t>FCF추정!I21</t>
  </si>
  <si>
    <t>장기투자증권</t>
  </si>
  <si>
    <t>Ⅳ. 판매 및 일반관리비</t>
  </si>
  <si>
    <t>FCF추정!J20</t>
  </si>
  <si>
    <t>FCF추정!J5</t>
  </si>
  <si>
    <t>FCF추정!J24</t>
  </si>
  <si>
    <t>FCF추정!J21</t>
  </si>
  <si>
    <t>지분법적용주식</t>
  </si>
  <si>
    <t>1. 매출관련경비</t>
  </si>
  <si>
    <t>Terminal Value (＊)</t>
  </si>
  <si>
    <t>FCF추정!K20</t>
  </si>
  <si>
    <t>FCF추정!K5</t>
  </si>
  <si>
    <t>FCF추정!K21</t>
  </si>
  <si>
    <t>매출원가</t>
  </si>
  <si>
    <t>투자부동산</t>
  </si>
  <si>
    <t>2. 인건비</t>
  </si>
  <si>
    <t>회원권</t>
  </si>
  <si>
    <t>3. 인건비성경비</t>
  </si>
  <si>
    <t>% Of Sales</t>
    <phoneticPr fontId="9" type="noConversion"/>
  </si>
  <si>
    <t>기타비영업용자산</t>
  </si>
  <si>
    <t>4. 고정성경비</t>
  </si>
  <si>
    <t>(+) 비영업용자산 (Non-Operating Assets)</t>
    <phoneticPr fontId="9" type="noConversion"/>
  </si>
  <si>
    <t>비영업용자산 계</t>
  </si>
  <si>
    <t>5. 감가상각비(IS)</t>
  </si>
  <si>
    <t>6. 무형자산상각비(IS)</t>
  </si>
  <si>
    <t>매출관련경비</t>
  </si>
  <si>
    <t>Ⅴ. 영업이익</t>
  </si>
  <si>
    <t>인건비</t>
  </si>
  <si>
    <t>단기차입금</t>
  </si>
  <si>
    <t>Ⅵ. 법인세비용</t>
  </si>
  <si>
    <t>인건비성경비</t>
  </si>
  <si>
    <t>유동성장기부채</t>
  </si>
  <si>
    <t>Ⅶ. NOPLAT (a)</t>
  </si>
  <si>
    <t>고정성경비</t>
  </si>
  <si>
    <t>장기사채</t>
  </si>
  <si>
    <r>
      <t>Ⅷ.</t>
    </r>
    <r>
      <rPr>
        <sz val="9"/>
        <color rgb="FF000000"/>
        <rFont val="Arial Unicode MS"/>
        <family val="2"/>
      </rPr>
      <t xml:space="preserve"> 조정사항 (b)</t>
    </r>
  </si>
  <si>
    <t>감가상각비</t>
  </si>
  <si>
    <t>장기차입금</t>
  </si>
  <si>
    <t xml:space="preserve">1. 감가상각비(CF) </t>
  </si>
  <si>
    <t>무형자산상각비</t>
  </si>
  <si>
    <t>금융리스부채</t>
  </si>
  <si>
    <t>Average</t>
  </si>
  <si>
    <t>2. 순운전자본의 증감</t>
  </si>
  <si>
    <t>FCF추정!F19</t>
    <phoneticPr fontId="9" type="noConversion"/>
  </si>
  <si>
    <t>FCF추정!G19</t>
    <phoneticPr fontId="9" type="noConversion"/>
  </si>
  <si>
    <t>FCF추정!H19</t>
    <phoneticPr fontId="9" type="noConversion"/>
  </si>
  <si>
    <t>FCF추정!I19</t>
    <phoneticPr fontId="9" type="noConversion"/>
  </si>
  <si>
    <t>FCF추정!J19</t>
    <phoneticPr fontId="9" type="noConversion"/>
  </si>
  <si>
    <t>기타</t>
    <phoneticPr fontId="9" type="noConversion"/>
  </si>
  <si>
    <t>기타재무부채</t>
  </si>
  <si>
    <t xml:space="preserve">3. 자본적지출(CAPEX) </t>
  </si>
  <si>
    <t>판매관리비 계</t>
  </si>
  <si>
    <t>현금및현금등가물</t>
  </si>
  <si>
    <t>항목</t>
  </si>
  <si>
    <t>산식</t>
  </si>
  <si>
    <t>값</t>
  </si>
  <si>
    <t>Ⅸ. FCFF (c=a-b)</t>
  </si>
  <si>
    <t>% Of Sales</t>
    <phoneticPr fontId="9" type="noConversion"/>
  </si>
  <si>
    <t>순부채 계</t>
  </si>
  <si>
    <t>βL = βU × (1 + (1 - t) × B/S평가대상기업)
(Bloomberg)</t>
    <phoneticPr fontId="9" type="noConversion"/>
  </si>
  <si>
    <t>할인율</t>
  </si>
  <si>
    <t>무위험이자율</t>
  </si>
  <si>
    <t>Risk Free Rate of Korea (1yr)
(Bloomberg)</t>
    <phoneticPr fontId="9" type="noConversion"/>
  </si>
  <si>
    <t>할인기간(기중현금흐름)</t>
  </si>
  <si>
    <t>Market Risk Premium</t>
  </si>
  <si>
    <t>Market Risk premium of Korea (1yr)</t>
  </si>
  <si>
    <t>FCF추정!F5</t>
    <phoneticPr fontId="9" type="noConversion"/>
  </si>
  <si>
    <t>회사명</t>
  </si>
  <si>
    <t>기업형태</t>
  </si>
  <si>
    <t>규모 및 비상장프리미엄</t>
  </si>
  <si>
    <t xml:space="preserve">검토 받지 않은 재무정보 및 매출규모 고려 </t>
  </si>
  <si>
    <t>잔여기간</t>
    <phoneticPr fontId="9" type="noConversion"/>
  </si>
  <si>
    <t>FCF추정!F23</t>
  </si>
  <si>
    <t>FCF추정!G23</t>
  </si>
  <si>
    <t>FCF추정!H23</t>
  </si>
  <si>
    <t>FCF추정!I23</t>
  </si>
  <si>
    <t>FCF추정!J23</t>
  </si>
  <si>
    <t>대표자</t>
  </si>
  <si>
    <t>설립일자</t>
  </si>
  <si>
    <t>Growth Rate(%)</t>
    <phoneticPr fontId="9" type="noConversion"/>
  </si>
  <si>
    <t>자기자본비용(Ke)</t>
  </si>
  <si>
    <r>
      <t>Ke = R</t>
    </r>
    <r>
      <rPr>
        <vertAlign val="subscript"/>
        <sz val="9"/>
        <color rgb="FF000000"/>
        <rFont val="맑은 고딕"/>
        <family val="3"/>
        <charset val="129"/>
        <scheme val="minor"/>
      </rPr>
      <t>f</t>
    </r>
    <r>
      <rPr>
        <sz val="9"/>
        <color rgb="FF000000"/>
        <rFont val="맑은 고딕"/>
        <family val="3"/>
        <charset val="129"/>
        <scheme val="minor"/>
      </rPr>
      <t xml:space="preserve"> + β</t>
    </r>
    <r>
      <rPr>
        <vertAlign val="subscript"/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맑은 고딕"/>
        <family val="3"/>
        <charset val="129"/>
        <scheme val="minor"/>
      </rPr>
      <t xml:space="preserve"> × MRP + 규모 및 비상장프리미엄</t>
    </r>
  </si>
  <si>
    <t>PV of FCFF</t>
  </si>
  <si>
    <t>계열명</t>
  </si>
  <si>
    <t>결산월</t>
  </si>
  <si>
    <t>구분</t>
    <phoneticPr fontId="9" type="noConversion"/>
  </si>
  <si>
    <t>법인세율(t)</t>
  </si>
  <si>
    <t>영업이익 수준을 고려한 한계세율 적용</t>
  </si>
  <si>
    <t>% of Sales</t>
    <phoneticPr fontId="9" type="noConversion"/>
  </si>
  <si>
    <t>세전타인자본비용(Kd)</t>
  </si>
  <si>
    <t>회사의 현재 신용위험을 반영한 수익률</t>
  </si>
  <si>
    <t>Ⅹ. ΣPV of FCFF(d)</t>
    <phoneticPr fontId="9" type="noConversion"/>
  </si>
  <si>
    <t>표준산업분류(10차)</t>
    <phoneticPr fontId="9" type="noConversion"/>
  </si>
  <si>
    <t>매출총이익</t>
  </si>
  <si>
    <t>가중평균자본비용(WACC)</t>
  </si>
  <si>
    <r>
      <t>WACC = K</t>
    </r>
    <r>
      <rPr>
        <vertAlign val="subscript"/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맑은 고딕"/>
        <family val="3"/>
        <charset val="129"/>
        <scheme val="minor"/>
      </rPr>
      <t xml:space="preserve"> × [S/(S+B)] + K</t>
    </r>
    <r>
      <rPr>
        <vertAlign val="subscript"/>
        <sz val="9"/>
        <color rgb="FF000000"/>
        <rFont val="맑은 고딕"/>
        <family val="3"/>
        <charset val="129"/>
        <scheme val="minor"/>
      </rPr>
      <t>d</t>
    </r>
    <r>
      <rPr>
        <sz val="9"/>
        <color rgb="FF000000"/>
        <rFont val="맑은 고딕"/>
        <family val="3"/>
        <charset val="129"/>
        <scheme val="minor"/>
      </rPr>
      <t xml:space="preserve"> × [B/(S+B)]</t>
    </r>
  </si>
  <si>
    <r>
      <t>Ⅺ</t>
    </r>
    <r>
      <rPr>
        <sz val="9"/>
        <color theme="1"/>
        <rFont val="맑은 고딕"/>
        <family val="3"/>
        <charset val="129"/>
      </rPr>
      <t>. 영구가치(e)</t>
    </r>
  </si>
  <si>
    <t>FCF추정!K21</t>
    <phoneticPr fontId="9" type="noConversion"/>
  </si>
  <si>
    <t>주요상품</t>
  </si>
  <si>
    <t>판매관리비</t>
  </si>
  <si>
    <r>
      <t>Ⅻ</t>
    </r>
    <r>
      <rPr>
        <sz val="9"/>
        <color theme="1"/>
        <rFont val="맑은 고딕"/>
        <family val="3"/>
        <charset val="129"/>
      </rPr>
      <t>. 영업가치(f=d+e)</t>
    </r>
  </si>
  <si>
    <t>XIII. 비영업용자산(g)</t>
  </si>
  <si>
    <t>XIV. 기업가치(h=f+g)</t>
  </si>
  <si>
    <t>유동자산</t>
  </si>
  <si>
    <t>XV. 순부채(i)</t>
  </si>
  <si>
    <t>비유동자산</t>
  </si>
  <si>
    <t>XVI. 우선주 등(j)</t>
  </si>
  <si>
    <t>자산총계</t>
  </si>
  <si>
    <t>XVII.자기자본가치(k=h-i-j)</t>
  </si>
  <si>
    <t>유동부채</t>
  </si>
  <si>
    <t>비유동부채</t>
  </si>
  <si>
    <t>기타</t>
    <phoneticPr fontId="9" type="noConversion"/>
  </si>
  <si>
    <t>XIX. 주당 평가금액</t>
  </si>
  <si>
    <t>FCF추정!E57</t>
    <phoneticPr fontId="9" type="noConversion"/>
  </si>
  <si>
    <t>부채총계</t>
  </si>
  <si>
    <t>% Of Sales</t>
    <phoneticPr fontId="9" type="noConversion"/>
  </si>
  <si>
    <t>법인세비용</t>
  </si>
  <si>
    <t>← 결손금 공제 평가시, 재확인 필요</t>
    <phoneticPr fontId="9" type="noConversion"/>
  </si>
  <si>
    <t>세후순영업이익</t>
  </si>
  <si>
    <t>판관비 등</t>
  </si>
  <si>
    <t>유형자산(계)</t>
  </si>
  <si>
    <t>평가대상기업</t>
  </si>
  <si>
    <t>평가대상주식</t>
  </si>
  <si>
    <t>보통주</t>
  </si>
  <si>
    <t>액면금액</t>
  </si>
  <si>
    <t>무형자산(계)</t>
  </si>
  <si>
    <t>평가목적</t>
  </si>
  <si>
    <t>재무보고 목적평가</t>
  </si>
  <si>
    <t>평가보고서용도</t>
  </si>
  <si>
    <t>회계반영을 위한 근거</t>
  </si>
  <si>
    <t>자본적지출</t>
  </si>
  <si>
    <t>운전자산</t>
  </si>
  <si>
    <t>FCF추정!F16</t>
  </si>
  <si>
    <t>FCF추정!G16</t>
  </si>
  <si>
    <t>FCF추정!H16</t>
  </si>
  <si>
    <t>FCF추정!I16</t>
  </si>
  <si>
    <t>FCF추정!J16</t>
  </si>
  <si>
    <t>운전부채</t>
  </si>
  <si>
    <t>FCF추정!F17</t>
  </si>
  <si>
    <t>FCF추정!G17</t>
  </si>
  <si>
    <t>FCF추정!H17</t>
  </si>
  <si>
    <t>FCF추정!I17</t>
  </si>
  <si>
    <t>FCF추정!J17</t>
  </si>
  <si>
    <t>순운전자본</t>
  </si>
  <si>
    <t>FCF추정!F18</t>
  </si>
  <si>
    <t>FCF추정!G18</t>
  </si>
  <si>
    <t>FCF추정!H18</t>
  </si>
  <si>
    <t>FCF추정!I18</t>
  </si>
  <si>
    <t>FCF추정!J18</t>
  </si>
  <si>
    <t>순운전자본변동분</t>
  </si>
  <si>
    <t>FCF추정!F19</t>
  </si>
  <si>
    <t>FCF추정!G19</t>
  </si>
  <si>
    <t>FCF추정!H19</t>
  </si>
  <si>
    <t>FCF추정!I19</t>
  </si>
  <si>
    <t>FCF추정!J19</t>
  </si>
  <si>
    <t>적용비율</t>
  </si>
  <si>
    <t>매출채권</t>
  </si>
  <si>
    <t>재고자산</t>
  </si>
  <si>
    <t>매입채무</t>
  </si>
  <si>
    <t>무위험이자율(%)</t>
  </si>
  <si>
    <t>위험프리미엄(%)</t>
  </si>
  <si>
    <t>NWC/매출액 (%)</t>
    <phoneticPr fontId="3" type="noConversion"/>
  </si>
  <si>
    <t>성장률평균</t>
  </si>
  <si>
    <t>직원수 default = 100</t>
    <phoneticPr fontId="3" type="noConversion"/>
  </si>
  <si>
    <t>대용베타 
산정</t>
    <phoneticPr fontId="14" type="noConversion"/>
  </si>
  <si>
    <t>최종선택</t>
    <phoneticPr fontId="14" type="noConversion"/>
  </si>
  <si>
    <t>2차선택</t>
    <phoneticPr fontId="9" type="noConversion"/>
  </si>
  <si>
    <t>회사제시</t>
  </si>
  <si>
    <t>IMF 경제성장률</t>
  </si>
  <si>
    <t>CAGR</t>
  </si>
  <si>
    <t>급여인상율(%)</t>
  </si>
  <si>
    <t>사무실임대료증가율(%)</t>
  </si>
  <si>
    <t>소비자물가상승률(%)</t>
  </si>
  <si>
    <t>생산자물가상승률(%)</t>
  </si>
  <si>
    <t>과세표준</t>
  </si>
  <si>
    <t>세율</t>
  </si>
  <si>
    <t>누진공제</t>
  </si>
  <si>
    <t>차입금/시총(%)</t>
  </si>
  <si>
    <t>βL = βU × (1 + (1 - t) × B/S평가대상기업)
(Bloomberg)</t>
  </si>
  <si>
    <t>Risk Free Rate of Korea (1yr)
(Bloomberg)</t>
  </si>
  <si>
    <t>Ke = Rf + βL × MRP + 규모 및 비상장프리미엄</t>
  </si>
  <si>
    <t>WACC = Ke × [S/(S+B)] + Kd × [B/(S+B)]</t>
  </si>
  <si>
    <t>급여와 퇴직급여로 구분되어 있으며, 회사의 인원계획과 예상급여 인상률 및 과거 급여 대비 퇴직급여의 비율 등을 고려하였습니다.</t>
  </si>
  <si>
    <t>Ⅷ. 조정사항 (b)</t>
  </si>
  <si>
    <t>현금흐름표 상 계상되는 감가상각비입니다. 과거 감가상각률 비율을 사용하여 산정하였습니다.</t>
  </si>
  <si>
    <t>잔여기간</t>
  </si>
  <si>
    <t>Ⅹ. ΣPV of FCFF(d)</t>
  </si>
  <si>
    <t>Ⅺ. 영구가치(e)</t>
  </si>
  <si>
    <t>Ⅻ. 영업가치(f=d+e)</t>
  </si>
  <si>
    <t>1. 기초데이터 검토</t>
    <phoneticPr fontId="14" type="noConversion"/>
  </si>
  <si>
    <t>1) 매출성장률</t>
    <phoneticPr fontId="14" type="noConversion"/>
  </si>
  <si>
    <t>구분</t>
    <phoneticPr fontId="14" type="noConversion"/>
  </si>
  <si>
    <t>2) 판매관리비 관련 가정</t>
    <phoneticPr fontId="14" type="noConversion"/>
  </si>
  <si>
    <t>(Source: 한국은행경제통계시스템)</t>
    <phoneticPr fontId="14" type="noConversion"/>
  </si>
  <si>
    <t>3) 법인세비용</t>
    <phoneticPr fontId="14" type="noConversion"/>
  </si>
  <si>
    <t>법인세비용</t>
    <phoneticPr fontId="14" type="noConversion"/>
  </si>
  <si>
    <t>2억 미만</t>
    <phoneticPr fontId="14" type="noConversion"/>
  </si>
  <si>
    <t>2억 ~ 200억</t>
    <phoneticPr fontId="14" type="noConversion"/>
  </si>
  <si>
    <t>200억 ~ 3000억</t>
    <phoneticPr fontId="14" type="noConversion"/>
  </si>
  <si>
    <t>3000억 초과</t>
    <phoneticPr fontId="14" type="noConversion"/>
  </si>
  <si>
    <t>2. 할인율 산정</t>
    <phoneticPr fontId="14" type="noConversion"/>
  </si>
  <si>
    <t>1) 베타 산정</t>
    <phoneticPr fontId="14" type="noConversion"/>
  </si>
  <si>
    <t>2) 가중평균자본비용 산정</t>
    <phoneticPr fontId="14" type="noConversion"/>
  </si>
  <si>
    <t>3. 평가수행 및 추정내역 요약</t>
    <phoneticPr fontId="14" type="noConversion"/>
  </si>
  <si>
    <t>판매수수료, 접대비, 광고선전비 등 매출과 관련된 비용으로 회사 제시 자료 및 과거 매출액 대비 매출관련경비 비율 등을 고려하여 추정하였습니다.</t>
    <phoneticPr fontId="14" type="noConversion"/>
  </si>
  <si>
    <t>인건비성 경비는 복리후생비, 교육훈련비 등 인건비와 관련된 비용으로 회사의 인원계획 및 과거 인건비 대비 인건비성 경비 비율 등을 고려하여 추정하였습니다.</t>
    <phoneticPr fontId="14" type="noConversion"/>
  </si>
  <si>
    <t>임대료, 세금과 공과, 보험료 등으로 구성되며, 평가 시점 기준 과거 10년 간의 월평균 소비자물가상승률, 임차료 상승률, 생산자물가상승률은 하기와 같이 동일하게 상승한다고 가정하였습니다.</t>
    <phoneticPr fontId="14" type="noConversion"/>
  </si>
  <si>
    <t>판매 및 관리비로 계상되는 감가상각비입니다. 회사의 제시 계획 및 현금흐름표 상 감가상각비와 판관비 상 감가상각비의 과거 비율 등을 사용하여 산정하였습니다.</t>
    <phoneticPr fontId="14" type="noConversion"/>
  </si>
  <si>
    <t>판매 및 관리비로 계상되는 무형자산상각비입니다. 회사의 제시계획 및 현금흐름표 상 상각비와 판관비 상 상각비의 과거 비율을 사용하여 산정하였습니다.</t>
    <phoneticPr fontId="14" type="noConversion"/>
  </si>
  <si>
    <t>T=(평가기준일과 기말사이의 기간)/365, 1/(1+Wacc)^T</t>
    <phoneticPr fontId="14" type="noConversion"/>
  </si>
  <si>
    <t>4. DCF모형 평가결과</t>
    <phoneticPr fontId="14" type="noConversion"/>
  </si>
  <si>
    <t>비영업용자산은 영업에 사용되지 않는 자산으로 초과현금보유분 및 지분법적용투자주식 등의 자산 등을 포함합니다.</t>
    <phoneticPr fontId="14" type="noConversion"/>
  </si>
  <si>
    <t>회사의 최신 감사보고서 및 제공받은 자료를 검토후 평가기준일의 비영업용자산/부채 등을 포함합니다.</t>
    <phoneticPr fontId="14" type="noConversion"/>
  </si>
  <si>
    <t>매입채무, 미지급비용 등은 운전부채로 분류하여 운전부채 회전율을 반영하여 추정하였습니다.</t>
    <phoneticPr fontId="14" type="noConversion"/>
  </si>
  <si>
    <t>영업과 관련된 매출채권 선급비용 등을 운전자산으로 분류, 운전자산회전율을 반영하여 향후 운전자산을 추정였습니다.</t>
    <phoneticPr fontId="14" type="noConversion"/>
  </si>
  <si>
    <t>순운전자본의 구성요소는 매출채권, 재고자산, 매입채무 등 영업관련계정입니다.</t>
    <phoneticPr fontId="14" type="noConversion"/>
  </si>
  <si>
    <t>각각 매출채권회전율, 매입채무회전율, 재고자산회전율 등의 과거 비율을 고려하여 추정하였습니다.</t>
    <phoneticPr fontId="14" type="noConversion"/>
  </si>
  <si>
    <t>← 추가 입력하여 송부할 것</t>
    <phoneticPr fontId="9" type="noConversion"/>
  </si>
  <si>
    <t>← 불필요한 내용은 삭제하고 송부할 것</t>
    <phoneticPr fontId="9" type="noConversion"/>
  </si>
  <si>
    <t>연결기준</t>
  </si>
  <si>
    <t>컨센서스</t>
  </si>
  <si>
    <t>FCF추정!F24</t>
    <phoneticPr fontId="9" type="noConversion"/>
  </si>
  <si>
    <t>FCF추정!G24</t>
    <phoneticPr fontId="9" type="noConversion"/>
  </si>
  <si>
    <t>FCF추정!H24</t>
    <phoneticPr fontId="9" type="noConversion"/>
  </si>
  <si>
    <t>FCF추정!I24</t>
    <phoneticPr fontId="9" type="noConversion"/>
  </si>
  <si>
    <t>FCF추정!J24</t>
    <phoneticPr fontId="9" type="noConversion"/>
  </si>
  <si>
    <t>S</t>
    <phoneticPr fontId="9" type="noConversion"/>
  </si>
  <si>
    <t>D85010</t>
    <phoneticPr fontId="9" type="noConversion"/>
  </si>
  <si>
    <t>D85020</t>
    <phoneticPr fontId="9" type="noConversion"/>
  </si>
  <si>
    <t>D85030</t>
    <phoneticPr fontId="9" type="noConversion"/>
  </si>
  <si>
    <t>D85000</t>
    <phoneticPr fontId="9" type="noConversion"/>
  </si>
  <si>
    <t>D85040</t>
    <phoneticPr fontId="9" type="noConversion"/>
  </si>
  <si>
    <t>D85050</t>
    <phoneticPr fontId="9" type="noConversion"/>
  </si>
  <si>
    <t>END</t>
    <phoneticPr fontId="9" type="noConversion"/>
  </si>
  <si>
    <t>START</t>
    <phoneticPr fontId="9" type="noConversion"/>
  </si>
  <si>
    <t>#001</t>
    <phoneticPr fontId="14" type="noConversion"/>
  </si>
  <si>
    <t>평가기준일2</t>
  </si>
  <si>
    <t>#003</t>
  </si>
  <si>
    <t>Year(기준일)</t>
  </si>
  <si>
    <t>#004</t>
  </si>
  <si>
    <t>Month(기준일)</t>
  </si>
  <si>
    <t>#005</t>
  </si>
  <si>
    <t>기초수치</t>
  </si>
  <si>
    <t>#006</t>
  </si>
  <si>
    <t>평가가격</t>
  </si>
  <si>
    <t>#007</t>
  </si>
  <si>
    <t>재무자료 실적확인</t>
  </si>
  <si>
    <t>FCF추정!E54</t>
    <phoneticPr fontId="9" type="noConversion"/>
  </si>
  <si>
    <t>FCF추정!E56</t>
    <phoneticPr fontId="9" type="noConversion"/>
  </si>
  <si>
    <t>FCF추정!E59</t>
    <phoneticPr fontId="9" type="noConversion"/>
  </si>
  <si>
    <t>FCF추정!E60</t>
    <phoneticPr fontId="9" type="noConversion"/>
  </si>
  <si>
    <t>산업평균 Beta</t>
    <phoneticPr fontId="9" type="noConversion"/>
  </si>
  <si>
    <t>산업평균 Beta</t>
    <phoneticPr fontId="9" type="noConversion"/>
  </si>
  <si>
    <t>FCF추정!E29</t>
    <phoneticPr fontId="9" type="noConversion"/>
  </si>
  <si>
    <t>FCF추정!E30</t>
    <phoneticPr fontId="9" type="noConversion"/>
  </si>
  <si>
    <t>FCF추정!E31</t>
    <phoneticPr fontId="9" type="noConversion"/>
  </si>
  <si>
    <t>FCF추정!E32</t>
    <phoneticPr fontId="9" type="noConversion"/>
  </si>
  <si>
    <t>FCF추정!E33</t>
    <phoneticPr fontId="9" type="noConversion"/>
  </si>
  <si>
    <t>FCF추정!E34</t>
    <phoneticPr fontId="9" type="noConversion"/>
  </si>
  <si>
    <t>FCF추정!E35</t>
    <phoneticPr fontId="9" type="noConversion"/>
  </si>
  <si>
    <t>FCF추정!E36</t>
    <phoneticPr fontId="9" type="noConversion"/>
  </si>
  <si>
    <t>FCF추정!E37</t>
    <phoneticPr fontId="9" type="noConversion"/>
  </si>
  <si>
    <t>FCF추정!E38</t>
    <phoneticPr fontId="9" type="noConversion"/>
  </si>
  <si>
    <t>FCF추정!E39</t>
    <phoneticPr fontId="9" type="noConversion"/>
  </si>
  <si>
    <t>FCF추정!E40</t>
    <phoneticPr fontId="9" type="noConversion"/>
  </si>
  <si>
    <t>FCF추정!E41</t>
    <phoneticPr fontId="9" type="noConversion"/>
  </si>
  <si>
    <t>FCF추정!E42</t>
    <phoneticPr fontId="9" type="noConversion"/>
  </si>
  <si>
    <t>FCF추정!E43</t>
    <phoneticPr fontId="9" type="noConversion"/>
  </si>
  <si>
    <t>FCF추정!E44</t>
    <phoneticPr fontId="9" type="noConversion"/>
  </si>
  <si>
    <t>FCF추정!E45</t>
    <phoneticPr fontId="9" type="noConversion"/>
  </si>
  <si>
    <t>FCF추정!F11</t>
    <phoneticPr fontId="9" type="noConversion"/>
  </si>
  <si>
    <t>FCF추정!G11</t>
    <phoneticPr fontId="9" type="noConversion"/>
  </si>
  <si>
    <t>FCF추정!H11</t>
    <phoneticPr fontId="9" type="noConversion"/>
  </si>
  <si>
    <t>FCF추정!I11</t>
    <phoneticPr fontId="9" type="noConversion"/>
  </si>
  <si>
    <t>FCF추정!J11</t>
    <phoneticPr fontId="9" type="noConversion"/>
  </si>
  <si>
    <t>재무자료
(국내의 경우 백만원 단위 / 개별기준)</t>
    <phoneticPr fontId="14" type="noConversion"/>
  </si>
  <si>
    <t>국내법인</t>
    <phoneticPr fontId="9" type="noConversion"/>
  </si>
  <si>
    <t>적용 Beta</t>
    <phoneticPr fontId="9" type="noConversion"/>
  </si>
  <si>
    <t>산업분류기준</t>
    <phoneticPr fontId="9" type="noConversion"/>
  </si>
  <si>
    <t>#002</t>
    <phoneticPr fontId="14" type="noConversion"/>
  </si>
  <si>
    <t>#008</t>
    <phoneticPr fontId="9" type="noConversion"/>
  </si>
  <si>
    <t>표위치</t>
    <phoneticPr fontId="9" type="noConversion"/>
  </si>
  <si>
    <t>표_1</t>
    <phoneticPr fontId="9" type="noConversion"/>
  </si>
  <si>
    <t>표_2</t>
    <phoneticPr fontId="9" type="noConversion"/>
  </si>
  <si>
    <t>표_3</t>
  </si>
  <si>
    <t>표_4</t>
  </si>
  <si>
    <t>표_5</t>
  </si>
  <si>
    <t>표_6</t>
  </si>
  <si>
    <t>표_7</t>
  </si>
  <si>
    <t>표_8</t>
  </si>
  <si>
    <t>표_9</t>
  </si>
  <si>
    <t>표_10</t>
  </si>
  <si>
    <t>표_11</t>
  </si>
  <si>
    <t>표_12</t>
  </si>
  <si>
    <t>표_13</t>
  </si>
  <si>
    <t>표_14</t>
  </si>
  <si>
    <t>표_15</t>
  </si>
  <si>
    <t>표_16</t>
  </si>
  <si>
    <t>표_17</t>
  </si>
  <si>
    <t>표_18</t>
  </si>
  <si>
    <t>표_19</t>
  </si>
  <si>
    <t>표_20</t>
  </si>
  <si>
    <t>표_21</t>
  </si>
  <si>
    <t>Time</t>
    <phoneticPr fontId="9" type="noConversion"/>
  </si>
  <si>
    <t>-</t>
    <phoneticPr fontId="9" type="noConversion"/>
  </si>
  <si>
    <t xml:space="preserve">영업가치(Operating Value) </t>
    <phoneticPr fontId="9" type="noConversion"/>
  </si>
  <si>
    <t>FCF추정!E53</t>
    <phoneticPr fontId="9" type="noConversion"/>
  </si>
  <si>
    <t>FCF추정!E54</t>
    <phoneticPr fontId="9" type="noConversion"/>
  </si>
  <si>
    <t>기업가치(Enterprise Value)</t>
    <phoneticPr fontId="9" type="noConversion"/>
  </si>
  <si>
    <t>FCF추정!E55</t>
    <phoneticPr fontId="9" type="noConversion"/>
  </si>
  <si>
    <r>
      <t>(-) 순부채가치(Net Debt Value)</t>
    </r>
    <r>
      <rPr>
        <sz val="9"/>
        <color theme="1"/>
        <rFont val="Times New Roman"/>
        <family val="1"/>
      </rPr>
      <t> </t>
    </r>
    <r>
      <rPr>
        <sz val="9"/>
        <color theme="1"/>
        <rFont val="맑은 고딕"/>
        <family val="3"/>
        <charset val="129"/>
      </rPr>
      <t xml:space="preserve"> </t>
    </r>
    <phoneticPr fontId="9" type="noConversion"/>
  </si>
  <si>
    <t>FCF추정!E56</t>
    <phoneticPr fontId="9" type="noConversion"/>
  </si>
  <si>
    <r>
      <t>(-) 우선주가치(Preferred Equity Value)</t>
    </r>
    <r>
      <rPr>
        <sz val="9"/>
        <color theme="1"/>
        <rFont val="Times New Roman"/>
        <family val="1"/>
      </rPr>
      <t> </t>
    </r>
    <phoneticPr fontId="9" type="noConversion"/>
  </si>
  <si>
    <t>자기자본가치(Equity Value)</t>
    <phoneticPr fontId="9" type="noConversion"/>
  </si>
  <si>
    <t>FCF추정!E58</t>
    <phoneticPr fontId="9" type="noConversion"/>
  </si>
  <si>
    <t>유통보통발행주식수</t>
    <phoneticPr fontId="9" type="noConversion"/>
  </si>
  <si>
    <t>주당가치 (원)</t>
    <phoneticPr fontId="9" type="noConversion"/>
  </si>
  <si>
    <t>성장률|할인율</t>
    <phoneticPr fontId="9" type="noConversion"/>
  </si>
  <si>
    <t>세전타인자본비용(Ki)</t>
  </si>
  <si>
    <t>평가종류</t>
  </si>
  <si>
    <t>기준일</t>
  </si>
  <si>
    <t>주가</t>
  </si>
  <si>
    <t>배당금</t>
  </si>
  <si>
    <t>전환가정여부</t>
  </si>
  <si>
    <t>주식수</t>
  </si>
  <si>
    <t>시총순위</t>
    <phoneticPr fontId="9" type="noConversion"/>
  </si>
  <si>
    <t>매출액(직전4분기)</t>
  </si>
  <si>
    <t>상장일자</t>
  </si>
  <si>
    <t>005930 KS Equity</t>
  </si>
  <si>
    <t>A005930</t>
  </si>
  <si>
    <t>SamsungElectronics</t>
  </si>
  <si>
    <t>삼성전자</t>
  </si>
  <si>
    <t>통신 및 방송 장비 제조업</t>
  </si>
  <si>
    <t>정상</t>
  </si>
  <si>
    <t>정지·관리</t>
  </si>
  <si>
    <t>파일기준일</t>
  </si>
  <si>
    <t>목록</t>
    <phoneticPr fontId="9" type="noConversion"/>
  </si>
  <si>
    <t>값</t>
    <phoneticPr fontId="9" type="noConversion"/>
  </si>
  <si>
    <t>위치</t>
    <phoneticPr fontId="9" type="noConversion"/>
  </si>
  <si>
    <t>BS_tbl1_rows</t>
  </si>
  <si>
    <t>BS추정!$A$1</t>
    <phoneticPr fontId="9" type="noConversion"/>
  </si>
  <si>
    <t>BS_tbl2_rows</t>
  </si>
  <si>
    <t>BS추정!$A$41</t>
  </si>
  <si>
    <t>Cost_tbl1_rows</t>
  </si>
  <si>
    <t>비용추정!$A$1</t>
  </si>
  <si>
    <t>비용추정!$A$73</t>
  </si>
  <si>
    <t>감가상각추정!$A$1</t>
  </si>
  <si>
    <t>감가상각추정!$A$21</t>
  </si>
  <si>
    <t>Depr_tbl3_rows</t>
  </si>
  <si>
    <t>감가상각추정!$A$31</t>
  </si>
  <si>
    <t>FCF_tbl1_rows</t>
  </si>
  <si>
    <t>FCF추정!$A$1</t>
  </si>
  <si>
    <t>FCF_tbl2_rows</t>
  </si>
  <si>
    <t>FCF추정!$A$28</t>
  </si>
  <si>
    <t>FCF_tbl3_rows</t>
  </si>
  <si>
    <t>FCF추정!$A$52</t>
  </si>
  <si>
    <t>IS_tbl1_rows</t>
  </si>
  <si>
    <t>IS추정!$A$1</t>
  </si>
  <si>
    <t>IS_tbl2_rows</t>
  </si>
  <si>
    <t>IS추정!$A$46</t>
  </si>
  <si>
    <t>NWC_tbl1_rows</t>
  </si>
  <si>
    <t>NWC추정!$A$1</t>
  </si>
  <si>
    <t>NWC_tbl2_rows</t>
  </si>
  <si>
    <t>NWC추정!$A$45</t>
  </si>
  <si>
    <t>WACC_tbl1_rows</t>
  </si>
  <si>
    <t>WACC!$A$1</t>
  </si>
  <si>
    <t>WACC_tbl2_rows</t>
  </si>
  <si>
    <t>WACC!$A$42</t>
  </si>
  <si>
    <t>추정연장여부</t>
    <phoneticPr fontId="9" type="noConversion"/>
  </si>
  <si>
    <t>TV 사용여부</t>
    <phoneticPr fontId="9" type="noConversion"/>
  </si>
  <si>
    <t>영구성장률</t>
    <phoneticPr fontId="9" type="noConversion"/>
  </si>
  <si>
    <t>결손금반영여부</t>
    <phoneticPr fontId="9" type="noConversion"/>
  </si>
  <si>
    <t>연장기간(Columns)</t>
    <phoneticPr fontId="9" type="noConversion"/>
  </si>
  <si>
    <t>평가기준일</t>
    <phoneticPr fontId="9" type="noConversion"/>
  </si>
  <si>
    <t>DCF 평가가격</t>
    <phoneticPr fontId="3" type="noConversion"/>
  </si>
  <si>
    <t>민감도 영구성장</t>
    <phoneticPr fontId="9" type="noConversion"/>
  </si>
  <si>
    <t>Description</t>
    <phoneticPr fontId="9" type="noConversion"/>
  </si>
  <si>
    <t>N+1년도 열위치</t>
    <phoneticPr fontId="9" type="noConversion"/>
  </si>
  <si>
    <t>WACC / g</t>
    <phoneticPr fontId="9" type="noConversion"/>
  </si>
  <si>
    <t>순운전자본변동분(Change in Net Working Capital)</t>
  </si>
  <si>
    <t>Date</t>
    <phoneticPr fontId="9" type="noConversion"/>
  </si>
  <si>
    <t>YEARFRAC</t>
    <phoneticPr fontId="9" type="noConversion"/>
  </si>
  <si>
    <t>금액, 주, %</t>
    <phoneticPr fontId="9" type="noConversion"/>
  </si>
  <si>
    <t>WACC</t>
    <phoneticPr fontId="9" type="noConversion"/>
  </si>
  <si>
    <t>비영업용자산가치</t>
    <phoneticPr fontId="9" type="noConversion"/>
  </si>
  <si>
    <t>순부채</t>
    <phoneticPr fontId="9" type="noConversion"/>
  </si>
  <si>
    <t>우선주가치</t>
    <phoneticPr fontId="9" type="noConversion"/>
  </si>
  <si>
    <t>PV of Continuing Value</t>
    <phoneticPr fontId="9" type="noConversion"/>
  </si>
  <si>
    <t>영업가치</t>
    <phoneticPr fontId="9" type="noConversion"/>
  </si>
  <si>
    <t>보통주가치</t>
    <phoneticPr fontId="9" type="noConversion"/>
  </si>
  <si>
    <t>보통주 주당가치</t>
    <phoneticPr fontId="9" type="noConversion"/>
  </si>
  <si>
    <t>Lookup</t>
    <phoneticPr fontId="9" type="noConversion"/>
  </si>
  <si>
    <t>29991231Z</t>
    <phoneticPr fontId="9" type="noConversion"/>
  </si>
  <si>
    <t>D70040</t>
  </si>
  <si>
    <t>D70150</t>
  </si>
  <si>
    <t>D70160</t>
  </si>
  <si>
    <t>D70170</t>
  </si>
  <si>
    <t>D70180</t>
  </si>
  <si>
    <t>적용주식수</t>
    <phoneticPr fontId="9" type="noConversion"/>
  </si>
  <si>
    <t>Settings</t>
    <phoneticPr fontId="9" type="noConversion"/>
  </si>
  <si>
    <t>민감도 산출수식</t>
    <phoneticPr fontId="9" type="noConversion"/>
  </si>
  <si>
    <t>민감도!$B$9</t>
    <phoneticPr fontId="9" type="noConversion"/>
  </si>
  <si>
    <t>성장률|할인율</t>
  </si>
  <si>
    <t>0</t>
    <phoneticPr fontId="9" type="noConversion"/>
  </si>
  <si>
    <t>0.5</t>
    <phoneticPr fontId="9" type="noConversion"/>
  </si>
  <si>
    <t>1</t>
    <phoneticPr fontId="9" type="noConversion"/>
  </si>
  <si>
    <t>-1</t>
    <phoneticPr fontId="9" type="noConversion"/>
  </si>
  <si>
    <t>0~1%</t>
    <phoneticPr fontId="3" type="noConversion"/>
  </si>
  <si>
    <t>22.01 수정</t>
    <phoneticPr fontId="3" type="noConversion"/>
  </si>
  <si>
    <t>D70230</t>
    <phoneticPr fontId="9" type="noConversion"/>
  </si>
  <si>
    <t>기중할인기간</t>
    <phoneticPr fontId="9" type="noConversion"/>
  </si>
  <si>
    <t>NOPLAT(T)</t>
    <phoneticPr fontId="9" type="noConversion"/>
  </si>
  <si>
    <t>2~200</t>
  </si>
  <si>
    <t>200~3000</t>
  </si>
  <si>
    <t>세율(*)</t>
    <phoneticPr fontId="3" type="noConversion"/>
  </si>
  <si>
    <t>기준</t>
    <phoneticPr fontId="3" type="noConversion"/>
  </si>
  <si>
    <t>2억미만</t>
    <phoneticPr fontId="3" type="noConversion"/>
  </si>
  <si>
    <t>3000억초과</t>
    <phoneticPr fontId="3" type="noConversion"/>
  </si>
  <si>
    <t>D70060</t>
    <phoneticPr fontId="9" type="noConversion"/>
  </si>
  <si>
    <t>영업이익(EBIT)</t>
    <phoneticPr fontId="9" type="noConversion"/>
  </si>
  <si>
    <t>*세율: 주민세 포함 법인세율(법인세 * 110%)</t>
    <phoneticPr fontId="3" type="noConversion"/>
  </si>
  <si>
    <t>Track Record  / 고객사명</t>
    <phoneticPr fontId="3" type="noConversion"/>
  </si>
  <si>
    <t>WACC / g</t>
  </si>
  <si>
    <t>DF of CV</t>
  </si>
  <si>
    <t>** 본회의 의결로 확정된 개정세법 법인세 적용(2023-02-20)</t>
    <phoneticPr fontId="9" type="noConversion"/>
  </si>
  <si>
    <t>파일명</t>
    <phoneticPr fontId="9" type="noConversion"/>
  </si>
  <si>
    <t>평가회사명</t>
    <phoneticPr fontId="9" type="noConversion"/>
  </si>
  <si>
    <t>보고서연도설정</t>
    <phoneticPr fontId="9" type="noConversion"/>
  </si>
  <si>
    <t>XVIII. 유통발행주식수</t>
    <phoneticPr fontId="9" type="noConversion"/>
  </si>
  <si>
    <t>Idx</t>
    <phoneticPr fontId="9" type="noConversion"/>
  </si>
  <si>
    <t>Value</t>
    <phoneticPr fontId="9" type="noConversion"/>
  </si>
  <si>
    <t>Caption</t>
    <phoneticPr fontId="9" type="noConversion"/>
  </si>
  <si>
    <t>BetaCol</t>
    <phoneticPr fontId="9" type="noConversion"/>
  </si>
  <si>
    <t>BetaOrder</t>
    <phoneticPr fontId="9" type="noConversion"/>
  </si>
  <si>
    <t>보고서파일명</t>
    <phoneticPr fontId="9" type="noConversion"/>
  </si>
  <si>
    <t>표위치셀명</t>
    <phoneticPr fontId="9" type="noConversion"/>
  </si>
  <si>
    <t>#009</t>
    <phoneticPr fontId="9" type="noConversion"/>
  </si>
  <si>
    <t>평가값</t>
    <phoneticPr fontId="9" type="noConversion"/>
  </si>
  <si>
    <t>기업명</t>
    <phoneticPr fontId="9" type="noConversion"/>
  </si>
  <si>
    <t>표준산업분류</t>
    <phoneticPr fontId="9" type="noConversion"/>
  </si>
  <si>
    <t>Unlevered Beta(βu)</t>
  </si>
  <si>
    <t>Levered Beta(βL)</t>
  </si>
  <si>
    <t>Size premium</t>
    <phoneticPr fontId="9" type="noConversion"/>
  </si>
  <si>
    <t>Market Risk Premium</t>
    <phoneticPr fontId="9" type="noConversion"/>
  </si>
  <si>
    <t>법인세 시작위치</t>
    <phoneticPr fontId="9" type="noConversion"/>
  </si>
  <si>
    <t>매출액 시작위치</t>
    <phoneticPr fontId="9" type="noConversion"/>
  </si>
  <si>
    <t>감가상각비 시작위치</t>
    <phoneticPr fontId="9" type="noConversion"/>
  </si>
  <si>
    <t>CAPEX 시작위치</t>
    <phoneticPr fontId="9" type="noConversion"/>
  </si>
  <si>
    <t>비영업자산가치</t>
  </si>
  <si>
    <t>TV 값 위치</t>
    <phoneticPr fontId="9" type="noConversion"/>
  </si>
  <si>
    <t>무위험이자율(Rf)</t>
    <phoneticPr fontId="9" type="noConversion"/>
  </si>
  <si>
    <t>CGS&amp;SGA 시작위치</t>
    <phoneticPr fontId="9" type="noConversion"/>
  </si>
  <si>
    <t>유통발행주식수</t>
    <phoneticPr fontId="9" type="noConversion"/>
  </si>
  <si>
    <t>보고서 일치여부</t>
    <phoneticPr fontId="9" type="noConversion"/>
  </si>
  <si>
    <t>순운전자본변동 시작위치</t>
    <phoneticPr fontId="9" type="noConversion"/>
  </si>
  <si>
    <t>10차표준(세세분류)</t>
  </si>
  <si>
    <t>거래소 업종</t>
  </si>
  <si>
    <t>거래소(시장)</t>
  </si>
  <si>
    <t>한계세율</t>
  </si>
  <si>
    <t>홈페이지</t>
  </si>
  <si>
    <t>EV/EBITDA</t>
  </si>
  <si>
    <t>PSR</t>
  </si>
  <si>
    <t>PBR</t>
  </si>
  <si>
    <t>PER</t>
  </si>
  <si>
    <t>코스피 전기,전자</t>
  </si>
  <si>
    <t>유가증권시장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</si>
  <si>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</si>
  <si>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</si>
  <si>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매출액(직전4분기)</t>
    <phoneticPr fontId="14" type="noConversion"/>
  </si>
  <si>
    <t>종목명(Eng)</t>
    <phoneticPr fontId="14" type="noConversion"/>
  </si>
  <si>
    <t>상장일자</t>
    <phoneticPr fontId="9" type="noConversion"/>
  </si>
  <si>
    <t>배수기준</t>
  </si>
  <si>
    <t>FCF추정!J22</t>
    <phoneticPr fontId="9" type="noConversion"/>
  </si>
  <si>
    <t>보고서용도추정기간</t>
    <phoneticPr fontId="9" type="noConversion"/>
  </si>
  <si>
    <t>추정기간</t>
    <phoneticPr fontId="9" type="noConversion"/>
  </si>
  <si>
    <t>법인번호</t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</si>
  <si>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</si>
  <si>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</si>
  <si>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</si>
  <si>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</si>
  <si>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</si>
  <si>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</si>
  <si>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</si>
  <si>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</si>
  <si>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</si>
  <si>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</si>
  <si>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</si>
  <si>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</si>
  <si>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</si>
  <si>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일차전지 및 축전지 제조업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</si>
  <si>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</si>
  <si>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</si>
  <si>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</si>
  <si>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</si>
  <si>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</si>
  <si>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</si>
  <si>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기초 의약물질 및 생물학적 제제 제조업</t>
  </si>
  <si>
    <t>생물학적 제제 제조업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</si>
  <si>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</si>
  <si>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</si>
  <si>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</si>
  <si>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</si>
  <si>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</si>
  <si>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</si>
  <si>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</si>
  <si>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</si>
  <si>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승용차 및 기타 여객용 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</si>
  <si>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</si>
  <si>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</si>
  <si>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</si>
  <si>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</si>
  <si>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</si>
  <si>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</si>
  <si>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</si>
  <si>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</si>
  <si>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</si>
  <si>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</si>
  <si>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</si>
  <si>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</si>
  <si>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</si>
  <si>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</si>
  <si>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</si>
  <si>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</si>
  <si>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</si>
  <si>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</si>
  <si>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</si>
  <si>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</si>
  <si>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</si>
  <si>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</si>
  <si>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</si>
  <si>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</si>
  <si>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</si>
  <si>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포털 및 기타 인터넷 정보매개 서비스업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</si>
  <si>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</si>
  <si>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</si>
  <si>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</si>
  <si>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</si>
  <si>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</si>
  <si>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</si>
  <si>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</si>
  <si>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</si>
  <si>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</si>
  <si>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</si>
  <si>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</si>
  <si>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</si>
  <si>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</si>
  <si>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</si>
  <si>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</si>
  <si>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</si>
  <si>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축전지 제조업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</si>
  <si>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</si>
  <si>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</si>
  <si>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</si>
  <si>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</si>
  <si>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</si>
  <si>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</si>
  <si>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</si>
  <si>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</si>
  <si>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</si>
  <si>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</si>
  <si>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</si>
  <si>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</si>
  <si>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</si>
  <si>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</si>
  <si>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</si>
  <si>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</si>
  <si>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</si>
  <si>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</si>
  <si>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</si>
  <si>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</si>
  <si>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</si>
  <si>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</si>
  <si>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</si>
  <si>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</si>
  <si>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</si>
  <si>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</si>
  <si>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</si>
  <si>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</si>
  <si>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</si>
  <si>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</si>
  <si>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</si>
  <si>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</si>
  <si>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</si>
  <si>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</si>
  <si>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</si>
  <si>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</si>
  <si>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</si>
  <si>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</si>
  <si>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</si>
  <si>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</si>
  <si>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</si>
  <si>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</si>
  <si>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</si>
  <si>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</si>
  <si>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</si>
  <si>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</si>
  <si>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</si>
  <si>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</si>
  <si>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</si>
  <si>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</si>
  <si>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</si>
  <si>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</si>
  <si>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</si>
  <si>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</si>
  <si>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</si>
  <si>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</si>
  <si>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</si>
  <si>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</si>
  <si>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</si>
  <si>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</si>
  <si>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</si>
  <si>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</si>
  <si>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</si>
  <si>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</si>
  <si>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</si>
  <si>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</si>
  <si>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</si>
  <si>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</si>
  <si>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</si>
  <si>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</si>
  <si>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</si>
  <si>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</si>
  <si>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</si>
  <si>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</si>
  <si>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</si>
  <si>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</si>
  <si>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</si>
  <si>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</si>
  <si>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</si>
  <si>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</si>
  <si>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</si>
  <si>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</si>
  <si>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</si>
  <si>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</si>
  <si>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</si>
  <si>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</si>
  <si>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</si>
  <si>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</si>
  <si>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</si>
  <si>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</si>
  <si>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</si>
  <si>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</si>
  <si>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</si>
  <si>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</si>
  <si>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</si>
  <si>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</si>
  <si>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</si>
  <si>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</si>
  <si>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</si>
  <si>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</si>
  <si>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</si>
  <si>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</si>
  <si>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</si>
  <si>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</si>
  <si>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</si>
  <si>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</si>
  <si>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</si>
  <si>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</si>
  <si>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</si>
  <si>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</si>
  <si>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</si>
  <si>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</si>
  <si>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</si>
  <si>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</si>
  <si>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</si>
  <si>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</si>
  <si>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</si>
  <si>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</si>
  <si>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</si>
  <si>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</si>
  <si>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</si>
  <si>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</si>
  <si>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</si>
  <si>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</si>
  <si>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</si>
  <si>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</si>
  <si>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</si>
  <si>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</si>
  <si>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</si>
  <si>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</si>
  <si>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</si>
  <si>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</si>
  <si>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</si>
  <si>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</si>
  <si>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</si>
  <si>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</si>
  <si>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</si>
  <si>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</si>
  <si>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</si>
  <si>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</si>
  <si>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</si>
  <si>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</si>
  <si>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</si>
  <si>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</si>
  <si>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</si>
  <si>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</si>
  <si>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</si>
  <si>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</si>
  <si>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</si>
  <si>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</si>
  <si>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</si>
  <si>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</si>
  <si>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</si>
  <si>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</si>
  <si>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</si>
  <si>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</si>
  <si>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</si>
  <si>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</si>
  <si>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</si>
  <si>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</si>
  <si>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</si>
  <si>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</si>
  <si>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</si>
  <si>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</si>
  <si>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</si>
  <si>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</si>
  <si>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</si>
  <si>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</si>
  <si>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</si>
  <si>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</si>
  <si>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</si>
  <si>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</si>
  <si>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</si>
  <si>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</si>
  <si>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</si>
  <si>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</si>
  <si>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</si>
  <si>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</si>
  <si>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</si>
  <si>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</si>
  <si>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</si>
  <si>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</si>
  <si>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</si>
  <si>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</si>
  <si>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</si>
  <si>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</si>
  <si>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</si>
  <si>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</si>
  <si>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</si>
  <si>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</si>
  <si>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</si>
  <si>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</si>
  <si>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</si>
  <si>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</si>
  <si>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</si>
  <si>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</si>
  <si>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</si>
  <si>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</si>
  <si>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</si>
  <si>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</si>
  <si>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</si>
  <si>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</si>
  <si>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</si>
  <si>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</si>
  <si>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</si>
  <si>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</si>
  <si>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</si>
  <si>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</si>
  <si>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</si>
  <si>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</si>
  <si>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</si>
  <si>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</si>
  <si>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</si>
  <si>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</si>
  <si>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</si>
  <si>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</si>
  <si>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</si>
  <si>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</si>
  <si>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</si>
  <si>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</si>
  <si>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</si>
  <si>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</si>
  <si>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</si>
  <si>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</si>
  <si>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</si>
  <si>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</si>
  <si>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</si>
  <si>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</si>
  <si>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</si>
  <si>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</si>
  <si>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</si>
  <si>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</si>
  <si>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</si>
  <si>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</si>
  <si>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</si>
  <si>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</si>
  <si>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</si>
  <si>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무역(철강,화학,자동차부품),수출주선,대행,알선,가공원단,폴리우레탄,자동차시트 제조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</si>
  <si>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</si>
  <si>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</si>
  <si>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</si>
  <si>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</si>
  <si>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</si>
  <si>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</si>
  <si>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</si>
  <si>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</si>
  <si>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</si>
  <si>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</si>
  <si>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</si>
  <si>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</si>
  <si>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</si>
  <si>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</si>
  <si>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</si>
  <si>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</si>
  <si>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</si>
  <si>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</si>
  <si>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</si>
  <si>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</si>
  <si>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</si>
  <si>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</si>
  <si>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</si>
  <si>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</si>
  <si>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</si>
  <si>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</si>
  <si>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</si>
  <si>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</si>
  <si>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</si>
  <si>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</si>
  <si>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</si>
  <si>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</si>
  <si>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</si>
  <si>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</si>
  <si>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</si>
  <si>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</si>
  <si>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</si>
  <si>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</si>
  <si>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</si>
  <si>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</si>
  <si>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</si>
  <si>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</si>
  <si>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</si>
  <si>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</si>
  <si>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</si>
  <si>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</si>
  <si>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</si>
  <si>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</si>
  <si>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</si>
  <si>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</si>
  <si>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</si>
  <si>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</si>
  <si>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</si>
  <si>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</si>
  <si>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</si>
  <si>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</si>
  <si>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</si>
  <si>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</si>
  <si>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</si>
  <si>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</si>
  <si>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</si>
  <si>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</si>
  <si>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</si>
  <si>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</si>
  <si>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</si>
  <si>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</si>
  <si>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</si>
  <si>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</si>
  <si>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</si>
  <si>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</si>
  <si>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</si>
  <si>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</si>
  <si>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</si>
  <si>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</si>
  <si>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</si>
  <si>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</si>
  <si>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</si>
  <si>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</si>
  <si>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</si>
  <si>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</si>
  <si>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</si>
  <si>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</si>
  <si>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</si>
  <si>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</si>
  <si>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</si>
  <si>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</si>
  <si>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</si>
  <si>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</si>
  <si>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</si>
  <si>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</si>
  <si>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</si>
  <si>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</si>
  <si>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</si>
  <si>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</si>
  <si>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</si>
  <si>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고무 타이어 및 튜브 생산업</t>
  </si>
  <si>
    <t>타이어 및 튜브 제조업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</si>
  <si>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</si>
  <si>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</si>
  <si>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</si>
  <si>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</si>
  <si>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</si>
  <si>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</si>
  <si>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</si>
  <si>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</si>
  <si>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</si>
  <si>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</si>
  <si>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</si>
  <si>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</si>
  <si>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</si>
  <si>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</si>
  <si>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</si>
  <si>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</si>
  <si>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</si>
  <si>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</si>
  <si>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</si>
  <si>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</si>
  <si>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</si>
  <si>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</si>
  <si>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</si>
  <si>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</si>
  <si>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</si>
  <si>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</si>
  <si>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</si>
  <si>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</si>
  <si>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</si>
  <si>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</si>
  <si>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</si>
  <si>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</si>
  <si>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</si>
  <si>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</si>
  <si>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</si>
  <si>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</si>
  <si>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</si>
  <si>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</si>
  <si>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</si>
  <si>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</si>
  <si>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</si>
  <si>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</si>
  <si>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</si>
  <si>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</si>
  <si>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</si>
  <si>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</si>
  <si>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</si>
  <si>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</si>
  <si>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</si>
  <si>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</si>
  <si>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</si>
  <si>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</si>
  <si>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</si>
  <si>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</si>
  <si>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</si>
  <si>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</si>
  <si>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</si>
  <si>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</si>
  <si>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</si>
  <si>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</si>
  <si>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</si>
  <si>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</si>
  <si>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</si>
  <si>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</si>
  <si>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</si>
  <si>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</si>
  <si>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</si>
  <si>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</si>
  <si>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</si>
  <si>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</si>
  <si>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</si>
  <si>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</si>
  <si>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</si>
  <si>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</si>
  <si>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</si>
  <si>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</si>
  <si>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</si>
  <si>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</si>
  <si>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</si>
  <si>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</si>
  <si>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</si>
  <si>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</si>
  <si>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</si>
  <si>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</si>
  <si>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</si>
  <si>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</si>
  <si>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</si>
  <si>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</si>
  <si>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</si>
  <si>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</si>
  <si>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</si>
  <si>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</si>
  <si>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</si>
  <si>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</si>
  <si>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</si>
  <si>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</si>
  <si>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</si>
  <si>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</si>
  <si>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</si>
  <si>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</si>
  <si>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</si>
  <si>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</si>
  <si>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</si>
  <si>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</si>
  <si>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</si>
  <si>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</si>
  <si>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</si>
  <si>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</si>
  <si>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</si>
  <si>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</si>
  <si>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</si>
  <si>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</si>
  <si>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</si>
  <si>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</si>
  <si>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</si>
  <si>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</si>
  <si>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</si>
  <si>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</si>
  <si>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</si>
  <si>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</si>
  <si>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</si>
  <si>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</si>
  <si>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</si>
  <si>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</si>
  <si>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</si>
  <si>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</si>
  <si>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</si>
  <si>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</si>
  <si>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</si>
  <si>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</si>
  <si>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</si>
  <si>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</si>
  <si>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</si>
  <si>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</si>
  <si>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</si>
  <si>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</si>
  <si>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</si>
  <si>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</si>
  <si>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</si>
  <si>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</si>
  <si>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</si>
  <si>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</si>
  <si>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</si>
  <si>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</si>
  <si>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</si>
  <si>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</si>
  <si>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</si>
  <si>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</si>
  <si>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</si>
  <si>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</si>
  <si>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</si>
  <si>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설탕 제조업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</si>
  <si>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</si>
  <si>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</si>
  <si>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</si>
  <si>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</si>
  <si>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</si>
  <si>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</si>
  <si>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</si>
  <si>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</si>
  <si>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</si>
  <si>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</si>
  <si>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</si>
  <si>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</si>
  <si>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</si>
  <si>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</si>
  <si>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</si>
  <si>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</si>
  <si>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</si>
  <si>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</si>
  <si>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</si>
  <si>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</si>
  <si>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</si>
  <si>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</si>
  <si>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</si>
  <si>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</si>
  <si>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</si>
  <si>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</si>
  <si>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</si>
  <si>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</si>
  <si>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</si>
  <si>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</si>
  <si>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</si>
  <si>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</si>
  <si>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</si>
  <si>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</si>
  <si>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</si>
  <si>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</si>
  <si>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</si>
  <si>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</si>
  <si>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</si>
  <si>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</si>
  <si>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</si>
  <si>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</si>
  <si>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</si>
  <si>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</si>
  <si>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</si>
  <si>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</si>
  <si>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</si>
  <si>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</si>
  <si>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</si>
  <si>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</si>
  <si>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</si>
  <si>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</si>
  <si>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</si>
  <si>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</si>
  <si>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</si>
  <si>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</si>
  <si>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</si>
  <si>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</si>
  <si>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</si>
  <si>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</si>
  <si>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</si>
  <si>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</si>
  <si>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</si>
  <si>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</si>
  <si>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</si>
  <si>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</si>
  <si>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</si>
  <si>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</si>
  <si>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</si>
  <si>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</si>
  <si>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</si>
  <si>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</si>
  <si>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</si>
  <si>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</si>
  <si>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</si>
  <si>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</si>
  <si>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</si>
  <si>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</si>
  <si>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</si>
  <si>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</si>
  <si>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</si>
  <si>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</si>
  <si>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</si>
  <si>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</si>
  <si>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</si>
  <si>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</si>
  <si>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</si>
  <si>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</si>
  <si>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</si>
  <si>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</si>
  <si>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</si>
  <si>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</si>
  <si>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과자류 및 코코아 제품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</si>
  <si>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</si>
  <si>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</si>
  <si>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</si>
  <si>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</si>
  <si>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</si>
  <si>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</si>
  <si>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</si>
  <si>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</si>
  <si>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</si>
  <si>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</si>
  <si>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</si>
  <si>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</si>
  <si>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</si>
  <si>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</si>
  <si>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</si>
  <si>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</si>
  <si>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</si>
  <si>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</si>
  <si>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</si>
  <si>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</si>
  <si>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</si>
  <si>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</si>
  <si>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</si>
  <si>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</si>
  <si>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공기 조화장치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</si>
  <si>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</si>
  <si>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</si>
  <si>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</si>
  <si>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</si>
  <si>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</si>
  <si>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</si>
  <si>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</si>
  <si>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</si>
  <si>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</si>
  <si>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</si>
  <si>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</si>
  <si>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</si>
  <si>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</si>
  <si>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</si>
  <si>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</si>
  <si>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</si>
  <si>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</si>
  <si>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</si>
  <si>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</si>
  <si>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</si>
  <si>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</si>
  <si>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</si>
  <si>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</si>
  <si>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</si>
  <si>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</si>
  <si>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</si>
  <si>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</si>
  <si>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</si>
  <si>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</si>
  <si>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</si>
  <si>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</si>
  <si>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</si>
  <si>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</si>
  <si>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</si>
  <si>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</si>
  <si>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</si>
  <si>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</si>
  <si>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시멘트(크링카)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</si>
  <si>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</si>
  <si>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</si>
  <si>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</si>
  <si>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</si>
  <si>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</si>
  <si>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</si>
  <si>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</si>
  <si>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</si>
  <si>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</si>
  <si>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</si>
  <si>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</si>
  <si>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</si>
  <si>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</si>
  <si>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</si>
  <si>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</si>
  <si>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</si>
  <si>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</si>
  <si>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</si>
  <si>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</si>
  <si>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</si>
  <si>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</si>
  <si>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</si>
  <si>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</si>
  <si>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폴리에스테르필름,합성수지,LCD용 필름 제조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</si>
  <si>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</si>
  <si>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</si>
  <si>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</si>
  <si>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</si>
  <si>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</si>
  <si>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</si>
  <si>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</si>
  <si>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</si>
  <si>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</si>
  <si>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</si>
  <si>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</si>
  <si>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</si>
  <si>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</si>
  <si>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</si>
  <si>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</si>
  <si>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</si>
  <si>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</si>
  <si>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석탄화학계 화합물 및 기타 기초 유기 화학물질 제조업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</si>
  <si>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</si>
  <si>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</si>
  <si>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</si>
  <si>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</si>
  <si>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</si>
  <si>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</si>
  <si>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</si>
  <si>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</si>
  <si>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</si>
  <si>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</si>
  <si>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</si>
  <si>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</si>
  <si>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</si>
  <si>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</si>
  <si>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</si>
  <si>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</si>
  <si>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</si>
  <si>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</si>
  <si>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</si>
  <si>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</si>
  <si>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</si>
  <si>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</si>
  <si>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</si>
  <si>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</si>
  <si>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</si>
  <si>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</si>
  <si>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</si>
  <si>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</si>
  <si>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</si>
  <si>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</si>
  <si>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</si>
  <si>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</si>
  <si>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</si>
  <si>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</si>
  <si>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</si>
  <si>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</si>
  <si>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</si>
  <si>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</si>
  <si>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</si>
  <si>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</si>
  <si>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</si>
  <si>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</si>
  <si>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</si>
  <si>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</si>
  <si>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</si>
  <si>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</si>
  <si>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</si>
  <si>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</si>
  <si>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</si>
  <si>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</si>
  <si>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</si>
  <si>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</si>
  <si>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</si>
  <si>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</si>
  <si>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</si>
  <si>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</si>
  <si>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</si>
  <si>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</si>
  <si>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</si>
  <si>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</si>
  <si>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</si>
  <si>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</si>
  <si>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</si>
  <si>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</si>
  <si>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</si>
  <si>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</si>
  <si>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</si>
  <si>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</si>
  <si>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</si>
  <si>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</si>
  <si>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</si>
  <si>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</si>
  <si>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</si>
  <si>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</si>
  <si>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</si>
  <si>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</si>
  <si>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</si>
  <si>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</si>
  <si>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</si>
  <si>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</si>
  <si>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</si>
  <si>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</si>
  <si>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</si>
  <si>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</si>
  <si>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</si>
  <si>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</si>
  <si>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</si>
  <si>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</si>
  <si>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</si>
  <si>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</si>
  <si>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</si>
  <si>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</si>
  <si>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</si>
  <si>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</si>
  <si>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</si>
  <si>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</si>
  <si>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</si>
  <si>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</si>
  <si>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</si>
  <si>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</si>
  <si>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</si>
  <si>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</si>
  <si>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</si>
  <si>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</si>
  <si>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</si>
  <si>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</si>
  <si>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</si>
  <si>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</si>
  <si>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</si>
  <si>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</si>
  <si>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</si>
  <si>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</si>
  <si>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</si>
  <si>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</si>
  <si>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</si>
  <si>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</si>
  <si>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</si>
  <si>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</si>
  <si>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</si>
  <si>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</si>
  <si>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</si>
  <si>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</si>
  <si>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</si>
  <si>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</si>
  <si>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</si>
  <si>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</si>
  <si>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</si>
  <si>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면류, 마카로니 및 유사식품 제조업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</si>
  <si>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</si>
  <si>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</si>
  <si>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</si>
  <si>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</si>
  <si>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</si>
  <si>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</si>
  <si>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</si>
  <si>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</si>
  <si>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</si>
  <si>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</si>
  <si>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</si>
  <si>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</si>
  <si>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</si>
  <si>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</si>
  <si>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</si>
  <si>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</si>
  <si>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</si>
  <si>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</si>
  <si>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</si>
  <si>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</si>
  <si>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</si>
  <si>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</si>
  <si>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</si>
  <si>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</si>
  <si>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</si>
  <si>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</si>
  <si>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</si>
  <si>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</si>
  <si>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</si>
  <si>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</si>
  <si>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</si>
  <si>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</si>
  <si>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</si>
  <si>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</si>
  <si>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</si>
  <si>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</si>
  <si>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</si>
  <si>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</si>
  <si>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</si>
  <si>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</si>
  <si>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코스닥 IT S/W &amp; SVC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</si>
  <si>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</si>
  <si>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</si>
  <si>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</si>
  <si>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</si>
  <si>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</si>
  <si>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</si>
  <si>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</si>
  <si>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</si>
  <si>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</si>
  <si>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</si>
  <si>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</si>
  <si>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</si>
  <si>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</si>
  <si>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</si>
  <si>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</si>
  <si>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</si>
  <si>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</si>
  <si>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</si>
  <si>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</si>
  <si>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</si>
  <si>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</si>
  <si>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</si>
  <si>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</si>
  <si>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</si>
  <si>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</si>
  <si>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</si>
  <si>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</si>
  <si>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</si>
  <si>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</si>
  <si>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</si>
  <si>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</si>
  <si>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</si>
  <si>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</si>
  <si>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</si>
  <si>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</si>
  <si>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</si>
  <si>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</si>
  <si>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</si>
  <si>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</si>
  <si>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</si>
  <si>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</si>
  <si>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</si>
  <si>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</si>
  <si>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</si>
  <si>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</si>
  <si>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</si>
  <si>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</si>
  <si>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</si>
  <si>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</si>
  <si>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</si>
  <si>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</si>
  <si>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</si>
  <si>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</si>
  <si>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</si>
  <si>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</si>
  <si>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</si>
  <si>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</si>
  <si>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</si>
  <si>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</si>
  <si>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</si>
  <si>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</si>
  <si>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</si>
  <si>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</si>
  <si>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</si>
  <si>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</si>
  <si>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</si>
  <si>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</si>
  <si>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</si>
  <si>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</si>
  <si>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</si>
  <si>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</si>
  <si>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</si>
  <si>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</si>
  <si>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</si>
  <si>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</si>
  <si>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</si>
  <si>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</si>
  <si>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</si>
  <si>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</si>
  <si>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</si>
  <si>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</si>
  <si>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</si>
  <si>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</si>
  <si>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</si>
  <si>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</si>
  <si>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</si>
  <si>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</si>
  <si>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</si>
  <si>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</si>
  <si>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</si>
  <si>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</si>
  <si>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</si>
  <si>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</si>
  <si>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</si>
  <si>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</si>
  <si>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</si>
  <si>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</si>
  <si>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</si>
  <si>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</si>
  <si>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</si>
  <si>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</si>
  <si>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</si>
  <si>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</si>
  <si>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</si>
  <si>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</si>
  <si>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</si>
  <si>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</si>
  <si>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</si>
  <si>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</si>
  <si>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</si>
  <si>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</si>
  <si>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</si>
  <si>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</si>
  <si>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</si>
  <si>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</si>
  <si>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</si>
  <si>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</si>
  <si>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</si>
  <si>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</si>
  <si>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</si>
  <si>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</si>
  <si>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</si>
  <si>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</si>
  <si>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</si>
  <si>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</si>
  <si>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</si>
  <si>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</si>
  <si>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</si>
  <si>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</si>
  <si>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</si>
  <si>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</si>
  <si>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</si>
  <si>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</si>
  <si>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</si>
  <si>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</si>
  <si>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</si>
  <si>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</si>
  <si>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</si>
  <si>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</si>
  <si>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</si>
  <si>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</si>
  <si>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</si>
  <si>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</si>
  <si>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</si>
  <si>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</si>
  <si>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</si>
  <si>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</si>
  <si>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</si>
  <si>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</si>
  <si>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</si>
  <si>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</si>
  <si>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</si>
  <si>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</si>
  <si>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</si>
  <si>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</si>
  <si>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</si>
  <si>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</si>
  <si>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</si>
  <si>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</si>
  <si>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</si>
  <si>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</si>
  <si>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</si>
  <si>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</si>
  <si>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</si>
  <si>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</si>
  <si>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</si>
  <si>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</si>
  <si>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</si>
  <si>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</si>
  <si>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</si>
  <si>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</si>
  <si>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</si>
  <si>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</si>
  <si>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</si>
  <si>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</si>
  <si>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</si>
  <si>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</si>
  <si>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</si>
  <si>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</si>
  <si>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</si>
  <si>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</si>
  <si>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</si>
  <si>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</si>
  <si>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</si>
  <si>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</si>
  <si>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</si>
  <si>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</si>
  <si>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</si>
  <si>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</si>
  <si>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</si>
  <si>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</si>
  <si>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</si>
  <si>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</si>
  <si>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</si>
  <si>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</si>
  <si>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</si>
  <si>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</si>
  <si>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</si>
  <si>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</si>
  <si>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</si>
  <si>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</si>
  <si>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</si>
  <si>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</si>
  <si>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</si>
  <si>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</si>
  <si>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</si>
  <si>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</si>
  <si>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</si>
  <si>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</si>
  <si>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</si>
  <si>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</si>
  <si>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</si>
  <si>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</si>
  <si>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</si>
  <si>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</si>
  <si>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</si>
  <si>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</si>
  <si>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</si>
  <si>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</si>
  <si>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</si>
  <si>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</si>
  <si>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조미료 및 식품 첨가물 제조업</t>
  </si>
  <si>
    <t>기타 식품 첨가물 제조업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</si>
  <si>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</si>
  <si>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</si>
  <si>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</si>
  <si>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</si>
  <si>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</si>
  <si>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</si>
  <si>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</si>
  <si>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</si>
  <si>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</si>
  <si>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</si>
  <si>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</si>
  <si>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</si>
  <si>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</si>
  <si>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</si>
  <si>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</si>
  <si>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</si>
  <si>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</si>
  <si>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</si>
  <si>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</si>
  <si>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</si>
  <si>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</si>
  <si>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</si>
  <si>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</si>
  <si>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</si>
  <si>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</si>
  <si>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</si>
  <si>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</si>
  <si>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</si>
  <si>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</si>
  <si>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</si>
  <si>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</si>
  <si>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</si>
  <si>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</si>
  <si>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코스닥 통신방송서비스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</si>
  <si>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</si>
  <si>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</si>
  <si>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</si>
  <si>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</si>
  <si>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</si>
  <si>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</si>
  <si>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</si>
  <si>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</si>
  <si>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</si>
  <si>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</si>
  <si>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</si>
  <si>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</si>
  <si>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</si>
  <si>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</si>
  <si>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</si>
  <si>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</si>
  <si>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</si>
  <si>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HYOSUNG ADVANCED MATERIALS</t>
  </si>
  <si>
    <t>효성첨단소재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</si>
  <si>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</si>
  <si>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</si>
  <si>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</si>
  <si>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</si>
  <si>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</si>
  <si>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</si>
  <si>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</si>
  <si>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</si>
  <si>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</si>
  <si>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</si>
  <si>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</si>
  <si>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</si>
  <si>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</si>
  <si>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</si>
  <si>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</si>
  <si>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</si>
  <si>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</si>
  <si>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</si>
  <si>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</si>
  <si>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</si>
  <si>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</si>
  <si>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</si>
  <si>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</si>
  <si>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</si>
  <si>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</si>
  <si>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</si>
  <si>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</si>
  <si>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</si>
  <si>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</si>
  <si>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</si>
  <si>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</si>
  <si>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</si>
  <si>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</si>
  <si>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</si>
  <si>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</si>
  <si>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</si>
  <si>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</si>
  <si>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</si>
  <si>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</si>
  <si>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</si>
  <si>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</si>
  <si>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</si>
  <si>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</si>
  <si>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</si>
  <si>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</si>
  <si>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</si>
  <si>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</si>
  <si>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</si>
  <si>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</si>
  <si>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</si>
  <si>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</si>
  <si>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</si>
  <si>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</si>
  <si>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</si>
  <si>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</si>
  <si>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</si>
  <si>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</si>
  <si>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</si>
  <si>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</si>
  <si>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</si>
  <si>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</si>
  <si>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</si>
  <si>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</si>
  <si>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</si>
  <si>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</si>
  <si>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</si>
  <si>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</si>
  <si>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</si>
  <si>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</si>
  <si>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</si>
  <si>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</si>
  <si>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</si>
  <si>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</si>
  <si>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</si>
  <si>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</si>
  <si>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</si>
  <si>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</si>
  <si>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</si>
  <si>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</si>
  <si>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</si>
  <si>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</si>
  <si>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</si>
  <si>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</si>
  <si>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</si>
  <si>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</si>
  <si>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</si>
  <si>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</si>
  <si>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</si>
  <si>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</si>
  <si>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</si>
  <si>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</si>
  <si>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</si>
  <si>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</si>
  <si>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</si>
  <si>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</si>
  <si>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</si>
  <si>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</si>
  <si>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</si>
  <si>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</si>
  <si>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</si>
  <si>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</si>
  <si>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</si>
  <si>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</si>
  <si>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</si>
  <si>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</si>
  <si>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</si>
  <si>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</si>
  <si>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</si>
  <si>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</si>
  <si>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</si>
  <si>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</si>
  <si>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</si>
  <si>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</si>
  <si>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</si>
  <si>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</si>
  <si>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</si>
  <si>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</si>
  <si>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</si>
  <si>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</si>
  <si>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</si>
  <si>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</si>
  <si>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</si>
  <si>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</si>
  <si>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</si>
  <si>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</si>
  <si>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</si>
  <si>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</si>
  <si>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</si>
  <si>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</si>
  <si>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</si>
  <si>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</si>
  <si>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</si>
  <si>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</si>
  <si>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</si>
  <si>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</si>
  <si>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</si>
  <si>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</si>
  <si>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</si>
  <si>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</si>
  <si>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</si>
  <si>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</si>
  <si>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</si>
  <si>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</si>
  <si>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</si>
  <si>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</si>
  <si>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</si>
  <si>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</si>
  <si>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</si>
  <si>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</si>
  <si>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</si>
  <si>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</si>
  <si>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</si>
  <si>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</si>
  <si>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</si>
  <si>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</si>
  <si>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</si>
  <si>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</si>
  <si>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</si>
  <si>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</si>
  <si>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</si>
  <si>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</si>
  <si>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</si>
  <si>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</si>
  <si>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</si>
  <si>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</si>
  <si>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</si>
  <si>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</si>
  <si>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</si>
  <si>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</si>
  <si>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</si>
  <si>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</si>
  <si>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</si>
  <si>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</si>
  <si>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</si>
  <si>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</si>
  <si>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</si>
  <si>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</si>
  <si>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</si>
  <si>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</si>
  <si>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</si>
  <si>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</si>
  <si>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</si>
  <si>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</si>
  <si>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</si>
  <si>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</si>
  <si>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</si>
  <si>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</si>
  <si>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</si>
  <si>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</si>
  <si>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</si>
  <si>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</si>
  <si>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</si>
  <si>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</si>
  <si>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</si>
  <si>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</si>
  <si>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</si>
  <si>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</si>
  <si>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</si>
  <si>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</si>
  <si>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</si>
  <si>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</si>
  <si>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</si>
  <si>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</si>
  <si>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</si>
  <si>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</si>
  <si>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</si>
  <si>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</si>
  <si>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</si>
  <si>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</si>
  <si>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</si>
  <si>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</si>
  <si>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</si>
  <si>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</si>
  <si>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</si>
  <si>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</si>
  <si>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</si>
  <si>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</si>
  <si>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</si>
  <si>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</si>
  <si>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</si>
  <si>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</si>
  <si>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</si>
  <si>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</si>
  <si>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</si>
  <si>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</si>
  <si>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</si>
  <si>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</si>
  <si>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</si>
  <si>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</si>
  <si>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</si>
  <si>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</si>
  <si>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</si>
  <si>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</si>
  <si>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</si>
  <si>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</si>
  <si>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</si>
  <si>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</si>
  <si>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</si>
  <si>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</si>
  <si>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</si>
  <si>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</si>
  <si>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</si>
  <si>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</si>
  <si>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</si>
  <si>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</si>
  <si>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</si>
  <si>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</si>
  <si>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</si>
  <si>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</si>
  <si>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</si>
  <si>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</si>
  <si>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</si>
  <si>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</si>
  <si>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</si>
  <si>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</si>
  <si>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</si>
  <si>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</si>
  <si>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</si>
  <si>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</si>
  <si>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</si>
  <si>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</si>
  <si>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</si>
  <si>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</si>
  <si>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</si>
  <si>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</si>
  <si>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</si>
  <si>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</si>
  <si>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</si>
  <si>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</si>
  <si>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</si>
  <si>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</si>
  <si>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</si>
  <si>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</si>
  <si>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</si>
  <si>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</si>
  <si>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</si>
  <si>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</si>
  <si>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</si>
  <si>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</si>
  <si>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</si>
  <si>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</si>
  <si>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</si>
  <si>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</si>
  <si>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</si>
  <si>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</si>
  <si>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</si>
  <si>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</si>
  <si>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</si>
  <si>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</si>
  <si>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</si>
  <si>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</si>
  <si>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</si>
  <si>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</si>
  <si>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</si>
  <si>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</si>
  <si>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</si>
  <si>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</si>
  <si>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</si>
  <si>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</si>
  <si>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</si>
  <si>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</si>
  <si>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</si>
  <si>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</si>
  <si>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</si>
  <si>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</si>
  <si>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</si>
  <si>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</si>
  <si>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</si>
  <si>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</si>
  <si>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</si>
  <si>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</si>
  <si>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</si>
  <si>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</si>
  <si>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</si>
  <si>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</si>
  <si>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</si>
  <si>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</si>
  <si>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Paradise Co., Ltd.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</si>
  <si>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</si>
  <si>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</si>
  <si>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</si>
  <si>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</si>
  <si>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</si>
  <si>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</si>
  <si>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</si>
  <si>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</si>
  <si>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</si>
  <si>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</si>
  <si>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</si>
  <si>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</si>
  <si>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</si>
  <si>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</si>
  <si>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</si>
  <si>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</si>
  <si>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</si>
  <si>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</si>
  <si>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</si>
  <si>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</si>
  <si>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</si>
  <si>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</si>
  <si>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</si>
  <si>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</si>
  <si>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</si>
  <si>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</si>
  <si>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</si>
  <si>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</si>
  <si>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</si>
  <si>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</si>
  <si>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</si>
  <si>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</si>
  <si>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</si>
  <si>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</si>
  <si>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</si>
  <si>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</si>
  <si>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</si>
  <si>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</si>
  <si>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</si>
  <si>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</si>
  <si>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</si>
  <si>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</si>
  <si>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</si>
  <si>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</si>
  <si>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</si>
  <si>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</si>
  <si>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</si>
  <si>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</si>
  <si>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</si>
  <si>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</si>
  <si>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</si>
  <si>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</si>
  <si>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</si>
  <si>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</si>
  <si>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</si>
  <si>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</si>
  <si>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</si>
  <si>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</si>
  <si>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</si>
  <si>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</si>
  <si>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</si>
  <si>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</si>
  <si>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</si>
  <si>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</si>
  <si>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</si>
  <si>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</si>
  <si>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</si>
  <si>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</si>
  <si>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</si>
  <si>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</si>
  <si>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</si>
  <si>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</si>
  <si>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</si>
  <si>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</si>
  <si>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</si>
  <si>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</si>
  <si>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</si>
  <si>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</si>
  <si>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</si>
  <si>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</si>
  <si>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</si>
  <si>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</si>
  <si>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</si>
  <si>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</si>
  <si>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</si>
  <si>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</si>
  <si>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</si>
  <si>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</si>
  <si>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</si>
  <si>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</si>
  <si>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</si>
  <si>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</si>
  <si>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</si>
  <si>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</si>
  <si>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</si>
  <si>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</si>
  <si>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</si>
  <si>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</si>
  <si>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</si>
  <si>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</si>
  <si>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</si>
  <si>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</si>
  <si>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</si>
  <si>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</si>
  <si>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</si>
  <si>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</si>
  <si>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</si>
  <si>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</si>
  <si>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</si>
  <si>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</si>
  <si>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</si>
  <si>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</si>
  <si>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</si>
  <si>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</si>
  <si>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</si>
  <si>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</si>
  <si>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</si>
  <si>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</si>
  <si>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</si>
  <si>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</si>
  <si>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</si>
  <si>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</si>
  <si>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</si>
  <si>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</si>
  <si>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</si>
  <si>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</si>
  <si>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</si>
  <si>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</si>
  <si>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</si>
  <si>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</si>
  <si>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</si>
  <si>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</si>
  <si>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</si>
  <si>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</si>
  <si>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</si>
  <si>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</si>
  <si>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</si>
  <si>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</si>
  <si>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</si>
  <si>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</si>
  <si>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</si>
  <si>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</si>
  <si>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</si>
  <si>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</si>
  <si>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</si>
  <si>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</si>
  <si>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</si>
  <si>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</si>
  <si>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</si>
  <si>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</si>
  <si>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</si>
  <si>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</si>
  <si>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</si>
  <si>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</si>
  <si>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</si>
  <si>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</si>
  <si>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</si>
  <si>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</si>
  <si>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</si>
  <si>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</si>
  <si>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</si>
  <si>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</si>
  <si>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</si>
  <si>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</si>
  <si>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</si>
  <si>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</si>
  <si>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</si>
  <si>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</si>
  <si>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</si>
  <si>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</si>
  <si>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</si>
  <si>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</si>
  <si>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</si>
  <si>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</si>
  <si>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</si>
  <si>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</si>
  <si>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</si>
  <si>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</si>
  <si>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</si>
  <si>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</si>
  <si>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</si>
  <si>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</si>
  <si>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</si>
  <si>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</si>
  <si>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</si>
  <si>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</si>
  <si>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</si>
  <si>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</si>
  <si>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</si>
  <si>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</si>
  <si>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</si>
  <si>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</si>
  <si>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</si>
  <si>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</si>
  <si>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</si>
  <si>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</si>
  <si>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</si>
  <si>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</si>
  <si>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</si>
  <si>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</si>
  <si>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</si>
  <si>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</si>
  <si>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</si>
  <si>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</si>
  <si>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</si>
  <si>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</si>
  <si>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</si>
  <si>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</si>
  <si>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</si>
  <si>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</si>
  <si>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</si>
  <si>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</si>
  <si>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</si>
  <si>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</si>
  <si>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</si>
  <si>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</si>
  <si>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</si>
  <si>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</si>
  <si>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</si>
  <si>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</si>
  <si>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</si>
  <si>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</si>
  <si>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</si>
  <si>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</si>
  <si>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</si>
  <si>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</si>
  <si>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</si>
  <si>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</si>
  <si>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</si>
  <si>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</si>
  <si>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</si>
  <si>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</si>
  <si>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</si>
  <si>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</si>
  <si>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</si>
  <si>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</si>
  <si>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</si>
  <si>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</si>
  <si>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</si>
  <si>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</si>
  <si>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</si>
  <si>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</si>
  <si>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</si>
  <si>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</si>
  <si>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</si>
  <si>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</si>
  <si>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</si>
  <si>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</si>
  <si>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</si>
  <si>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</si>
  <si>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</si>
  <si>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</si>
  <si>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</si>
  <si>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</si>
  <si>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</si>
  <si>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</si>
  <si>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</si>
  <si>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</si>
  <si>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</si>
  <si>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</si>
  <si>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</si>
  <si>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</si>
  <si>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</si>
  <si>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</si>
  <si>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</si>
  <si>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</si>
  <si>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</si>
  <si>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</si>
  <si>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</si>
  <si>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</si>
  <si>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</si>
  <si>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</si>
  <si>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</si>
  <si>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</si>
  <si>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</si>
  <si>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</si>
  <si>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</si>
  <si>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</si>
  <si>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</si>
  <si>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</si>
  <si>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</si>
  <si>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</si>
  <si>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</si>
  <si>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</si>
  <si>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</si>
  <si>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</si>
  <si>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</si>
  <si>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</si>
  <si>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</si>
  <si>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</si>
  <si>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</si>
  <si>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</si>
  <si>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</si>
  <si>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</si>
  <si>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</si>
  <si>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</si>
  <si>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</si>
  <si>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</si>
  <si>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</si>
  <si>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</si>
  <si>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</si>
  <si>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</si>
  <si>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</si>
  <si>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</si>
  <si>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</si>
  <si>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</si>
  <si>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</si>
  <si>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</si>
  <si>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</si>
  <si>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</si>
  <si>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</si>
  <si>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</si>
  <si>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</si>
  <si>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</si>
  <si>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</si>
  <si>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</si>
  <si>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</si>
  <si>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</si>
  <si>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</si>
  <si>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</si>
  <si>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</si>
  <si>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</si>
  <si>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</si>
  <si>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</si>
  <si>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</si>
  <si>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</si>
  <si>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</si>
  <si>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</si>
  <si>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</si>
  <si>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</si>
  <si>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</si>
  <si>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</si>
  <si>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</si>
  <si>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</si>
  <si>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</si>
  <si>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</si>
  <si>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</si>
  <si>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</si>
  <si>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</si>
  <si>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</si>
  <si>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</si>
  <si>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</si>
  <si>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</si>
  <si>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</si>
  <si>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</si>
  <si>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</si>
  <si>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</si>
  <si>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</si>
  <si>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</si>
  <si>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</si>
  <si>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</si>
  <si>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</si>
  <si>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</si>
  <si>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</si>
  <si>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</si>
  <si>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</si>
  <si>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</si>
  <si>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</si>
  <si>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</si>
  <si>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</si>
  <si>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</si>
  <si>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</si>
  <si>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</si>
  <si>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</si>
  <si>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</si>
  <si>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</si>
  <si>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</si>
  <si>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</si>
  <si>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</si>
  <si>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</si>
  <si>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</si>
  <si>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</si>
  <si>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</si>
  <si>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</si>
  <si>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</si>
  <si>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</si>
  <si>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</si>
  <si>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</si>
  <si>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</si>
  <si>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</si>
  <si>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</si>
  <si>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</si>
  <si>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</si>
  <si>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</si>
  <si>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</si>
  <si>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</si>
  <si>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</si>
  <si>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</si>
  <si>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</si>
  <si>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</si>
  <si>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</si>
  <si>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</si>
  <si>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</si>
  <si>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</si>
  <si>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</si>
  <si>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</si>
  <si>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</si>
  <si>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</si>
  <si>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</si>
  <si>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</si>
  <si>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</si>
  <si>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</si>
  <si>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</si>
  <si>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</si>
  <si>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</si>
  <si>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</si>
  <si>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</si>
  <si>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</si>
  <si>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</si>
  <si>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</si>
  <si>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</si>
  <si>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</si>
  <si>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</si>
  <si>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</si>
  <si>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</si>
  <si>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</si>
  <si>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</si>
  <si>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</si>
  <si>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</si>
  <si>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</si>
  <si>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</si>
  <si>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</si>
  <si>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</si>
  <si>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</si>
  <si>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</si>
  <si>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</si>
  <si>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</si>
  <si>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</si>
  <si>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</si>
  <si>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</si>
  <si>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</si>
  <si>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</si>
  <si>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</si>
  <si>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</si>
  <si>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</si>
  <si>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</si>
  <si>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</si>
  <si>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</si>
  <si>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</si>
  <si>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</si>
  <si>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</si>
  <si>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</si>
  <si>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</si>
  <si>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</si>
  <si>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</si>
  <si>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</si>
  <si>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</si>
  <si>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</si>
  <si>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</si>
  <si>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</si>
  <si>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</si>
  <si>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</si>
  <si>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</si>
  <si>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</si>
  <si>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</si>
  <si>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</si>
  <si>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</si>
  <si>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</si>
  <si>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</si>
  <si>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</si>
  <si>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</si>
  <si>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</si>
  <si>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</si>
  <si>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</si>
  <si>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</si>
  <si>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</si>
  <si>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</si>
  <si>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</si>
  <si>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</si>
  <si>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</si>
  <si>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</si>
  <si>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</si>
  <si>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</si>
  <si>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</si>
  <si>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</si>
  <si>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</si>
  <si>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</si>
  <si>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</si>
  <si>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</si>
  <si>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</si>
  <si>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</si>
  <si>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</si>
  <si>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</si>
  <si>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</si>
  <si>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</si>
  <si>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</si>
  <si>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</si>
  <si>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</si>
  <si>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</si>
  <si>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</si>
  <si>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</si>
  <si>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</si>
  <si>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</si>
  <si>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</si>
  <si>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</si>
  <si>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</si>
  <si>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</si>
  <si>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</si>
  <si>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</si>
  <si>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</si>
  <si>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</si>
  <si>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</si>
  <si>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</si>
  <si>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</si>
  <si>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</si>
  <si>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</si>
  <si>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</si>
  <si>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</si>
  <si>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</si>
  <si>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</si>
  <si>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</si>
  <si>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</si>
  <si>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</si>
  <si>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</si>
  <si>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</si>
  <si>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</si>
  <si>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</si>
  <si>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</si>
  <si>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</si>
  <si>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</si>
  <si>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</si>
  <si>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</si>
  <si>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</si>
  <si>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</si>
  <si>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</si>
  <si>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</si>
  <si>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</si>
  <si>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</si>
  <si>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</si>
  <si>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</si>
  <si>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</si>
  <si>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</si>
  <si>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</si>
  <si>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</si>
  <si>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</si>
  <si>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</si>
  <si>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</si>
  <si>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</si>
  <si>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</si>
  <si>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</si>
  <si>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</si>
  <si>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</si>
  <si>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</si>
  <si>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</si>
  <si>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</si>
  <si>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</si>
  <si>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</si>
  <si>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</si>
  <si>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</si>
  <si>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</si>
  <si>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</si>
  <si>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</si>
  <si>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</si>
  <si>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</si>
  <si>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</si>
  <si>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</si>
  <si>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</si>
  <si>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</si>
  <si>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</si>
  <si>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</si>
  <si>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</si>
  <si>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</si>
  <si>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</si>
  <si>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</si>
  <si>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</si>
  <si>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</si>
  <si>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</si>
  <si>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</si>
  <si>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</si>
  <si>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</si>
  <si>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</si>
  <si>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</si>
  <si>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</si>
  <si>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</si>
  <si>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</si>
  <si>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</si>
  <si>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</si>
  <si>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</si>
  <si>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</si>
  <si>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</si>
  <si>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</si>
  <si>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</si>
  <si>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</si>
  <si>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</si>
  <si>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</si>
  <si>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</si>
  <si>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</si>
  <si>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</si>
  <si>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</si>
  <si>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</si>
  <si>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</si>
  <si>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</si>
  <si>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</si>
  <si>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</si>
  <si>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</si>
  <si>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</si>
  <si>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</si>
  <si>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</si>
  <si>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</si>
  <si>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</si>
  <si>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</si>
  <si>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</si>
  <si>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</si>
  <si>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</si>
  <si>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</si>
  <si>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</si>
  <si>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</si>
  <si>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</si>
  <si>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</si>
  <si>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</si>
  <si>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</si>
  <si>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</si>
  <si>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</si>
  <si>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</si>
  <si>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</si>
  <si>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</si>
  <si>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</si>
  <si>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</si>
  <si>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</si>
  <si>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</si>
  <si>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</si>
  <si>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</si>
  <si>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</si>
  <si>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</si>
  <si>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</si>
  <si>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</si>
  <si>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</si>
  <si>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</si>
  <si>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</si>
  <si>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</si>
  <si>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</si>
  <si>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</si>
  <si>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</si>
  <si>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</si>
  <si>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</si>
  <si>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</si>
  <si>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</si>
  <si>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</si>
  <si>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</si>
  <si>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</si>
  <si>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</si>
  <si>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</si>
  <si>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</si>
  <si>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</si>
  <si>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</si>
  <si>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</si>
  <si>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</si>
  <si>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</si>
  <si>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</si>
  <si>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</si>
  <si>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</si>
  <si>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</si>
  <si>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</si>
  <si>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</si>
  <si>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</si>
  <si>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</si>
  <si>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</si>
  <si>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</si>
  <si>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</si>
  <si>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</si>
  <si>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</si>
  <si>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</si>
  <si>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</si>
  <si>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</si>
  <si>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</si>
  <si>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</si>
  <si>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</si>
  <si>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</si>
  <si>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</si>
  <si>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</si>
  <si>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</si>
  <si>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</si>
  <si>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</si>
  <si>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</si>
  <si>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</si>
  <si>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</si>
  <si>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</si>
  <si>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</si>
  <si>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</si>
  <si>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</si>
  <si>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</si>
  <si>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</si>
  <si>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Connectwave Co., Ltd.</t>
  </si>
  <si>
    <t>커넥트웨이브</t>
  </si>
  <si>
    <t>인터넷쇼핑몰 가격비교서비스, 온라인광고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</si>
  <si>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</si>
  <si>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</si>
  <si>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</si>
  <si>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</si>
  <si>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</si>
  <si>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</si>
  <si>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</si>
  <si>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</si>
  <si>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</si>
  <si>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</si>
  <si>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</si>
  <si>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</si>
  <si>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</si>
  <si>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</si>
  <si>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</si>
  <si>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Jeisys Medical Inc.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</si>
  <si>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</si>
  <si>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</si>
  <si>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</si>
  <si>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</si>
  <si>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</si>
  <si>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</si>
  <si>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</si>
  <si>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</si>
  <si>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</si>
  <si>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</si>
  <si>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</si>
  <si>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</si>
  <si>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</si>
  <si>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</si>
  <si>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</si>
  <si>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</si>
  <si>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</si>
  <si>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</si>
  <si>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전자저항기 제조업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</si>
  <si>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</si>
  <si>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</si>
  <si>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</si>
  <si>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</si>
  <si>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</si>
  <si>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</si>
  <si>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</si>
  <si>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</si>
  <si>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</si>
  <si>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</si>
  <si>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</si>
  <si>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</si>
  <si>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</si>
  <si>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</si>
  <si>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</si>
  <si>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</si>
  <si>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</si>
  <si>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</si>
  <si>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</si>
  <si>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</si>
  <si>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</si>
  <si>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</si>
  <si>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</si>
  <si>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</si>
  <si>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</si>
  <si>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</si>
  <si>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</si>
  <si>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</si>
  <si>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</si>
  <si>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</si>
  <si>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</si>
  <si>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</si>
  <si>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</si>
  <si>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</si>
  <si>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</si>
  <si>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</si>
  <si>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</si>
  <si>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</si>
  <si>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</si>
  <si>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</si>
  <si>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</si>
  <si>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</si>
  <si>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</si>
  <si>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</si>
  <si>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</si>
  <si>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</si>
  <si>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</si>
  <si>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</si>
  <si>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</si>
  <si>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</si>
  <si>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</si>
  <si>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</si>
  <si>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</si>
  <si>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</si>
  <si>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</si>
  <si>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</si>
  <si>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</si>
  <si>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</si>
  <si>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</si>
  <si>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</si>
  <si>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</si>
  <si>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</si>
  <si>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</si>
  <si>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</si>
  <si>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</si>
  <si>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</si>
  <si>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</si>
  <si>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</si>
  <si>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</si>
  <si>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</si>
  <si>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</si>
  <si>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</si>
  <si>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</si>
  <si>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</si>
  <si>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</si>
  <si>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</si>
  <si>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</si>
  <si>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</si>
  <si>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</si>
  <si>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</si>
  <si>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</si>
  <si>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</si>
  <si>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</si>
  <si>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</si>
  <si>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</si>
  <si>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</si>
  <si>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</si>
  <si>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</si>
  <si>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</si>
  <si>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</si>
  <si>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</si>
  <si>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</si>
  <si>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</si>
  <si>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</si>
  <si>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</si>
  <si>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</si>
  <si>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</si>
  <si>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</si>
  <si>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</si>
  <si>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</si>
  <si>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</si>
  <si>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</si>
  <si>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</si>
  <si>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</si>
  <si>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</si>
  <si>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</si>
  <si>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</si>
  <si>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</si>
  <si>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</si>
  <si>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</si>
  <si>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</si>
  <si>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</si>
  <si>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</si>
  <si>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</si>
  <si>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</si>
  <si>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</si>
  <si>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</si>
  <si>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</si>
  <si>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</si>
  <si>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</si>
  <si>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</si>
  <si>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</si>
  <si>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</si>
  <si>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</si>
  <si>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</si>
  <si>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</si>
  <si>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</si>
  <si>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</si>
  <si>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</si>
  <si>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</si>
  <si>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브이티</t>
  </si>
  <si>
    <t>화장품, 라미네이팅필름, 라미네이팅기계</t>
  </si>
  <si>
    <t>136510 KS Equity</t>
  </si>
  <si>
    <t>A136510</t>
  </si>
  <si>
    <t>Smart Solutions Co., Ltd.</t>
  </si>
  <si>
    <t>스마트솔루션즈</t>
  </si>
  <si>
    <t>디스플레이 제조용 기계 제조업</t>
  </si>
  <si>
    <t>EV Z(전기차), EGIS(유리기판 검사장비), Smart-EPD 및 Smart-HMS(플라즈마 검사장비)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</si>
  <si>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</si>
  <si>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</si>
  <si>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</si>
  <si>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</si>
  <si>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</si>
  <si>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</si>
  <si>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</si>
  <si>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</si>
  <si>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</si>
  <si>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</si>
  <si>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</si>
  <si>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</si>
  <si>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</si>
  <si>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</si>
  <si>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</si>
  <si>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</si>
  <si>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</si>
  <si>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</si>
  <si>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</si>
  <si>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</si>
  <si>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</si>
  <si>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</si>
  <si>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</si>
  <si>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</si>
  <si>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</si>
  <si>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</si>
  <si>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</si>
  <si>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</si>
  <si>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</si>
  <si>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</si>
  <si>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</si>
  <si>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</si>
  <si>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</si>
  <si>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</si>
  <si>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</si>
  <si>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</si>
  <si>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</si>
  <si>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</si>
  <si>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</si>
  <si>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</si>
  <si>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</si>
  <si>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</si>
  <si>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</si>
  <si>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</si>
  <si>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</si>
  <si>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</si>
  <si>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</si>
  <si>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</si>
  <si>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</si>
  <si>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</si>
  <si>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</si>
  <si>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</si>
  <si>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</si>
  <si>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</si>
  <si>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</si>
  <si>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</si>
  <si>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</si>
  <si>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</si>
  <si>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</si>
  <si>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</si>
  <si>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</si>
  <si>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</si>
  <si>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</si>
  <si>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</si>
  <si>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</si>
  <si>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</si>
  <si>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</si>
  <si>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</si>
  <si>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</si>
  <si>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</si>
  <si>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</si>
  <si>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</si>
  <si>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</si>
  <si>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</si>
  <si>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</si>
  <si>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</si>
  <si>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</si>
  <si>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</si>
  <si>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</si>
  <si>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</si>
  <si>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</si>
  <si>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</si>
  <si>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</si>
  <si>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</si>
  <si>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</si>
  <si>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</si>
  <si>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</si>
  <si>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</si>
  <si>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</si>
  <si>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</si>
  <si>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</si>
  <si>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</si>
  <si>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</si>
  <si>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</si>
  <si>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</si>
  <si>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</si>
  <si>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</si>
  <si>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</si>
  <si>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</si>
  <si>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</si>
  <si>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</si>
  <si>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</si>
  <si>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</si>
  <si>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</si>
  <si>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</si>
  <si>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</si>
  <si>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</si>
  <si>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</si>
  <si>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</si>
  <si>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</si>
  <si>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</si>
  <si>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</si>
  <si>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</si>
  <si>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</si>
  <si>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</si>
  <si>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</si>
  <si>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</si>
  <si>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</si>
  <si>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</si>
  <si>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</si>
  <si>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</si>
  <si>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</si>
  <si>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</si>
  <si>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</si>
  <si>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</si>
  <si>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</si>
  <si>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</si>
  <si>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</si>
  <si>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</si>
  <si>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</si>
  <si>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</si>
  <si>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</si>
  <si>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</si>
  <si>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</si>
  <si>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</si>
  <si>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</si>
  <si>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</si>
  <si>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</si>
  <si>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</si>
  <si>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</si>
  <si>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</si>
  <si>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</si>
  <si>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</si>
  <si>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</si>
  <si>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</si>
  <si>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</si>
  <si>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</si>
  <si>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</si>
  <si>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</si>
  <si>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</si>
  <si>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</si>
  <si>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</si>
  <si>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</si>
  <si>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</si>
  <si>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</si>
  <si>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</si>
  <si>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</si>
  <si>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</si>
  <si>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</si>
  <si>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</si>
  <si>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</si>
  <si>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</si>
  <si>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</si>
  <si>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</si>
  <si>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</si>
  <si>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</si>
  <si>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</si>
  <si>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</si>
  <si>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</si>
  <si>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</si>
  <si>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</si>
  <si>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</si>
  <si>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</si>
  <si>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</si>
  <si>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</si>
  <si>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</si>
  <si>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</si>
  <si>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</si>
  <si>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</si>
  <si>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</si>
  <si>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</si>
  <si>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</si>
  <si>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</si>
  <si>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</si>
  <si>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</si>
  <si>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</si>
  <si>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</si>
  <si>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</si>
  <si>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</si>
  <si>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</si>
  <si>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</si>
  <si>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</si>
  <si>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</si>
  <si>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</si>
  <si>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</si>
  <si>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</si>
  <si>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</si>
  <si>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</si>
  <si>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</si>
  <si>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</si>
  <si>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</si>
  <si>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</si>
  <si>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</si>
  <si>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</si>
  <si>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</si>
  <si>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</si>
  <si>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</si>
  <si>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</si>
  <si>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</si>
  <si>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</si>
  <si>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</si>
  <si>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</si>
  <si>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</si>
  <si>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</si>
  <si>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의약용 화합물 및 항생물질 제조업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</si>
  <si>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</si>
  <si>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</si>
  <si>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</si>
  <si>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</si>
  <si>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</si>
  <si>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</si>
  <si>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</si>
  <si>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</si>
  <si>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</si>
  <si>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</si>
  <si>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</si>
  <si>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</si>
  <si>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</si>
  <si>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</si>
  <si>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</si>
  <si>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</si>
  <si>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</si>
  <si>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</si>
  <si>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</si>
  <si>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</si>
  <si>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</si>
  <si>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</si>
  <si>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</si>
  <si>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</si>
  <si>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자료처리, 호스팅 및 관련 서비스업</t>
  </si>
  <si>
    <t>호스팅 및 관련 서비스업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</si>
  <si>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</si>
  <si>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</si>
  <si>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</si>
  <si>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</si>
  <si>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</si>
  <si>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</si>
  <si>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</si>
  <si>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</si>
  <si>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</si>
  <si>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</si>
  <si>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</si>
  <si>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</si>
  <si>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</si>
  <si>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</si>
  <si>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</si>
  <si>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</si>
  <si>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</si>
  <si>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</si>
  <si>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</si>
  <si>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</si>
  <si>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</si>
  <si>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</si>
  <si>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</si>
  <si>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</si>
  <si>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</si>
  <si>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</si>
  <si>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</si>
  <si>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</si>
  <si>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</si>
  <si>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</si>
  <si>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</si>
  <si>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</si>
  <si>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</si>
  <si>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</si>
  <si>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</si>
  <si>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</si>
  <si>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</si>
  <si>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</si>
  <si>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</si>
  <si>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</si>
  <si>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</si>
  <si>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</si>
  <si>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</si>
  <si>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</si>
  <si>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</si>
  <si>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</si>
  <si>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</si>
  <si>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</si>
  <si>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</si>
  <si>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</si>
  <si>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</si>
  <si>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</si>
  <si>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</si>
  <si>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</si>
  <si>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</si>
  <si>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</si>
  <si>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</si>
  <si>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</si>
  <si>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</si>
  <si>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</si>
  <si>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</si>
  <si>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</si>
  <si>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</si>
  <si>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</si>
  <si>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</si>
  <si>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</si>
  <si>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</si>
  <si>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</si>
  <si>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낙농제품 및 식용빙과류 제조업</t>
  </si>
  <si>
    <t>액상시유 및 기타 낙농제품 제조업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</si>
  <si>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</si>
  <si>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</si>
  <si>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</si>
  <si>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</si>
  <si>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</si>
  <si>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</si>
  <si>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</si>
  <si>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</si>
  <si>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</si>
  <si>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</si>
  <si>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</si>
  <si>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</si>
  <si>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빵류 제조업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</si>
  <si>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</si>
  <si>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</si>
  <si>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</si>
  <si>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</si>
  <si>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</si>
  <si>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</si>
  <si>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</si>
  <si>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</si>
  <si>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</si>
  <si>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</si>
  <si>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</si>
  <si>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</si>
  <si>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</si>
  <si>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</si>
  <si>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</si>
  <si>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</si>
  <si>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</si>
  <si>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</si>
  <si>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</si>
  <si>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</si>
  <si>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</si>
  <si>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</si>
  <si>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</si>
  <si>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</si>
  <si>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</si>
  <si>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</si>
  <si>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</si>
  <si>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</si>
  <si>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</si>
  <si>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</si>
  <si>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</si>
  <si>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</si>
  <si>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</si>
  <si>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</si>
  <si>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</si>
  <si>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</si>
  <si>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</si>
  <si>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</si>
  <si>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</si>
  <si>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</si>
  <si>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</si>
  <si>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</si>
  <si>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</si>
  <si>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</si>
  <si>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</si>
  <si>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</si>
  <si>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</si>
  <si>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</si>
  <si>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</si>
  <si>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</si>
  <si>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</si>
  <si>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</si>
  <si>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</si>
  <si>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</si>
  <si>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</si>
  <si>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</si>
  <si>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</si>
  <si>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</si>
  <si>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</si>
  <si>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</si>
  <si>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</si>
  <si>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</si>
  <si>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</si>
  <si>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</si>
  <si>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</si>
  <si>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</si>
  <si>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</si>
  <si>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</si>
  <si>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</si>
  <si>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</si>
  <si>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</si>
  <si>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</si>
  <si>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</si>
  <si>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</si>
  <si>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</si>
  <si>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</si>
  <si>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</si>
  <si>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</si>
  <si>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</si>
  <si>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</si>
  <si>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</si>
  <si>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</si>
  <si>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</si>
  <si>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</si>
  <si>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</si>
  <si>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</si>
  <si>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</si>
  <si>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</si>
  <si>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</si>
  <si>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</si>
  <si>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</si>
  <si>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</si>
  <si>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</si>
  <si>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</si>
  <si>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</si>
  <si>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</si>
  <si>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</si>
  <si>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</si>
  <si>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</si>
  <si>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</si>
  <si>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</si>
  <si>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</si>
  <si>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</si>
  <si>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</si>
  <si>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</si>
  <si>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</si>
  <si>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</si>
  <si>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</si>
  <si>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</si>
  <si>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</si>
  <si>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</si>
  <si>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</si>
  <si>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</si>
  <si>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</si>
  <si>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</si>
  <si>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</si>
  <si>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</si>
  <si>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</si>
  <si>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</si>
  <si>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</si>
  <si>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</si>
  <si>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</si>
  <si>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</si>
  <si>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</si>
  <si>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</si>
  <si>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</si>
  <si>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</si>
  <si>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</si>
  <si>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</si>
  <si>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</si>
  <si>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</si>
  <si>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</si>
  <si>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</si>
  <si>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</si>
  <si>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</si>
  <si>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</si>
  <si>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</si>
  <si>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</si>
  <si>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</si>
  <si>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</si>
  <si>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</si>
  <si>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</si>
  <si>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</si>
  <si>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</si>
  <si>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</si>
  <si>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</si>
  <si>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</si>
  <si>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</si>
  <si>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</si>
  <si>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</si>
  <si>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</si>
  <si>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</si>
  <si>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</si>
  <si>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</si>
  <si>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</si>
  <si>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</si>
  <si>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</si>
  <si>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</si>
  <si>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</si>
  <si>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</si>
  <si>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</si>
  <si>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</si>
  <si>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</si>
  <si>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</si>
  <si>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</si>
  <si>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</si>
  <si>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</si>
  <si>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</si>
  <si>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</si>
  <si>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</si>
  <si>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</si>
  <si>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</si>
  <si>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</si>
  <si>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</si>
  <si>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</si>
  <si>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</si>
  <si>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</si>
  <si>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</si>
  <si>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</si>
  <si>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</si>
  <si>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</si>
  <si>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</si>
  <si>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</si>
  <si>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</si>
  <si>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</si>
  <si>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</si>
  <si>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</si>
  <si>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</si>
  <si>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</si>
  <si>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</si>
  <si>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</si>
  <si>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</si>
  <si>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</si>
  <si>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</si>
  <si>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</si>
  <si>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</si>
  <si>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</si>
  <si>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</si>
  <si>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</si>
  <si>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</si>
  <si>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</si>
  <si>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</si>
  <si>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</si>
  <si>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</si>
  <si>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</si>
  <si>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</si>
  <si>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</si>
  <si>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</si>
  <si>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</si>
  <si>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</si>
  <si>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</si>
  <si>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</si>
  <si>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</si>
  <si>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</si>
  <si>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</si>
  <si>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</si>
  <si>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</si>
  <si>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</si>
  <si>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</si>
  <si>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</si>
  <si>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</si>
  <si>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</si>
  <si>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</si>
  <si>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</si>
  <si>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</si>
  <si>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</si>
  <si>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</si>
  <si>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</si>
  <si>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</si>
  <si>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</si>
  <si>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</si>
  <si>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</si>
  <si>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</si>
  <si>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</si>
  <si>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</si>
  <si>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</si>
  <si>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</si>
  <si>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</si>
  <si>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</si>
  <si>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</si>
  <si>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</si>
  <si>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</si>
  <si>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</si>
  <si>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</si>
  <si>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</si>
  <si>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</si>
  <si>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</si>
  <si>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</si>
  <si>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</si>
  <si>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</si>
  <si>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</si>
  <si>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</si>
  <si>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</si>
  <si>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</si>
  <si>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</si>
  <si>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</si>
  <si>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</si>
  <si>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</si>
  <si>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</si>
  <si>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</si>
  <si>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</si>
  <si>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</si>
  <si>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</si>
  <si>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</si>
  <si>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</si>
  <si>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</si>
  <si>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</si>
  <si>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</si>
  <si>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</si>
  <si>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</si>
  <si>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</si>
  <si>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</si>
  <si>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</si>
  <si>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</si>
  <si>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</si>
  <si>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</si>
  <si>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토목공사,건축공사,아파트분양사업,재개발/재건축사업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</si>
  <si>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</si>
  <si>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</si>
  <si>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</si>
  <si>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</si>
  <si>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</si>
  <si>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</si>
  <si>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</si>
  <si>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</si>
  <si>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</si>
  <si>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</si>
  <si>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</si>
  <si>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</si>
  <si>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</si>
  <si>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</si>
  <si>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</si>
  <si>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</si>
  <si>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</si>
  <si>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</si>
  <si>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</si>
  <si>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</si>
  <si>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</si>
  <si>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</si>
  <si>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</si>
  <si>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</si>
  <si>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</si>
  <si>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</si>
  <si>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</si>
  <si>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</si>
  <si>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</si>
  <si>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</si>
  <si>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</si>
  <si>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</si>
  <si>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</si>
  <si>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</si>
  <si>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</si>
  <si>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</si>
  <si>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</si>
  <si>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</si>
  <si>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</si>
  <si>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</si>
  <si>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</si>
  <si>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</si>
  <si>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</si>
  <si>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</si>
  <si>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</si>
  <si>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</si>
  <si>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</si>
  <si>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</si>
  <si>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</si>
  <si>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</si>
  <si>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</si>
  <si>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</si>
  <si>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</si>
  <si>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</si>
  <si>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</si>
  <si>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</si>
  <si>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</si>
  <si>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</si>
  <si>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</si>
  <si>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</si>
  <si>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</si>
  <si>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</si>
  <si>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</si>
  <si>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</si>
  <si>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</si>
  <si>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</si>
  <si>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</si>
  <si>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</si>
  <si>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</si>
  <si>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</si>
  <si>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</si>
  <si>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</si>
  <si>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</si>
  <si>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</si>
  <si>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</si>
  <si>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</si>
  <si>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</si>
  <si>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</si>
  <si>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</si>
  <si>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</si>
  <si>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</si>
  <si>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</si>
  <si>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</si>
  <si>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</si>
  <si>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</si>
  <si>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</si>
  <si>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</si>
  <si>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</si>
  <si>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</si>
  <si>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</si>
  <si>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</si>
  <si>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</si>
  <si>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</si>
  <si>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</si>
  <si>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</si>
  <si>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</si>
  <si>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산업용 가스 제조업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</si>
  <si>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</si>
  <si>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</si>
  <si>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</si>
  <si>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</si>
  <si>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</si>
  <si>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</si>
  <si>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</si>
  <si>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</si>
  <si>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</si>
  <si>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</si>
  <si>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</si>
  <si>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</si>
  <si>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</si>
  <si>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</si>
  <si>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</si>
  <si>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</si>
  <si>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</si>
  <si>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</si>
  <si>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</si>
  <si>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</si>
  <si>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</si>
  <si>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</si>
  <si>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</si>
  <si>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</si>
  <si>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</si>
  <si>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</si>
  <si>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</si>
  <si>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</si>
  <si>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</si>
  <si>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</si>
  <si>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</si>
  <si>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</si>
  <si>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</si>
  <si>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</si>
  <si>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</si>
  <si>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</si>
  <si>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</si>
  <si>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</si>
  <si>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</si>
  <si>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</si>
  <si>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</si>
  <si>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</si>
  <si>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</si>
  <si>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</si>
  <si>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</si>
  <si>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</si>
  <si>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</si>
  <si>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</si>
  <si>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</si>
  <si>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</si>
  <si>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</si>
  <si>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</si>
  <si>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</si>
  <si>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</si>
  <si>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</si>
  <si>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</si>
  <si>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</si>
  <si>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</si>
  <si>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</si>
  <si>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</si>
  <si>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</si>
  <si>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자동차용 신품 조향장치 및 현가 장치 제조업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</si>
  <si>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</si>
  <si>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</si>
  <si>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</si>
  <si>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</si>
  <si>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</si>
  <si>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</si>
  <si>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</si>
  <si>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</si>
  <si>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</si>
  <si>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</si>
  <si>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</si>
  <si>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</si>
  <si>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</si>
  <si>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</si>
  <si>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</si>
  <si>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</si>
  <si>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</si>
  <si>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</si>
  <si>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</si>
  <si>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</si>
  <si>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</si>
  <si>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</si>
  <si>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</si>
  <si>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</si>
  <si>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</si>
  <si>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</si>
  <si>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</si>
  <si>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</si>
  <si>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</si>
  <si>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</si>
  <si>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</si>
  <si>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</si>
  <si>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</si>
  <si>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</si>
  <si>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</si>
  <si>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기타 식료품 제조업</t>
  </si>
  <si>
    <t>그 외 기타 식료품 제조업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</si>
  <si>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</si>
  <si>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</si>
  <si>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</si>
  <si>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</si>
  <si>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</si>
  <si>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</si>
  <si>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</si>
  <si>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</si>
  <si>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</si>
  <si>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</si>
  <si>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</si>
  <si>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</si>
  <si>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</si>
  <si>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</si>
  <si>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</si>
  <si>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</si>
  <si>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</si>
  <si>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</si>
  <si>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</si>
  <si>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</si>
  <si>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</si>
  <si>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</si>
  <si>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</si>
  <si>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</si>
  <si>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</si>
  <si>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</si>
  <si>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</si>
  <si>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</si>
  <si>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</si>
  <si>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</si>
  <si>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</si>
  <si>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</si>
  <si>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</si>
  <si>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</si>
  <si>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</si>
  <si>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</si>
  <si>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</si>
  <si>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</si>
  <si>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</si>
  <si>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</si>
  <si>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</si>
  <si>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</si>
  <si>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</si>
  <si>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</si>
  <si>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</si>
  <si>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</si>
  <si>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</si>
  <si>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</si>
  <si>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</si>
  <si>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</si>
  <si>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</si>
  <si>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</si>
  <si>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</si>
  <si>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</si>
  <si>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</si>
  <si>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</si>
  <si>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</si>
  <si>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</si>
  <si>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</si>
  <si>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</si>
  <si>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</si>
  <si>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</si>
  <si>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</si>
  <si>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</si>
  <si>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</si>
  <si>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</si>
  <si>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</si>
  <si>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</si>
  <si>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</si>
  <si>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</si>
  <si>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</si>
  <si>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</si>
  <si>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</si>
  <si>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</si>
  <si>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</si>
  <si>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</si>
  <si>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</si>
  <si>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</si>
  <si>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</si>
  <si>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</si>
  <si>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</si>
  <si>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</si>
  <si>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</si>
  <si>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</si>
  <si>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</si>
  <si>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</si>
  <si>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</si>
  <si>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</si>
  <si>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</si>
  <si>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</si>
  <si>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</si>
  <si>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</si>
  <si>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</si>
  <si>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</si>
  <si>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</si>
  <si>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</si>
  <si>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</si>
  <si>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</si>
  <si>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</si>
  <si>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</si>
  <si>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</si>
  <si>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</si>
  <si>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</si>
  <si>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</si>
  <si>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</si>
  <si>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</si>
  <si>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</si>
  <si>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</si>
  <si>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</si>
  <si>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</si>
  <si>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</si>
  <si>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증기, 냉·온수 및 공기조절 공급업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</si>
  <si>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</si>
  <si>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</si>
  <si>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</si>
  <si>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</si>
  <si>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</si>
  <si>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</si>
  <si>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</si>
  <si>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</si>
  <si>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</si>
  <si>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</si>
  <si>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</si>
  <si>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</si>
  <si>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</si>
  <si>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</si>
  <si>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</si>
  <si>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</si>
  <si>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</si>
  <si>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</si>
  <si>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</si>
  <si>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</si>
  <si>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</si>
  <si>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</si>
  <si>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</si>
  <si>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</si>
  <si>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</si>
  <si>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</si>
  <si>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</si>
  <si>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</si>
  <si>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</si>
  <si>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</si>
  <si>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</si>
  <si>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</si>
  <si>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</si>
  <si>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</si>
  <si>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</si>
  <si>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</si>
  <si>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</si>
  <si>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</si>
  <si>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</si>
  <si>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</si>
  <si>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</si>
  <si>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</si>
  <si>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</si>
  <si>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</si>
  <si>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</si>
  <si>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</si>
  <si>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</si>
  <si>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</si>
  <si>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</si>
  <si>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</si>
  <si>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</si>
  <si>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</si>
  <si>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</si>
  <si>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</si>
  <si>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</si>
  <si>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</si>
  <si>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</si>
  <si>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</si>
  <si>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</si>
  <si>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</si>
  <si>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</si>
  <si>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</si>
  <si>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</si>
  <si>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</si>
  <si>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</si>
  <si>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</si>
  <si>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</si>
  <si>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</si>
  <si>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</si>
  <si>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</si>
  <si>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</si>
  <si>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</si>
  <si>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</si>
  <si>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</si>
  <si>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</si>
  <si>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</si>
  <si>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</si>
  <si>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</si>
  <si>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</si>
  <si>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</si>
  <si>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</si>
  <si>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</si>
  <si>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</si>
  <si>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</si>
  <si>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</si>
  <si>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</si>
  <si>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</si>
  <si>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</si>
  <si>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</si>
  <si>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</si>
  <si>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</si>
  <si>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</si>
  <si>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</si>
  <si>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</si>
  <si>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</si>
  <si>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</si>
  <si>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</si>
  <si>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</si>
  <si>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</si>
  <si>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</si>
  <si>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</si>
  <si>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</si>
  <si>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</si>
  <si>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</si>
  <si>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</si>
  <si>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</si>
  <si>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</si>
  <si>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</si>
  <si>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</si>
  <si>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</si>
  <si>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</si>
  <si>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</si>
  <si>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</si>
  <si>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</si>
  <si>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</si>
  <si>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</si>
  <si>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</si>
  <si>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</si>
  <si>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</si>
  <si>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</si>
  <si>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</si>
  <si>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</si>
  <si>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</si>
  <si>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</si>
  <si>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</si>
  <si>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</si>
  <si>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</si>
  <si>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</si>
  <si>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</si>
  <si>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</si>
  <si>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</si>
  <si>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</si>
  <si>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</si>
  <si>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</si>
  <si>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</si>
  <si>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</si>
  <si>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</si>
  <si>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</si>
  <si>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</si>
  <si>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</si>
  <si>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</si>
  <si>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</si>
  <si>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</si>
  <si>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</si>
  <si>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</si>
  <si>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</si>
  <si>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</si>
  <si>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</si>
  <si>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</si>
  <si>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</si>
  <si>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</si>
  <si>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</si>
  <si>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</si>
  <si>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</si>
  <si>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</si>
  <si>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</si>
  <si>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</si>
  <si>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</si>
  <si>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</si>
  <si>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</si>
  <si>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</si>
  <si>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</si>
  <si>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</si>
  <si>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</si>
  <si>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</si>
  <si>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</si>
  <si>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</si>
  <si>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</si>
  <si>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</si>
  <si>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</si>
  <si>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</si>
  <si>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</si>
  <si>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</si>
  <si>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</si>
  <si>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</si>
  <si>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</si>
  <si>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</si>
  <si>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</si>
  <si>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</si>
  <si>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</si>
  <si>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</si>
  <si>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</si>
  <si>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</si>
  <si>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</si>
  <si>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</si>
  <si>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</si>
  <si>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</si>
  <si>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</si>
  <si>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</si>
  <si>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</si>
  <si>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</si>
  <si>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</si>
  <si>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</si>
  <si>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</si>
  <si>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</si>
  <si>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</si>
  <si>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</si>
  <si>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</si>
  <si>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</si>
  <si>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</si>
  <si>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</si>
  <si>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</si>
  <si>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</si>
  <si>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</si>
  <si>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</si>
  <si>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</si>
  <si>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</si>
  <si>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</si>
  <si>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</si>
  <si>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</si>
  <si>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</si>
  <si>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</si>
  <si>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</si>
  <si>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</si>
  <si>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</si>
  <si>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</si>
  <si>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</si>
  <si>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</si>
  <si>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</si>
  <si>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</si>
  <si>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</si>
  <si>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</si>
  <si>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</si>
  <si>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</si>
  <si>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</si>
  <si>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</si>
  <si>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</si>
  <si>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</si>
  <si>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</si>
  <si>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</si>
  <si>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</si>
  <si>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</si>
  <si>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</si>
  <si>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</si>
  <si>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</si>
  <si>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</si>
  <si>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</si>
  <si>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</si>
  <si>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</si>
  <si>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</si>
  <si>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</si>
  <si>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</si>
  <si>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</si>
  <si>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</si>
  <si>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</si>
  <si>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</si>
  <si>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</si>
  <si>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</si>
  <si>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</si>
  <si>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</si>
  <si>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</si>
  <si>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</si>
  <si>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</si>
  <si>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</si>
  <si>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</si>
  <si>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</si>
  <si>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</si>
  <si>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</si>
  <si>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</si>
  <si>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</si>
  <si>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</si>
  <si>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</si>
  <si>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</si>
  <si>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</si>
  <si>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</si>
  <si>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</si>
  <si>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</si>
  <si>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</si>
  <si>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</si>
  <si>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</si>
  <si>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</si>
  <si>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</si>
  <si>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</si>
  <si>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</si>
  <si>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</si>
  <si>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</si>
  <si>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</si>
  <si>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</si>
  <si>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</si>
  <si>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</si>
  <si>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</si>
  <si>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</si>
  <si>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</si>
  <si>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</si>
  <si>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</si>
  <si>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</si>
  <si>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</si>
  <si>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</si>
  <si>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</si>
  <si>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</si>
  <si>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</si>
  <si>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</si>
  <si>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</si>
  <si>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</si>
  <si>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</si>
  <si>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</si>
  <si>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</si>
  <si>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</si>
  <si>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</si>
  <si>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</si>
  <si>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</si>
  <si>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</si>
  <si>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</si>
  <si>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</si>
  <si>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</si>
  <si>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</si>
  <si>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</si>
  <si>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</si>
  <si>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</si>
  <si>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</si>
  <si>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</si>
  <si>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</si>
  <si>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</si>
  <si>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</si>
  <si>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</si>
  <si>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</si>
  <si>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</si>
  <si>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</si>
  <si>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</si>
  <si>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</si>
  <si>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</si>
  <si>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</si>
  <si>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</si>
  <si>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</si>
  <si>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</si>
  <si>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</si>
  <si>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</si>
  <si>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</si>
  <si>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</si>
  <si>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</si>
  <si>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</si>
  <si>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</si>
  <si>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</si>
  <si>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</si>
  <si>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</si>
  <si>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</si>
  <si>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</si>
  <si>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</si>
  <si>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</si>
  <si>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</si>
  <si>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</si>
  <si>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</si>
  <si>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</si>
  <si>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</si>
  <si>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</si>
  <si>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</si>
  <si>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</si>
  <si>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</si>
  <si>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</si>
  <si>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</si>
  <si>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</si>
  <si>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</si>
  <si>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</si>
  <si>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</si>
  <si>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</si>
  <si>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</si>
  <si>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</si>
  <si>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</si>
  <si>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</si>
  <si>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</si>
  <si>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</si>
  <si>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</si>
  <si>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</si>
  <si>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</si>
  <si>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</si>
  <si>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</si>
  <si>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</si>
  <si>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</si>
  <si>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</si>
  <si>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</si>
  <si>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</si>
  <si>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</si>
  <si>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</si>
  <si>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</si>
  <si>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</si>
  <si>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</si>
  <si>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</si>
  <si>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</si>
  <si>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</si>
  <si>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</si>
  <si>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</si>
  <si>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</si>
  <si>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</si>
  <si>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</si>
  <si>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</si>
  <si>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</si>
  <si>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</si>
  <si>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</si>
  <si>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</si>
  <si>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</si>
  <si>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</si>
  <si>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</si>
  <si>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</si>
  <si>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</si>
  <si>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</si>
  <si>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</si>
  <si>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</si>
  <si>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</si>
  <si>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</si>
  <si>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</si>
  <si>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</si>
  <si>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</si>
  <si>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</si>
  <si>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</si>
  <si>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</si>
  <si>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</si>
  <si>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</si>
  <si>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</si>
  <si>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</si>
  <si>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</si>
  <si>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</si>
  <si>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</si>
  <si>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</si>
  <si>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</si>
  <si>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</si>
  <si>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</si>
  <si>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</si>
  <si>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</si>
  <si>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</si>
  <si>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</si>
  <si>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</si>
  <si>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</si>
  <si>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</si>
  <si>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</si>
  <si>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</si>
  <si>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</si>
  <si>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</si>
  <si>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</si>
  <si>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</si>
  <si>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</si>
  <si>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</si>
  <si>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</si>
  <si>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</si>
  <si>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</si>
  <si>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</si>
  <si>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</si>
  <si>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</si>
  <si>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</si>
  <si>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</si>
  <si>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</si>
  <si>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</si>
  <si>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</si>
  <si>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</si>
  <si>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</si>
  <si>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</si>
  <si>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</si>
  <si>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</si>
  <si>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</si>
  <si>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차량용스프링,기계부속,시트,타이어체인,합성수지제품,철도용스파이크 제조,도매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</si>
  <si>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</si>
  <si>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</si>
  <si>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</si>
  <si>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</si>
  <si>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</si>
  <si>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</si>
  <si>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</si>
  <si>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</si>
  <si>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</si>
  <si>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</si>
  <si>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</si>
  <si>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</si>
  <si>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</si>
  <si>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</si>
  <si>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</si>
  <si>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</si>
  <si>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</si>
  <si>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</si>
  <si>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</si>
  <si>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</si>
  <si>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</si>
  <si>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</si>
  <si>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</si>
  <si>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</si>
  <si>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</si>
  <si>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</si>
  <si>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</si>
  <si>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</si>
  <si>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</si>
  <si>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</si>
  <si>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시스템통합(SI), 네트워크장비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</si>
  <si>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</si>
  <si>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</si>
  <si>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</si>
  <si>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</si>
  <si>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</si>
  <si>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</si>
  <si>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</si>
  <si>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</si>
  <si>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</si>
  <si>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</si>
  <si>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</si>
  <si>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</si>
  <si>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</si>
  <si>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</si>
  <si>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</si>
  <si>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</si>
  <si>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</si>
  <si>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</si>
  <si>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</si>
  <si>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</si>
  <si>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</si>
  <si>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</si>
  <si>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</si>
  <si>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</si>
  <si>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</si>
  <si>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</si>
  <si>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</si>
  <si>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</si>
  <si>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</si>
  <si>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</si>
  <si>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</si>
  <si>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</si>
  <si>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</si>
  <si>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</si>
  <si>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</si>
  <si>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</si>
  <si>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</si>
  <si>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</si>
  <si>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</si>
  <si>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</si>
  <si>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</si>
  <si>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</si>
  <si>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</si>
  <si>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</si>
  <si>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</si>
  <si>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</si>
  <si>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</si>
  <si>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</si>
  <si>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</si>
  <si>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</si>
  <si>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</si>
  <si>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</si>
  <si>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</si>
  <si>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</si>
  <si>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</si>
  <si>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</si>
  <si>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</si>
  <si>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</si>
  <si>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</si>
  <si>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</si>
  <si>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</si>
  <si>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</si>
  <si>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</si>
  <si>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</si>
  <si>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</si>
  <si>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</si>
  <si>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</si>
  <si>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</si>
  <si>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</si>
  <si>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</si>
  <si>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</si>
  <si>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</si>
  <si>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</si>
  <si>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</si>
  <si>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</si>
  <si>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</si>
  <si>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</si>
  <si>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</si>
  <si>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</si>
  <si>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</si>
  <si>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</si>
  <si>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</si>
  <si>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</si>
  <si>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</si>
  <si>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</si>
  <si>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</si>
  <si>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</si>
  <si>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</si>
  <si>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</si>
  <si>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</si>
  <si>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</si>
  <si>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</si>
  <si>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</si>
  <si>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</si>
  <si>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</si>
  <si>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</si>
  <si>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</si>
  <si>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</si>
  <si>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</si>
  <si>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</si>
  <si>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</si>
  <si>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</si>
  <si>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</si>
  <si>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</si>
  <si>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</si>
  <si>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</si>
  <si>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</si>
  <si>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</si>
  <si>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</si>
  <si>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</si>
  <si>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</si>
  <si>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</si>
  <si>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</si>
  <si>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</si>
  <si>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</si>
  <si>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</si>
  <si>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</si>
  <si>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</si>
  <si>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</si>
  <si>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</si>
  <si>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</si>
  <si>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</si>
  <si>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</si>
  <si>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</si>
  <si>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</si>
  <si>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</si>
  <si>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</si>
  <si>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</si>
  <si>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</si>
  <si>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</si>
  <si>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</si>
  <si>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</si>
  <si>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</si>
  <si>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</si>
  <si>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</si>
  <si>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</si>
  <si>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</si>
  <si>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</si>
  <si>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</si>
  <si>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</si>
  <si>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</si>
  <si>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</si>
  <si>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</si>
  <si>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</si>
  <si>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</si>
  <si>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</si>
  <si>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</si>
  <si>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</si>
  <si>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</si>
  <si>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</si>
  <si>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</si>
  <si>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</si>
  <si>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</si>
  <si>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</si>
  <si>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</si>
  <si>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</si>
  <si>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</si>
  <si>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</si>
  <si>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</si>
  <si>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</si>
  <si>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</si>
  <si>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</si>
  <si>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</si>
  <si>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</si>
  <si>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</si>
  <si>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</si>
  <si>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</si>
  <si>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</si>
  <si>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</si>
  <si>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</si>
  <si>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</si>
  <si>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</si>
  <si>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</si>
  <si>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</si>
  <si>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</si>
  <si>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</si>
  <si>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</si>
  <si>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</si>
  <si>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</si>
  <si>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</si>
  <si>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</si>
  <si>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STX Heavy Industries</t>
  </si>
  <si>
    <t>STX중공업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</si>
  <si>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</si>
  <si>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</si>
  <si>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</si>
  <si>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</si>
  <si>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</si>
  <si>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</si>
  <si>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</si>
  <si>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</si>
  <si>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</si>
  <si>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</si>
  <si>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</si>
  <si>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</si>
  <si>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</si>
  <si>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</si>
  <si>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</si>
  <si>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</si>
  <si>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</si>
  <si>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</si>
  <si>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</si>
  <si>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</si>
  <si>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</si>
  <si>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</si>
  <si>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</si>
  <si>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</si>
  <si>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</si>
  <si>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</si>
  <si>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</si>
  <si>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</si>
  <si>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</si>
  <si>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</si>
  <si>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</si>
  <si>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</si>
  <si>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</si>
  <si>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</si>
  <si>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</si>
  <si>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</si>
  <si>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</si>
  <si>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</si>
  <si>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</si>
  <si>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</si>
  <si>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</si>
  <si>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</si>
  <si>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</si>
  <si>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</si>
  <si>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</si>
  <si>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</si>
  <si>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</si>
  <si>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</si>
  <si>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</si>
  <si>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</si>
  <si>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</si>
  <si>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</si>
  <si>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</si>
  <si>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</si>
  <si>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</si>
  <si>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</si>
  <si>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</si>
  <si>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</si>
  <si>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</si>
  <si>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</si>
  <si>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</si>
  <si>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</si>
  <si>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</si>
  <si>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</si>
  <si>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</si>
  <si>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</si>
  <si>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</si>
  <si>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</si>
  <si>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</si>
  <si>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</si>
  <si>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</si>
  <si>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</si>
  <si>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</si>
  <si>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</si>
  <si>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</si>
  <si>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</si>
  <si>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</si>
  <si>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</si>
  <si>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</si>
  <si>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</si>
  <si>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</si>
  <si>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</si>
  <si>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</si>
  <si>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</si>
  <si>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</si>
  <si>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</si>
  <si>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</si>
  <si>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</si>
  <si>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</si>
  <si>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</si>
  <si>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</si>
  <si>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</si>
  <si>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</si>
  <si>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</si>
  <si>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</si>
  <si>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</si>
  <si>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</si>
  <si>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</si>
  <si>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</si>
  <si>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</si>
  <si>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</si>
  <si>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</si>
  <si>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</si>
  <si>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</si>
  <si>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</si>
  <si>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</si>
  <si>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</si>
  <si>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</si>
  <si>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</si>
  <si>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</si>
  <si>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</si>
  <si>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</si>
  <si>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</si>
  <si>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</si>
  <si>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</si>
  <si>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</si>
  <si>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</si>
  <si>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</si>
  <si>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</si>
  <si>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</si>
  <si>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</si>
  <si>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</si>
  <si>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</si>
  <si>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</si>
  <si>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</si>
  <si>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</si>
  <si>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</si>
  <si>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</si>
  <si>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</si>
  <si>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</si>
  <si>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</si>
  <si>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</si>
  <si>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</si>
  <si>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</si>
  <si>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</si>
  <si>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</si>
  <si>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</si>
  <si>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</si>
  <si>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</si>
  <si>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</si>
  <si>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</si>
  <si>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</si>
  <si>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</si>
  <si>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</si>
  <si>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</si>
  <si>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</si>
  <si>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</si>
  <si>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</si>
  <si>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</si>
  <si>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</si>
  <si>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</si>
  <si>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</si>
  <si>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</si>
  <si>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</si>
  <si>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</si>
  <si>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</si>
  <si>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</si>
  <si>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</si>
  <si>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</si>
  <si>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</si>
  <si>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</si>
  <si>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</si>
  <si>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</si>
  <si>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</si>
  <si>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</si>
  <si>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</si>
  <si>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</si>
  <si>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</si>
  <si>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</si>
  <si>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</si>
  <si>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</si>
  <si>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</si>
  <si>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</si>
  <si>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</si>
  <si>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</si>
  <si>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사무·상업용 및 공공기관용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</si>
  <si>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</si>
  <si>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</si>
  <si>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</si>
  <si>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</si>
  <si>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</si>
  <si>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</si>
  <si>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</si>
  <si>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</si>
  <si>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</si>
  <si>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</si>
  <si>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</si>
  <si>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</si>
  <si>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</si>
  <si>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</si>
  <si>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</si>
  <si>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</si>
  <si>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</si>
  <si>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</si>
  <si>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</si>
  <si>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</si>
  <si>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</si>
  <si>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</si>
  <si>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</si>
  <si>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</si>
  <si>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</si>
  <si>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사진기, 영사기 및 관련 장비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</si>
  <si>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</si>
  <si>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</si>
  <si>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</si>
  <si>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</si>
  <si>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</si>
  <si>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</si>
  <si>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</si>
  <si>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</si>
  <si>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</si>
  <si>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</si>
  <si>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</si>
  <si>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</si>
  <si>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</si>
  <si>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</si>
  <si>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</si>
  <si>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</si>
  <si>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</si>
  <si>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</si>
  <si>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</si>
  <si>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</si>
  <si>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</si>
  <si>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</si>
  <si>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</si>
  <si>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</si>
  <si>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</si>
  <si>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</si>
  <si>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</si>
  <si>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</si>
  <si>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</si>
  <si>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</si>
  <si>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</si>
  <si>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</si>
  <si>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</si>
  <si>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</si>
  <si>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</si>
  <si>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</si>
  <si>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</si>
  <si>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</si>
  <si>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</si>
  <si>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</si>
  <si>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</si>
  <si>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</si>
  <si>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</si>
  <si>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</si>
  <si>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</si>
  <si>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</si>
  <si>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</si>
  <si>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</si>
  <si>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</si>
  <si>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</si>
  <si>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</si>
  <si>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</si>
  <si>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</si>
  <si>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</si>
  <si>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</si>
  <si>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</si>
  <si>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</si>
  <si>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</si>
  <si>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</si>
  <si>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</si>
  <si>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</si>
  <si>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</si>
  <si>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</si>
  <si>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</si>
  <si>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</si>
  <si>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</si>
  <si>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</si>
  <si>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</si>
  <si>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</si>
  <si>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</si>
  <si>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</si>
  <si>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</si>
  <si>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</si>
  <si>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</si>
  <si>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</si>
  <si>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</si>
  <si>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</si>
  <si>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</si>
  <si>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</si>
  <si>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</si>
  <si>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</si>
  <si>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</si>
  <si>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</si>
  <si>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</si>
  <si>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</si>
  <si>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</si>
  <si>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</si>
  <si>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</si>
  <si>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</si>
  <si>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</si>
  <si>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</si>
  <si>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</si>
  <si>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</si>
  <si>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</si>
  <si>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</si>
  <si>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</si>
  <si>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</si>
  <si>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</si>
  <si>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</si>
  <si>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</si>
  <si>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</si>
  <si>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</si>
  <si>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</si>
  <si>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</si>
  <si>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</si>
  <si>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</si>
  <si>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</si>
  <si>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</si>
  <si>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</si>
  <si>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</si>
  <si>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</si>
  <si>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</si>
  <si>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</si>
  <si>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</si>
  <si>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</si>
  <si>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</si>
  <si>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</si>
  <si>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</si>
  <si>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</si>
  <si>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</si>
  <si>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</si>
  <si>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</si>
  <si>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</si>
  <si>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</si>
  <si>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</si>
  <si>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</si>
  <si>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</si>
  <si>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</si>
  <si>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</si>
  <si>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</si>
  <si>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</si>
  <si>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</si>
  <si>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</si>
  <si>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</si>
  <si>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</si>
  <si>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</si>
  <si>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</si>
  <si>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</si>
  <si>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</si>
  <si>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</si>
  <si>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</si>
  <si>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</si>
  <si>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</si>
  <si>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</si>
  <si>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</si>
  <si>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</si>
  <si>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</si>
  <si>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</si>
  <si>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</si>
  <si>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</si>
  <si>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</si>
  <si>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</si>
  <si>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</si>
  <si>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</si>
  <si>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</si>
  <si>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</si>
  <si>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</si>
  <si>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</si>
  <si>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</si>
  <si>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</si>
  <si>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</si>
  <si>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</si>
  <si>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</si>
  <si>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</si>
  <si>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</si>
  <si>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</si>
  <si>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</si>
  <si>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</si>
  <si>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</si>
  <si>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</si>
  <si>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</si>
  <si>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</si>
  <si>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</si>
  <si>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</si>
  <si>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</si>
  <si>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</si>
  <si>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</si>
  <si>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</si>
  <si>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</si>
  <si>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</si>
  <si>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</si>
  <si>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</si>
  <si>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</si>
  <si>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</si>
  <si>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</si>
  <si>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</si>
  <si>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</si>
  <si>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</si>
  <si>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</si>
  <si>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</si>
  <si>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</si>
  <si>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</si>
  <si>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</si>
  <si>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</si>
  <si>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</si>
  <si>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</si>
  <si>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</si>
  <si>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</si>
  <si>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</si>
  <si>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</si>
  <si>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</si>
  <si>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</si>
  <si>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</si>
  <si>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</si>
  <si>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</si>
  <si>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</si>
  <si>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</si>
  <si>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</si>
  <si>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</si>
  <si>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</si>
  <si>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</si>
  <si>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</si>
  <si>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</si>
  <si>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</si>
  <si>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</si>
  <si>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</si>
  <si>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</si>
  <si>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</si>
  <si>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</si>
  <si>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</si>
  <si>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</si>
  <si>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</si>
  <si>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</si>
  <si>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</si>
  <si>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</si>
  <si>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</si>
  <si>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</si>
  <si>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</si>
  <si>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</si>
  <si>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BusinessOn Communication Co., Ltd.</t>
  </si>
  <si>
    <t>비즈니스온</t>
  </si>
  <si>
    <t>전자세금계산서 발행서비스(스마트빌)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</si>
  <si>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</si>
  <si>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</si>
  <si>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</si>
  <si>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</si>
  <si>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</si>
  <si>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</si>
  <si>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</si>
  <si>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</si>
  <si>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</si>
  <si>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</si>
  <si>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</si>
  <si>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</si>
  <si>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</si>
  <si>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</si>
  <si>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</si>
  <si>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</si>
  <si>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</si>
  <si>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</si>
  <si>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</si>
  <si>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</si>
  <si>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</si>
  <si>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</si>
  <si>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</si>
  <si>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</si>
  <si>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</si>
  <si>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</si>
  <si>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</si>
  <si>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</si>
  <si>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</si>
  <si>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</si>
  <si>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</si>
  <si>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</si>
  <si>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</si>
  <si>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</si>
  <si>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</si>
  <si>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</si>
  <si>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</si>
  <si>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</si>
  <si>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</si>
  <si>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</si>
  <si>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</si>
  <si>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</si>
  <si>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</si>
  <si>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</si>
  <si>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</si>
  <si>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</si>
  <si>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</si>
  <si>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</si>
  <si>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</si>
  <si>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</si>
  <si>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</si>
  <si>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</si>
  <si>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</si>
  <si>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</si>
  <si>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</si>
  <si>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</si>
  <si>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</si>
  <si>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</si>
  <si>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</si>
  <si>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</si>
  <si>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</si>
  <si>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</si>
  <si>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</si>
  <si>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</si>
  <si>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</si>
  <si>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</si>
  <si>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</si>
  <si>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</si>
  <si>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</si>
  <si>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</si>
  <si>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</si>
  <si>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</si>
  <si>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</si>
  <si>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</si>
  <si>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</si>
  <si>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</si>
  <si>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</si>
  <si>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</si>
  <si>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</si>
  <si>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</si>
  <si>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</si>
  <si>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</si>
  <si>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</si>
  <si>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</si>
  <si>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</si>
  <si>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</si>
  <si>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</si>
  <si>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</si>
  <si>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</si>
  <si>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</si>
  <si>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</si>
  <si>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</si>
  <si>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</si>
  <si>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</si>
  <si>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</si>
  <si>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</si>
  <si>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</si>
  <si>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</si>
  <si>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</si>
  <si>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</si>
  <si>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</si>
  <si>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</si>
  <si>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</si>
  <si>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</si>
  <si>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</si>
  <si>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</si>
  <si>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</si>
  <si>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</si>
  <si>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</si>
  <si>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</si>
  <si>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</si>
  <si>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</si>
  <si>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</si>
  <si>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</si>
  <si>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</si>
  <si>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</si>
  <si>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</si>
  <si>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</si>
  <si>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</si>
  <si>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</si>
  <si>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</si>
  <si>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</si>
  <si>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</si>
  <si>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</si>
  <si>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</si>
  <si>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</si>
  <si>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</si>
  <si>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</si>
  <si>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</si>
  <si>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</si>
  <si>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</si>
  <si>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</si>
  <si>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</si>
  <si>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</si>
  <si>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</si>
  <si>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</si>
  <si>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</si>
  <si>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</si>
  <si>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</si>
  <si>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</si>
  <si>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</si>
  <si>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</si>
  <si>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</si>
  <si>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</si>
  <si>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</si>
  <si>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</si>
  <si>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</si>
  <si>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</si>
  <si>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</si>
  <si>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</si>
  <si>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</si>
  <si>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</si>
  <si>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</si>
  <si>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</si>
  <si>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</si>
  <si>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</si>
  <si>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</si>
  <si>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</si>
  <si>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</si>
  <si>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</si>
  <si>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</si>
  <si>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</si>
  <si>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</si>
  <si>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</si>
  <si>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</si>
  <si>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</si>
  <si>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</si>
  <si>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</si>
  <si>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</si>
  <si>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</si>
  <si>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</si>
  <si>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</si>
  <si>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</si>
  <si>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</si>
  <si>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</si>
  <si>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</si>
  <si>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</si>
  <si>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</si>
  <si>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</si>
  <si>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</si>
  <si>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</si>
  <si>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</si>
  <si>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</si>
  <si>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</si>
  <si>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</si>
  <si>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</si>
  <si>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</si>
  <si>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</si>
  <si>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</si>
  <si>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</si>
  <si>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</si>
  <si>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</si>
  <si>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</si>
  <si>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</si>
  <si>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</si>
  <si>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</si>
  <si>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</si>
  <si>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</si>
  <si>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</si>
  <si>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CANARIABIO Inc.</t>
  </si>
  <si>
    <t>카나리아바이오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</si>
  <si>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</si>
  <si>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</si>
  <si>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</si>
  <si>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</si>
  <si>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</si>
  <si>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</si>
  <si>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</si>
  <si>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</si>
  <si>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</si>
  <si>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</si>
  <si>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</si>
  <si>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</si>
  <si>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</si>
  <si>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</si>
  <si>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</si>
  <si>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</si>
  <si>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</si>
  <si>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</si>
  <si>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</si>
  <si>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</si>
  <si>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</si>
  <si>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</si>
  <si>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</si>
  <si>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</si>
  <si>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</si>
  <si>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</si>
  <si>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</si>
  <si>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</si>
  <si>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</si>
  <si>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</si>
  <si>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</si>
  <si>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</si>
  <si>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</si>
  <si>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</si>
  <si>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</si>
  <si>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</si>
  <si>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</si>
  <si>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</si>
  <si>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</si>
  <si>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</si>
  <si>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</si>
  <si>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</si>
  <si>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</si>
  <si>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</si>
  <si>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</si>
  <si>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</si>
  <si>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</si>
  <si>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</si>
  <si>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</si>
  <si>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</si>
  <si>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</si>
  <si>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</si>
  <si>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</si>
  <si>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</si>
  <si>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</si>
  <si>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</si>
  <si>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</si>
  <si>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</si>
  <si>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</si>
  <si>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</si>
  <si>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</si>
  <si>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종이 및 판지 제조업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</si>
  <si>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</si>
  <si>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</si>
  <si>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</si>
  <si>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</si>
  <si>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</si>
  <si>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</si>
  <si>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</si>
  <si>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</si>
  <si>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</si>
  <si>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</si>
  <si>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</si>
  <si>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</si>
  <si>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</si>
  <si>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</si>
  <si>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</si>
  <si>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</si>
  <si>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</si>
  <si>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</si>
  <si>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</si>
  <si>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</si>
  <si>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</si>
  <si>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</si>
  <si>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</si>
  <si>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</si>
  <si>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</si>
  <si>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</si>
  <si>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</si>
  <si>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</si>
  <si>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</si>
  <si>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</si>
  <si>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</si>
  <si>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</si>
  <si>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</si>
  <si>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</si>
  <si>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</si>
  <si>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</si>
  <si>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</si>
  <si>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</si>
  <si>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</si>
  <si>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</si>
  <si>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</si>
  <si>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</si>
  <si>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</si>
  <si>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</si>
  <si>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</si>
  <si>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</si>
  <si>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</si>
  <si>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</si>
  <si>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</si>
  <si>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</si>
  <si>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</si>
  <si>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</si>
  <si>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</si>
  <si>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</si>
  <si>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</si>
  <si>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</si>
  <si>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</si>
  <si>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</si>
  <si>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</si>
  <si>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</si>
  <si>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</si>
  <si>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</si>
  <si>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</si>
  <si>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</si>
  <si>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</si>
  <si>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</si>
  <si>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</si>
  <si>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</si>
  <si>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</si>
  <si>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</si>
  <si>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</si>
  <si>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</si>
  <si>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</si>
  <si>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</si>
  <si>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</si>
  <si>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</si>
  <si>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</si>
  <si>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</si>
  <si>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</si>
  <si>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</si>
  <si>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</si>
  <si>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</si>
  <si>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</si>
  <si>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</si>
  <si>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</si>
  <si>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</si>
  <si>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</si>
  <si>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</si>
  <si>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</si>
  <si>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</si>
  <si>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</si>
  <si>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</si>
  <si>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기타 비금속광물 광업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</si>
  <si>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</si>
  <si>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</si>
  <si>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</si>
  <si>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</si>
  <si>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</si>
  <si>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</si>
  <si>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</si>
  <si>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</si>
  <si>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</si>
  <si>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</si>
  <si>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</si>
  <si>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</si>
  <si>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</si>
  <si>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</si>
  <si>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</si>
  <si>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</si>
  <si>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</si>
  <si>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</si>
  <si>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</si>
  <si>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</si>
  <si>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</si>
  <si>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</si>
  <si>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</si>
  <si>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</si>
  <si>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</si>
  <si>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</si>
  <si>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</si>
  <si>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</si>
  <si>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</si>
  <si>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</si>
  <si>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</si>
  <si>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</si>
  <si>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</si>
  <si>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</si>
  <si>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</si>
  <si>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</si>
  <si>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</si>
  <si>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</si>
  <si>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</si>
  <si>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</si>
  <si>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</si>
  <si>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</si>
  <si>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</si>
  <si>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</si>
  <si>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</si>
  <si>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</si>
  <si>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</si>
  <si>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</si>
  <si>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이베스트투자증권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</si>
  <si>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</si>
  <si>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</si>
  <si>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</si>
  <si>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</si>
  <si>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</si>
  <si>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</si>
  <si>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</si>
  <si>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</si>
  <si>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</si>
  <si>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</si>
  <si>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</si>
  <si>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</si>
  <si>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</si>
  <si>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</si>
  <si>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</si>
  <si>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</si>
  <si>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</si>
  <si>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</si>
  <si>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</si>
  <si>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</si>
  <si>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</si>
  <si>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</si>
  <si>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</si>
  <si>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</si>
  <si>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</si>
  <si>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</si>
  <si>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</si>
  <si>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</si>
  <si>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</si>
  <si>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</si>
  <si>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</si>
  <si>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</si>
  <si>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</si>
  <si>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</si>
  <si>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</si>
  <si>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</si>
  <si>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</si>
  <si>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</si>
  <si>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</si>
  <si>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</si>
  <si>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</si>
  <si>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</si>
  <si>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</si>
  <si>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</si>
  <si>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</si>
  <si>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</si>
  <si>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</si>
  <si>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</si>
  <si>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</si>
  <si>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</si>
  <si>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</si>
  <si>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</si>
  <si>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</si>
  <si>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</si>
  <si>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</si>
  <si>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</si>
  <si>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</si>
  <si>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</si>
  <si>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</si>
  <si>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</si>
  <si>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</si>
  <si>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</si>
  <si>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</si>
  <si>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</si>
  <si>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</si>
  <si>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</si>
  <si>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</si>
  <si>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</si>
  <si>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</si>
  <si>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</si>
  <si>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</si>
  <si>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</si>
  <si>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</si>
  <si>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</si>
  <si>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</si>
  <si>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</si>
  <si>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</si>
  <si>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</si>
  <si>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</si>
  <si>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</si>
  <si>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</si>
  <si>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</si>
  <si>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</si>
  <si>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</si>
  <si>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</si>
  <si>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</si>
  <si>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</si>
  <si>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</si>
  <si>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</si>
  <si>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</si>
  <si>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</si>
  <si>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</si>
  <si>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</si>
  <si>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</si>
  <si>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</si>
  <si>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</si>
  <si>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</si>
  <si>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</si>
  <si>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</si>
  <si>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</si>
  <si>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</si>
  <si>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</si>
  <si>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</si>
  <si>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</si>
  <si>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</si>
  <si>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</si>
  <si>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</si>
  <si>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</si>
  <si>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</si>
  <si>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</si>
  <si>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</si>
  <si>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</si>
  <si>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</si>
  <si>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</si>
  <si>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</si>
  <si>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</si>
  <si>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</si>
  <si>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</si>
  <si>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</si>
  <si>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</si>
  <si>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</si>
  <si>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</si>
  <si>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</si>
  <si>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</si>
  <si>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</si>
  <si>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</si>
  <si>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</si>
  <si>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</si>
  <si>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</si>
  <si>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</si>
  <si>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</si>
  <si>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</si>
  <si>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</si>
  <si>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</si>
  <si>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</si>
  <si>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</si>
  <si>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</si>
  <si>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</si>
  <si>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</si>
  <si>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</si>
  <si>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</si>
  <si>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</si>
  <si>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</si>
  <si>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</si>
  <si>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</si>
  <si>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</si>
  <si>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</si>
  <si>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</si>
  <si>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</si>
  <si>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</si>
  <si>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</si>
  <si>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</si>
  <si>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</si>
  <si>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</si>
  <si>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</si>
  <si>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</si>
  <si>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</si>
  <si>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</si>
  <si>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</si>
  <si>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</si>
  <si>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</si>
  <si>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</si>
  <si>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</si>
  <si>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</si>
  <si>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</si>
  <si>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</si>
  <si>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</si>
  <si>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</si>
  <si>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</si>
  <si>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</si>
  <si>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</si>
  <si>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</si>
  <si>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</si>
  <si>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</si>
  <si>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</si>
  <si>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</si>
  <si>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</si>
  <si>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</si>
  <si>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</si>
  <si>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</si>
  <si>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</si>
  <si>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</si>
  <si>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</si>
  <si>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</si>
  <si>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</si>
  <si>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</si>
  <si>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</si>
  <si>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</si>
  <si>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</si>
  <si>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</si>
  <si>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</si>
  <si>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</si>
  <si>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</si>
  <si>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</si>
  <si>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</si>
  <si>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</si>
  <si>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</si>
  <si>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</si>
  <si>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</si>
  <si>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</si>
  <si>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</si>
  <si>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</si>
  <si>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</si>
  <si>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</si>
  <si>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</si>
  <si>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</si>
  <si>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</si>
  <si>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</si>
  <si>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</si>
  <si>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</si>
  <si>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</si>
  <si>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</si>
  <si>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</si>
  <si>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</si>
  <si>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</si>
  <si>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</si>
  <si>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</si>
  <si>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</si>
  <si>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</si>
  <si>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</si>
  <si>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</si>
  <si>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</si>
  <si>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</si>
  <si>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</si>
  <si>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</si>
  <si>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</si>
  <si>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</si>
  <si>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</si>
  <si>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</si>
  <si>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</si>
  <si>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</si>
  <si>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</si>
  <si>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</si>
  <si>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</si>
  <si>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</si>
  <si>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</si>
  <si>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</si>
  <si>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</si>
  <si>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</si>
  <si>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</si>
  <si>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</si>
  <si>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</si>
  <si>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</si>
  <si>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</si>
  <si>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</si>
  <si>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</si>
  <si>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</si>
  <si>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</si>
  <si>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</si>
  <si>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</si>
  <si>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</si>
  <si>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</si>
  <si>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</si>
  <si>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</si>
  <si>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</si>
  <si>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</si>
  <si>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</si>
  <si>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</si>
  <si>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</si>
  <si>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</si>
  <si>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</si>
  <si>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</si>
  <si>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</si>
  <si>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</si>
  <si>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</si>
  <si>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</si>
  <si>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</si>
  <si>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</si>
  <si>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</si>
  <si>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</si>
  <si>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</si>
  <si>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</si>
  <si>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</si>
  <si>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</si>
  <si>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</si>
  <si>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</si>
  <si>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</si>
  <si>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</si>
  <si>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</si>
  <si>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</si>
  <si>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</si>
  <si>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</si>
  <si>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</si>
  <si>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</si>
  <si>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</si>
  <si>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</si>
  <si>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</si>
  <si>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</si>
  <si>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</si>
  <si>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</si>
  <si>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</si>
  <si>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</si>
  <si>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</si>
  <si>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</si>
  <si>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</si>
  <si>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</si>
  <si>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</si>
  <si>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</si>
  <si>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</si>
  <si>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</si>
  <si>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</si>
  <si>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</si>
  <si>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</si>
  <si>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</si>
  <si>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</si>
  <si>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</si>
  <si>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</si>
  <si>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</si>
  <si>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</si>
  <si>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</si>
  <si>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</si>
  <si>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</si>
  <si>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</si>
  <si>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</si>
  <si>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</si>
  <si>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</si>
  <si>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</si>
  <si>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</si>
  <si>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</si>
  <si>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</si>
  <si>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</si>
  <si>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</si>
  <si>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</si>
  <si>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</si>
  <si>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</si>
  <si>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</si>
  <si>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</si>
  <si>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</si>
  <si>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</si>
  <si>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</si>
  <si>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</si>
  <si>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</si>
  <si>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</si>
  <si>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</si>
  <si>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</si>
  <si>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</si>
  <si>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</si>
  <si>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</si>
  <si>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</si>
  <si>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</si>
  <si>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</si>
  <si>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</si>
  <si>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</si>
  <si>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</si>
  <si>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</si>
  <si>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</si>
  <si>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</si>
  <si>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</si>
  <si>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</si>
  <si>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</si>
  <si>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</si>
  <si>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</si>
  <si>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</si>
  <si>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</si>
  <si>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</si>
  <si>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</si>
  <si>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</si>
  <si>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</si>
  <si>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</si>
  <si>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</si>
  <si>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</si>
  <si>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</si>
  <si>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</si>
  <si>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</si>
  <si>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</si>
  <si>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</si>
  <si>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</si>
  <si>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</si>
  <si>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</si>
  <si>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</si>
  <si>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</si>
  <si>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</si>
  <si>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</si>
  <si>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</si>
  <si>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</si>
  <si>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</si>
  <si>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</si>
  <si>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</si>
  <si>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</si>
  <si>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</si>
  <si>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</si>
  <si>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</si>
  <si>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</si>
  <si>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</si>
  <si>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</si>
  <si>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</si>
  <si>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</si>
  <si>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</si>
  <si>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</si>
  <si>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</si>
  <si>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</si>
  <si>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</si>
  <si>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</si>
  <si>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</si>
  <si>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</si>
  <si>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</si>
  <si>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</si>
  <si>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</si>
  <si>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</si>
  <si>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</si>
  <si>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</si>
  <si>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</si>
  <si>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</si>
  <si>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</si>
  <si>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</si>
  <si>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</si>
  <si>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</si>
  <si>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</si>
  <si>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</si>
  <si>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</si>
  <si>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</si>
  <si>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</si>
  <si>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</si>
  <si>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</si>
  <si>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</si>
  <si>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</si>
  <si>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</si>
  <si>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</si>
  <si>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</si>
  <si>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</si>
  <si>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</si>
  <si>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</si>
  <si>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</si>
  <si>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</si>
  <si>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</si>
  <si>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</si>
  <si>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</si>
  <si>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</si>
  <si>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</si>
  <si>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</si>
  <si>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</si>
  <si>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</si>
  <si>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</si>
  <si>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</si>
  <si>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</si>
  <si>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</si>
  <si>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</si>
  <si>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</si>
  <si>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</si>
  <si>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</si>
  <si>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</si>
  <si>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</si>
  <si>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</si>
  <si>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</si>
  <si>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</si>
  <si>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</si>
  <si>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</si>
  <si>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</si>
  <si>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</si>
  <si>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</si>
  <si>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</si>
  <si>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</si>
  <si>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</si>
  <si>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</si>
  <si>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</si>
  <si>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</si>
  <si>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</si>
  <si>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</si>
  <si>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</si>
  <si>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</si>
  <si>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</si>
  <si>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</si>
  <si>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</si>
  <si>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</si>
  <si>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</si>
  <si>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</si>
  <si>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</si>
  <si>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</si>
  <si>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</si>
  <si>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</si>
  <si>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</si>
  <si>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</si>
  <si>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</si>
  <si>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</si>
  <si>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</si>
  <si>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CG인바이츠</t>
  </si>
  <si>
    <t>아셀렉스</t>
  </si>
  <si>
    <t>www.crystalgenomics.com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</si>
  <si>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</si>
  <si>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</si>
  <si>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</si>
  <si>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</si>
  <si>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</si>
  <si>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</si>
  <si>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</si>
  <si>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</si>
  <si>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</si>
  <si>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</si>
  <si>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</si>
  <si>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</si>
  <si>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</si>
  <si>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</si>
  <si>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</si>
  <si>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</si>
  <si>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</si>
  <si>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</si>
  <si>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</si>
  <si>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</si>
  <si>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</si>
  <si>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</si>
  <si>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</si>
  <si>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</si>
  <si>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</si>
  <si>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</si>
  <si>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</si>
  <si>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</si>
  <si>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</si>
  <si>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</si>
  <si>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</si>
  <si>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</si>
  <si>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</si>
  <si>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</si>
  <si>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</si>
  <si>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</si>
  <si>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</si>
  <si>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</si>
  <si>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</si>
  <si>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</si>
  <si>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</si>
  <si>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</si>
  <si>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</si>
  <si>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</si>
  <si>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</si>
  <si>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</si>
  <si>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</si>
  <si>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</si>
  <si>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</si>
  <si>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</si>
  <si>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</si>
  <si>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</si>
  <si>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</si>
  <si>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</si>
  <si>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</si>
  <si>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</si>
  <si>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</si>
  <si>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</si>
  <si>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</si>
  <si>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</si>
  <si>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</si>
  <si>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</si>
  <si>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</si>
  <si>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</si>
  <si>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</si>
  <si>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</si>
  <si>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</si>
  <si>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</si>
  <si>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</si>
  <si>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</si>
  <si>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</si>
  <si>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곡물 가공품 제조업</t>
  </si>
  <si>
    <t>곡물 제분업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</si>
  <si>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</si>
  <si>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</si>
  <si>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</si>
  <si>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</si>
  <si>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</si>
  <si>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</si>
  <si>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</si>
  <si>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</si>
  <si>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</si>
  <si>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</si>
  <si>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</si>
  <si>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</si>
  <si>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</si>
  <si>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</si>
  <si>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</si>
  <si>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</si>
  <si>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</si>
  <si>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</si>
  <si>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</si>
  <si>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</si>
  <si>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</si>
  <si>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</si>
  <si>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</si>
  <si>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</si>
  <si>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</si>
  <si>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</si>
  <si>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</si>
  <si>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</si>
  <si>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</si>
  <si>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</si>
  <si>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</si>
  <si>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</si>
  <si>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</si>
  <si>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</si>
  <si>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</si>
  <si>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</si>
  <si>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</si>
  <si>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</si>
  <si>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</si>
  <si>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</si>
  <si>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</si>
  <si>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</si>
  <si>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</si>
  <si>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</si>
  <si>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</si>
  <si>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</si>
  <si>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</si>
  <si>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</si>
  <si>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주성코퍼레이션</t>
  </si>
  <si>
    <t>ICS중계기, 블랙박스</t>
  </si>
  <si>
    <t>www.conbuzz.co.kr</t>
  </si>
  <si>
    <t>418470 KS Equity</t>
  </si>
  <si>
    <t>A418470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</si>
  <si>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</si>
  <si>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</si>
  <si>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</si>
  <si>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</si>
  <si>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</si>
  <si>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</si>
  <si>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</si>
  <si>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</si>
  <si>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</si>
  <si>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</si>
  <si>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</si>
  <si>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</si>
  <si>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</si>
  <si>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</si>
  <si>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</si>
  <si>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</si>
  <si>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</si>
  <si>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</si>
  <si>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</si>
  <si>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</si>
  <si>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</si>
  <si>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</si>
  <si>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</si>
  <si>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</si>
  <si>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</si>
  <si>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</si>
  <si>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</si>
  <si>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</si>
  <si>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</si>
  <si>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</si>
  <si>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</si>
  <si>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</si>
  <si>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</si>
  <si>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</si>
  <si>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</si>
  <si>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</si>
  <si>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</si>
  <si>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</si>
  <si>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</si>
  <si>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</si>
  <si>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</si>
  <si>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</si>
  <si>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</si>
  <si>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</si>
  <si>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</si>
  <si>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</si>
  <si>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</si>
  <si>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</si>
  <si>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</si>
  <si>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</si>
  <si>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</si>
  <si>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</si>
  <si>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</si>
  <si>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</si>
  <si>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</si>
  <si>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</si>
  <si>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</si>
  <si>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</si>
  <si>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</si>
  <si>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</si>
  <si>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</si>
  <si>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</si>
  <si>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</si>
  <si>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</si>
  <si>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</si>
  <si>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</si>
  <si>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</si>
  <si>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</si>
  <si>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</si>
  <si>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</si>
  <si>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</si>
  <si>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</si>
  <si>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</si>
  <si>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</si>
  <si>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</si>
  <si>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</si>
  <si>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</si>
  <si>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</si>
  <si>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</si>
  <si>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</si>
  <si>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</si>
  <si>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</si>
  <si>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</si>
  <si>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</si>
  <si>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</si>
  <si>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</si>
  <si>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</si>
  <si>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</si>
  <si>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</si>
  <si>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</si>
  <si>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</si>
  <si>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</si>
  <si>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</si>
  <si>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</si>
  <si>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</si>
  <si>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</si>
  <si>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</si>
  <si>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</si>
  <si>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</si>
  <si>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</si>
  <si>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</si>
  <si>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</si>
  <si>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</si>
  <si>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</si>
  <si>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</si>
  <si>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</si>
  <si>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</si>
  <si>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</si>
  <si>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</si>
  <si>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</si>
  <si>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</si>
  <si>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</si>
  <si>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</si>
  <si>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</si>
  <si>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</si>
  <si>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</si>
  <si>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</si>
  <si>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</si>
  <si>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</si>
  <si>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</si>
  <si>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</si>
  <si>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</si>
  <si>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</si>
  <si>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</si>
  <si>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</si>
  <si>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</si>
  <si>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</si>
  <si>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</si>
  <si>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</si>
  <si>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</si>
  <si>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</si>
  <si>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</si>
  <si>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</si>
  <si>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</si>
  <si>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</si>
  <si>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</si>
  <si>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</si>
  <si>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</si>
  <si>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</si>
  <si>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</si>
  <si>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</si>
  <si>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</si>
  <si>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</si>
  <si>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</si>
  <si>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</si>
  <si>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</si>
  <si>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</si>
  <si>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</si>
  <si>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</si>
  <si>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</si>
  <si>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</si>
  <si>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</si>
  <si>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</si>
  <si>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</si>
  <si>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</si>
  <si>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</si>
  <si>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</si>
  <si>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</si>
  <si>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</si>
  <si>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</si>
  <si>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</si>
  <si>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</si>
  <si>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</si>
  <si>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</si>
  <si>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</si>
  <si>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</si>
  <si>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</si>
  <si>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</si>
  <si>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</si>
  <si>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</si>
  <si>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</si>
  <si>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</si>
  <si>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</si>
  <si>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</si>
  <si>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</si>
  <si>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</si>
  <si>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</si>
  <si>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</si>
  <si>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</si>
  <si>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</si>
  <si>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</si>
  <si>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</si>
  <si>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</si>
  <si>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</si>
  <si>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</si>
  <si>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</si>
  <si>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</si>
  <si>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</si>
  <si>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</si>
  <si>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</si>
  <si>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</si>
  <si>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</si>
  <si>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</si>
  <si>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</si>
  <si>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</si>
  <si>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</si>
  <si>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</si>
  <si>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</si>
  <si>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PHC Co., Ltd.</t>
  </si>
  <si>
    <t>피에이치씨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</si>
  <si>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</si>
  <si>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</si>
  <si>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</si>
  <si>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</si>
  <si>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</si>
  <si>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</si>
  <si>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</si>
  <si>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</si>
  <si>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</si>
  <si>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</si>
  <si>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</si>
  <si>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</si>
  <si>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</si>
  <si>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</si>
  <si>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</si>
  <si>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</si>
  <si>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</si>
  <si>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</si>
  <si>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</si>
  <si>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</si>
  <si>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</si>
  <si>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</si>
  <si>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</si>
  <si>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</si>
  <si>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</si>
  <si>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</si>
  <si>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</si>
  <si>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</si>
  <si>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</si>
  <si>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</si>
  <si>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</si>
  <si>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</si>
  <si>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</si>
  <si>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</si>
  <si>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</si>
  <si>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</si>
  <si>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</si>
  <si>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</si>
  <si>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</si>
  <si>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</si>
  <si>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</si>
  <si>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</si>
  <si>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</si>
  <si>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</si>
  <si>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</si>
  <si>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제조업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</si>
  <si>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</si>
  <si>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</si>
  <si>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</si>
  <si>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</si>
  <si>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</si>
  <si>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</si>
  <si>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</si>
  <si>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</si>
  <si>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</si>
  <si>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</si>
  <si>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</si>
  <si>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</si>
  <si>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</si>
  <si>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</si>
  <si>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</si>
  <si>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</si>
  <si>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</si>
  <si>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</si>
  <si>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</si>
  <si>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</si>
  <si>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</si>
  <si>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</si>
  <si>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</si>
  <si>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</si>
  <si>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</si>
  <si>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</si>
  <si>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</si>
  <si>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</si>
  <si>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</si>
  <si>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</si>
  <si>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</si>
  <si>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</si>
  <si>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</si>
  <si>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</si>
  <si>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</si>
  <si>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</si>
  <si>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</si>
  <si>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</si>
  <si>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</si>
  <si>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</si>
  <si>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</si>
  <si>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</si>
  <si>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</si>
  <si>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</si>
  <si>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</si>
  <si>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</si>
  <si>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</si>
  <si>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</si>
  <si>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크라프트지 및 상자용 판지 제조업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</si>
  <si>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</si>
  <si>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</si>
  <si>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</si>
  <si>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</si>
  <si>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</si>
  <si>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</si>
  <si>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</si>
  <si>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</si>
  <si>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</si>
  <si>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</si>
  <si>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</si>
  <si>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</si>
  <si>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</si>
  <si>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</si>
  <si>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</si>
  <si>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</si>
  <si>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</si>
  <si>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</si>
  <si>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</si>
  <si>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</si>
  <si>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</si>
  <si>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</si>
  <si>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</si>
  <si>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</si>
  <si>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</si>
  <si>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</si>
  <si>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</si>
  <si>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</si>
  <si>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</si>
  <si>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</si>
  <si>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</si>
  <si>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</si>
  <si>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</si>
  <si>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</si>
  <si>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</si>
  <si>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</si>
  <si>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</si>
  <si>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</si>
  <si>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</si>
  <si>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</si>
  <si>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</si>
  <si>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</si>
  <si>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</si>
  <si>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</si>
  <si>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</si>
  <si>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</si>
  <si>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</si>
  <si>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</si>
  <si>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</si>
  <si>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</si>
  <si>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</si>
  <si>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</si>
  <si>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</si>
  <si>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</si>
  <si>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</si>
  <si>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</si>
  <si>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</si>
  <si>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</si>
  <si>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</si>
  <si>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</si>
  <si>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</si>
  <si>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</si>
  <si>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</si>
  <si>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</si>
  <si>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</si>
  <si>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</si>
  <si>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</si>
  <si>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</si>
  <si>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</si>
  <si>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</si>
  <si>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</si>
  <si>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</si>
  <si>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</si>
  <si>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</si>
  <si>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</si>
  <si>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</si>
  <si>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</si>
  <si>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</si>
  <si>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</si>
  <si>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</si>
  <si>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</si>
  <si>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</si>
  <si>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</si>
  <si>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</si>
  <si>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</si>
  <si>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</si>
  <si>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</si>
  <si>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</si>
  <si>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</si>
  <si>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</si>
  <si>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</si>
  <si>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</si>
  <si>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</si>
  <si>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</si>
  <si>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</si>
  <si>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</si>
  <si>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</si>
  <si>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</si>
  <si>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</si>
  <si>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</si>
  <si>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</si>
  <si>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</si>
  <si>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</si>
  <si>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</si>
  <si>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</si>
  <si>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</si>
  <si>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</si>
  <si>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</si>
  <si>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</si>
  <si>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</si>
  <si>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</si>
  <si>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</si>
  <si>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</si>
  <si>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</si>
  <si>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</si>
  <si>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</si>
  <si>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</si>
  <si>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</si>
  <si>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</si>
  <si>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</si>
  <si>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</si>
  <si>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</si>
  <si>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</si>
  <si>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</si>
  <si>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</si>
  <si>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</si>
  <si>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</si>
  <si>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</si>
  <si>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</si>
  <si>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</si>
  <si>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</si>
  <si>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</si>
  <si>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</si>
  <si>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</si>
  <si>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</si>
  <si>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</si>
  <si>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</si>
  <si>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</si>
  <si>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</si>
  <si>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</si>
  <si>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</si>
  <si>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</si>
  <si>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</si>
  <si>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</si>
  <si>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</si>
  <si>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</si>
  <si>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</si>
  <si>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</si>
  <si>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살균·살충제 및 농약 제조업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</si>
  <si>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</si>
  <si>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</si>
  <si>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</si>
  <si>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</si>
  <si>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</si>
  <si>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</si>
  <si>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</si>
  <si>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</si>
  <si>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</si>
  <si>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</si>
  <si>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</si>
  <si>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</si>
  <si>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</si>
  <si>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</si>
  <si>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</si>
  <si>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</si>
  <si>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</si>
  <si>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</si>
  <si>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</si>
  <si>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</si>
  <si>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</si>
  <si>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</si>
  <si>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</si>
  <si>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</si>
  <si>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</si>
  <si>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</si>
  <si>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</si>
  <si>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</si>
  <si>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</si>
  <si>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</si>
  <si>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</si>
  <si>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</si>
  <si>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</si>
  <si>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</si>
  <si>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</si>
  <si>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</si>
  <si>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</si>
  <si>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</si>
  <si>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</si>
  <si>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</si>
  <si>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</si>
  <si>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</si>
  <si>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</si>
  <si>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</si>
  <si>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</si>
  <si>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</si>
  <si>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</si>
  <si>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</si>
  <si>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</si>
  <si>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</si>
  <si>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</si>
  <si>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</si>
  <si>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</si>
  <si>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</si>
  <si>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</si>
  <si>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</si>
  <si>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</si>
  <si>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</si>
  <si>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</si>
  <si>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</si>
  <si>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</si>
  <si>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</si>
  <si>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</si>
  <si>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</si>
  <si>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</si>
  <si>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</si>
  <si>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</si>
  <si>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</si>
  <si>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</si>
  <si>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</si>
  <si>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</si>
  <si>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</si>
  <si>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</si>
  <si>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</si>
  <si>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</si>
  <si>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</si>
  <si>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</si>
  <si>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</si>
  <si>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</si>
  <si>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</si>
  <si>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</si>
  <si>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</si>
  <si>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</si>
  <si>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</si>
  <si>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</si>
  <si>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</si>
  <si>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</si>
  <si>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</si>
  <si>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</si>
  <si>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</si>
  <si>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</si>
  <si>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</si>
  <si>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</si>
  <si>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</si>
  <si>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</si>
  <si>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</si>
  <si>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</si>
  <si>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전자제품인쇄용 잉크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</si>
  <si>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</si>
  <si>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</si>
  <si>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</si>
  <si>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</si>
  <si>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</si>
  <si>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</si>
  <si>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</si>
  <si>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</si>
  <si>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</si>
  <si>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</si>
  <si>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</si>
  <si>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</si>
  <si>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</si>
  <si>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</si>
  <si>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</si>
  <si>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</si>
  <si>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</si>
  <si>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</si>
  <si>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</si>
  <si>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</si>
  <si>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</si>
  <si>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</si>
  <si>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</si>
  <si>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</si>
  <si>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</si>
  <si>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</si>
  <si>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</si>
  <si>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</si>
  <si>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</si>
  <si>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</si>
  <si>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</si>
  <si>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</si>
  <si>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</si>
  <si>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</si>
  <si>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</si>
  <si>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</si>
  <si>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</si>
  <si>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</si>
  <si>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</si>
  <si>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</si>
  <si>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</si>
  <si>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</si>
  <si>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</si>
  <si>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</si>
  <si>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</si>
  <si>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</si>
  <si>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</si>
  <si>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</si>
  <si>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</si>
  <si>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</si>
  <si>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</si>
  <si>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</si>
  <si>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</si>
  <si>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</si>
  <si>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</si>
  <si>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</si>
  <si>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</si>
  <si>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</si>
  <si>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</si>
  <si>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</si>
  <si>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</si>
  <si>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</si>
  <si>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</si>
  <si>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</si>
  <si>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</si>
  <si>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</si>
  <si>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</si>
  <si>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</si>
  <si>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</si>
  <si>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</si>
  <si>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</si>
  <si>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</si>
  <si>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</si>
  <si>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</si>
  <si>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</si>
  <si>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</si>
  <si>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</si>
  <si>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</si>
  <si>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</si>
  <si>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</si>
  <si>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</si>
  <si>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</si>
  <si>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</si>
  <si>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</si>
  <si>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</si>
  <si>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</si>
  <si>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</si>
  <si>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</si>
  <si>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</si>
  <si>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</si>
  <si>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</si>
  <si>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</si>
  <si>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</si>
  <si>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</si>
  <si>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</si>
  <si>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</si>
  <si>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</si>
  <si>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</si>
  <si>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</si>
  <si>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</si>
  <si>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</si>
  <si>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</si>
  <si>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</si>
  <si>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</si>
  <si>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</si>
  <si>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</si>
  <si>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</si>
  <si>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</si>
  <si>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</si>
  <si>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</si>
  <si>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</si>
  <si>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</si>
  <si>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</si>
  <si>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</si>
  <si>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</si>
  <si>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</si>
  <si>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</si>
  <si>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</si>
  <si>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</si>
  <si>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</si>
  <si>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</si>
  <si>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</si>
  <si>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</si>
  <si>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</si>
  <si>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</si>
  <si>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</si>
  <si>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</si>
  <si>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</si>
  <si>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</si>
  <si>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</si>
  <si>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</si>
  <si>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</si>
  <si>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</si>
  <si>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</si>
  <si>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</si>
  <si>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</si>
  <si>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</si>
  <si>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</si>
  <si>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</si>
  <si>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</si>
  <si>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</si>
  <si>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</si>
  <si>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</si>
  <si>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</si>
  <si>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</si>
  <si>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</si>
  <si>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</si>
  <si>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</si>
  <si>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</si>
  <si>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</si>
  <si>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</si>
  <si>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</si>
  <si>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</si>
  <si>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</si>
  <si>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</si>
  <si>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</si>
  <si>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</si>
  <si>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</si>
  <si>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</si>
  <si>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</si>
  <si>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</si>
  <si>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</si>
  <si>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</si>
  <si>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</si>
  <si>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</si>
  <si>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</si>
  <si>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</si>
  <si>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</si>
  <si>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</si>
  <si>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</si>
  <si>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</si>
  <si>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</si>
  <si>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</si>
  <si>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</si>
  <si>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</si>
  <si>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</si>
  <si>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</si>
  <si>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</si>
  <si>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</si>
  <si>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</si>
  <si>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</si>
  <si>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</si>
  <si>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</si>
  <si>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</si>
  <si>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</si>
  <si>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</si>
  <si>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</si>
  <si>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</si>
  <si>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</si>
  <si>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</si>
  <si>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</si>
  <si>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</si>
  <si>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</si>
  <si>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</si>
  <si>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</si>
  <si>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</si>
  <si>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</si>
  <si>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</si>
  <si>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</si>
  <si>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</si>
  <si>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</si>
  <si>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</si>
  <si>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</si>
  <si>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</si>
  <si>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</si>
  <si>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</si>
  <si>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</si>
  <si>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</si>
  <si>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</si>
  <si>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</si>
  <si>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</si>
  <si>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</si>
  <si>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</si>
  <si>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</si>
  <si>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</si>
  <si>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</si>
  <si>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</si>
  <si>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</si>
  <si>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</si>
  <si>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</si>
  <si>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</si>
  <si>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</si>
  <si>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</si>
  <si>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</si>
  <si>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</si>
  <si>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</si>
  <si>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</si>
  <si>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</si>
  <si>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</si>
  <si>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</si>
  <si>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</si>
  <si>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</si>
  <si>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</si>
  <si>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</si>
  <si>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</si>
  <si>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</si>
  <si>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</si>
  <si>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</si>
  <si>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</si>
  <si>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</si>
  <si>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</si>
  <si>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</si>
  <si>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</si>
  <si>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</si>
  <si>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</si>
  <si>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</si>
  <si>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</si>
  <si>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</si>
  <si>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</si>
  <si>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</si>
  <si>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</si>
  <si>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</si>
  <si>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</si>
  <si>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</si>
  <si>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</si>
  <si>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</si>
  <si>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</si>
  <si>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</si>
  <si>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</si>
  <si>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</si>
  <si>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</si>
  <si>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</si>
  <si>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</si>
  <si>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</si>
  <si>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</si>
  <si>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</si>
  <si>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</si>
  <si>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</si>
  <si>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</si>
  <si>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</si>
  <si>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</si>
  <si>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</si>
  <si>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</si>
  <si>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</si>
  <si>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</si>
  <si>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</si>
  <si>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</si>
  <si>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</si>
  <si>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</si>
  <si>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</si>
  <si>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</si>
  <si>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</si>
  <si>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</si>
  <si>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</si>
  <si>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</si>
  <si>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</si>
  <si>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</si>
  <si>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</si>
  <si>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</si>
  <si>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</si>
  <si>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</si>
  <si>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</si>
  <si>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</si>
  <si>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</si>
  <si>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</si>
  <si>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</si>
  <si>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</si>
  <si>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</si>
  <si>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</si>
  <si>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</si>
  <si>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</si>
  <si>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</si>
  <si>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</si>
  <si>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</si>
  <si>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</si>
  <si>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</si>
  <si>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</si>
  <si>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</si>
  <si>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</si>
  <si>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</si>
  <si>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</si>
  <si>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</si>
  <si>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</si>
  <si>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</si>
  <si>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</si>
  <si>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</si>
  <si>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</si>
  <si>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</si>
  <si>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</si>
  <si>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</si>
  <si>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</si>
  <si>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</si>
  <si>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</si>
  <si>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</si>
  <si>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</si>
  <si>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</si>
  <si>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</si>
  <si>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</si>
  <si>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</si>
  <si>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</si>
  <si>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</si>
  <si>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</si>
  <si>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</si>
  <si>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</si>
  <si>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</si>
  <si>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</si>
  <si>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</si>
  <si>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</si>
  <si>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</si>
  <si>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</si>
  <si>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</si>
  <si>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</si>
  <si>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</si>
  <si>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</si>
  <si>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</si>
  <si>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</si>
  <si>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</si>
  <si>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</si>
  <si>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</si>
  <si>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</si>
  <si>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</si>
  <si>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</si>
  <si>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</si>
  <si>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</si>
  <si>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</si>
  <si>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</si>
  <si>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</si>
  <si>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</si>
  <si>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</si>
  <si>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</si>
  <si>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</si>
  <si>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</si>
  <si>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</si>
  <si>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</si>
  <si>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</si>
  <si>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</si>
  <si>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</si>
  <si>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</si>
  <si>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</si>
  <si>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</si>
  <si>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</si>
  <si>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</si>
  <si>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</si>
  <si>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</si>
  <si>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</si>
  <si>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</si>
  <si>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</si>
  <si>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</si>
  <si>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</si>
  <si>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</si>
  <si>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</si>
  <si>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</si>
  <si>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</si>
  <si>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</si>
  <si>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</si>
  <si>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</si>
  <si>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</si>
  <si>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</si>
  <si>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</si>
  <si>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</si>
  <si>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</si>
  <si>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</si>
  <si>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</si>
  <si>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</si>
  <si>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</si>
  <si>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</si>
  <si>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</si>
  <si>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</si>
  <si>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</si>
  <si>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</si>
  <si>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</si>
  <si>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</si>
  <si>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</si>
  <si>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</si>
  <si>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</si>
  <si>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</si>
  <si>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</si>
  <si>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</si>
  <si>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</si>
  <si>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</si>
  <si>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</si>
  <si>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</si>
  <si>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</si>
  <si>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</si>
  <si>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</si>
  <si>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</si>
  <si>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</si>
  <si>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</si>
  <si>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</si>
  <si>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</si>
  <si>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</si>
  <si>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</si>
  <si>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</si>
  <si>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</si>
  <si>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</si>
  <si>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</si>
  <si>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</si>
  <si>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</si>
  <si>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</si>
  <si>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</si>
  <si>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</si>
  <si>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</si>
  <si>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</si>
  <si>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</si>
  <si>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</si>
  <si>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</si>
  <si>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</si>
  <si>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</si>
  <si>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</si>
  <si>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</si>
  <si>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</si>
  <si>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</si>
  <si>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</si>
  <si>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</si>
  <si>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</si>
  <si>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</si>
  <si>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</si>
  <si>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</si>
  <si>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</si>
  <si>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</si>
  <si>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</si>
  <si>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</si>
  <si>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</si>
  <si>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</si>
  <si>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</si>
  <si>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</si>
  <si>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</si>
  <si>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</si>
  <si>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</si>
  <si>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</si>
  <si>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</si>
  <si>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</si>
  <si>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</si>
  <si>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</si>
  <si>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</si>
  <si>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</si>
  <si>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</si>
  <si>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</si>
  <si>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</si>
  <si>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</si>
  <si>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</si>
  <si>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</si>
  <si>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</si>
  <si>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</si>
  <si>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</si>
  <si>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</si>
  <si>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</si>
  <si>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</si>
  <si>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</si>
  <si>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</si>
  <si>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</si>
  <si>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</si>
  <si>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</si>
  <si>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</si>
  <si>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</si>
  <si>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</si>
  <si>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</si>
  <si>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</si>
  <si>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</si>
  <si>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</si>
  <si>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</si>
  <si>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</si>
  <si>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</si>
  <si>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</si>
  <si>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</si>
  <si>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</si>
  <si>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</si>
  <si>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</si>
  <si>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</si>
  <si>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</si>
  <si>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</si>
  <si>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</si>
  <si>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</si>
  <si>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</si>
  <si>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</si>
  <si>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</si>
  <si>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</si>
  <si>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</si>
  <si>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</si>
  <si>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</si>
  <si>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</si>
  <si>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</si>
  <si>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</si>
  <si>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</si>
  <si>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</si>
  <si>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</si>
  <si>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</si>
  <si>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</si>
  <si>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</si>
  <si>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</si>
  <si>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</si>
  <si>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</si>
  <si>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</si>
  <si>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</si>
  <si>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</si>
  <si>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</si>
  <si>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</si>
  <si>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</si>
  <si>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</si>
  <si>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</si>
  <si>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</si>
  <si>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</si>
  <si>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</si>
  <si>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</si>
  <si>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</si>
  <si>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</si>
  <si>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</si>
  <si>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</si>
  <si>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</si>
  <si>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</si>
  <si>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</si>
  <si>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</si>
  <si>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</si>
  <si>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</si>
  <si>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</si>
  <si>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</si>
  <si>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</si>
  <si>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</si>
  <si>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</si>
  <si>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</si>
  <si>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</si>
  <si>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</si>
  <si>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</si>
  <si>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</si>
  <si>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</si>
  <si>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</si>
  <si>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</si>
  <si>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</si>
  <si>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</si>
  <si>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</si>
  <si>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</si>
  <si>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</si>
  <si>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</si>
  <si>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</si>
  <si>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</si>
  <si>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</si>
  <si>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</si>
  <si>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</si>
  <si>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</si>
  <si>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</si>
  <si>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</si>
  <si>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</si>
  <si>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</si>
  <si>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</si>
  <si>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</si>
  <si>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</si>
  <si>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</si>
  <si>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</si>
  <si>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</si>
  <si>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</si>
  <si>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</si>
  <si>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</si>
  <si>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</si>
  <si>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</si>
  <si>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</si>
  <si>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</si>
  <si>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</si>
  <si>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</si>
  <si>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</si>
  <si>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</si>
  <si>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</si>
  <si>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</si>
  <si>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</si>
  <si>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</si>
  <si>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</si>
  <si>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</si>
  <si>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</si>
  <si>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</si>
  <si>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</si>
  <si>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</si>
  <si>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</si>
  <si>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</si>
  <si>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</si>
  <si>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</si>
  <si>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</si>
  <si>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</si>
  <si>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</si>
  <si>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</si>
  <si>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</si>
  <si>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</si>
  <si>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</si>
  <si>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</si>
  <si>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</si>
  <si>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</si>
  <si>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</si>
  <si>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</si>
  <si>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</si>
  <si>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</si>
  <si>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</si>
  <si>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</si>
  <si>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</si>
  <si>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</si>
  <si>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</si>
  <si>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</si>
  <si>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</si>
  <si>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</si>
  <si>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</si>
  <si>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</si>
  <si>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</si>
  <si>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</si>
  <si>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</si>
  <si>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</si>
  <si>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</si>
  <si>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</si>
  <si>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타이어 및 튜브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</si>
  <si>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</si>
  <si>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</si>
  <si>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</si>
  <si>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</si>
  <si>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</si>
  <si>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</si>
  <si>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</si>
  <si>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</si>
  <si>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</si>
  <si>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</si>
  <si>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</si>
  <si>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</si>
  <si>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</si>
  <si>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</si>
  <si>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</si>
  <si>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</si>
  <si>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</si>
  <si>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</si>
  <si>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</si>
  <si>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</si>
  <si>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</si>
  <si>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</si>
  <si>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</si>
  <si>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</si>
  <si>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</si>
  <si>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</si>
  <si>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</si>
  <si>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</si>
  <si>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</si>
  <si>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</si>
  <si>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</si>
  <si>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</si>
  <si>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</si>
  <si>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</si>
  <si>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</si>
  <si>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</si>
  <si>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</si>
  <si>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</si>
  <si>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</si>
  <si>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</si>
  <si>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</si>
  <si>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</si>
  <si>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</si>
  <si>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</si>
  <si>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</si>
  <si>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</si>
  <si>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</si>
  <si>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</si>
  <si>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</si>
  <si>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</si>
  <si>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</si>
  <si>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</si>
  <si>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</si>
  <si>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</si>
  <si>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</si>
  <si>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</si>
  <si>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</si>
  <si>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</si>
  <si>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</si>
  <si>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</si>
  <si>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</si>
  <si>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</si>
  <si>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</si>
  <si>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</si>
  <si>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</si>
  <si>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</si>
  <si>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</si>
  <si>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</si>
  <si>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</si>
  <si>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</si>
  <si>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</si>
  <si>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</si>
  <si>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</si>
  <si>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</si>
  <si>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</si>
  <si>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</si>
  <si>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</si>
  <si>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</si>
  <si>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</si>
  <si>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</si>
  <si>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</si>
  <si>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</si>
  <si>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</si>
  <si>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</si>
  <si>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</si>
  <si>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</si>
  <si>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</si>
  <si>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</si>
  <si>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</si>
  <si>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</si>
  <si>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</si>
  <si>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</si>
  <si>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</si>
  <si>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</si>
  <si>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</si>
  <si>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</si>
  <si>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</si>
  <si>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</si>
  <si>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</si>
  <si>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</si>
  <si>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</si>
  <si>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</si>
  <si>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</si>
  <si>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</si>
  <si>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</si>
  <si>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</si>
  <si>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</si>
  <si>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</si>
  <si>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</si>
  <si>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</si>
  <si>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</si>
  <si>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</si>
  <si>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</si>
  <si>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</si>
  <si>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</si>
  <si>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</si>
  <si>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</si>
  <si>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</si>
  <si>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</si>
  <si>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</si>
  <si>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</si>
  <si>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</si>
  <si>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</si>
  <si>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</si>
  <si>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</si>
  <si>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</si>
  <si>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</si>
  <si>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</si>
  <si>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</si>
  <si>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</si>
  <si>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</si>
  <si>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</si>
  <si>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</si>
  <si>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</si>
  <si>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</si>
  <si>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</si>
  <si>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</si>
  <si>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</si>
  <si>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</si>
  <si>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</si>
  <si>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</si>
  <si>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</si>
  <si>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</si>
  <si>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</si>
  <si>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</si>
  <si>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</si>
  <si>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</si>
  <si>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</si>
  <si>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</si>
  <si>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</si>
  <si>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</si>
  <si>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</si>
  <si>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</si>
  <si>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</si>
  <si>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</si>
  <si>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</si>
  <si>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</si>
  <si>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</si>
  <si>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</si>
  <si>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</si>
  <si>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</si>
  <si>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</si>
  <si>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</si>
  <si>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</si>
  <si>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</si>
  <si>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</si>
  <si>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</si>
  <si>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</si>
  <si>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</si>
  <si>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</si>
  <si>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</si>
  <si>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</si>
  <si>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</si>
  <si>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</si>
  <si>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</si>
  <si>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</si>
  <si>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</si>
  <si>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</si>
  <si>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</si>
  <si>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</si>
  <si>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</si>
  <si>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</si>
  <si>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</si>
  <si>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</si>
  <si>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</si>
  <si>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</si>
  <si>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</si>
  <si>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</si>
  <si>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</si>
  <si>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</si>
  <si>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</si>
  <si>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</si>
  <si>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</si>
  <si>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</si>
  <si>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</si>
  <si>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</si>
  <si>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</si>
  <si>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</si>
  <si>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</si>
  <si>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</si>
  <si>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</si>
  <si>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</si>
  <si>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</si>
  <si>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</si>
  <si>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</si>
  <si>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</si>
  <si>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</si>
  <si>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</si>
  <si>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</si>
  <si>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</si>
  <si>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</si>
  <si>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</si>
  <si>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</si>
  <si>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</si>
  <si>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</si>
  <si>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</si>
  <si>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</si>
  <si>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</si>
  <si>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</si>
  <si>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</si>
  <si>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</si>
  <si>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</si>
  <si>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</si>
  <si>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</si>
  <si>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</si>
  <si>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</si>
  <si>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</si>
  <si>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</si>
  <si>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</si>
  <si>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</si>
  <si>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</si>
  <si>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</si>
  <si>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</si>
  <si>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</si>
  <si>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</si>
  <si>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</si>
  <si>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자동차부품,자동차소음기(머플러),배기가스정화기,배기계통부품 제조</t>
  </si>
  <si>
    <t>www.sjku.co.kr</t>
  </si>
  <si>
    <t>355390 KS Equity</t>
  </si>
  <si>
    <t>A355390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</si>
  <si>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</si>
  <si>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</si>
  <si>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</si>
  <si>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</si>
  <si>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</si>
  <si>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</si>
  <si>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</si>
  <si>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</si>
  <si>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</si>
  <si>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</si>
  <si>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</si>
  <si>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</si>
  <si>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</si>
  <si>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</si>
  <si>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</si>
  <si>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</si>
  <si>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</si>
  <si>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</si>
  <si>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</si>
  <si>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</si>
  <si>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</si>
  <si>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</si>
  <si>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</si>
  <si>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</si>
  <si>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</si>
  <si>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</si>
  <si>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</si>
  <si>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</si>
  <si>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</si>
  <si>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</si>
  <si>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</si>
  <si>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</si>
  <si>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</si>
  <si>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</si>
  <si>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</si>
  <si>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</si>
  <si>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</si>
  <si>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</si>
  <si>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</si>
  <si>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</si>
  <si>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</si>
  <si>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</si>
  <si>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</si>
  <si>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</si>
  <si>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</si>
  <si>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</si>
  <si>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</si>
  <si>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</si>
  <si>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</si>
  <si>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</si>
  <si>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</si>
  <si>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</si>
  <si>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</si>
  <si>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</si>
  <si>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</si>
  <si>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</si>
  <si>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</si>
  <si>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</si>
  <si>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</si>
  <si>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</si>
  <si>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</si>
  <si>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</si>
  <si>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</si>
  <si>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</si>
  <si>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</si>
  <si>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</si>
  <si>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</si>
  <si>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</si>
  <si>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</si>
  <si>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</si>
  <si>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</si>
  <si>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</si>
  <si>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</si>
  <si>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</si>
  <si>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</si>
  <si>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</si>
  <si>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</si>
  <si>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</si>
  <si>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</si>
  <si>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</si>
  <si>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</si>
  <si>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</si>
  <si>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</si>
  <si>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</si>
  <si>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</si>
  <si>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</si>
  <si>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</si>
  <si>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</si>
  <si>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</si>
  <si>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</si>
  <si>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</si>
  <si>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</si>
  <si>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</si>
  <si>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</si>
  <si>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</si>
  <si>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</si>
  <si>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</si>
  <si>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</si>
  <si>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</si>
  <si>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</si>
  <si>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</si>
  <si>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</si>
  <si>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</si>
  <si>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</si>
  <si>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</si>
  <si>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</si>
  <si>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</si>
  <si>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</si>
  <si>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</si>
  <si>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</si>
  <si>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</si>
  <si>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</si>
  <si>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</si>
  <si>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</si>
  <si>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</si>
  <si>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</si>
  <si>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</si>
  <si>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</si>
  <si>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</si>
  <si>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</si>
  <si>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</si>
  <si>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</si>
  <si>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</si>
  <si>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</si>
  <si>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</si>
  <si>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</si>
  <si>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</si>
  <si>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</si>
  <si>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</si>
  <si>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</si>
  <si>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</si>
  <si>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</si>
  <si>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</si>
  <si>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</si>
  <si>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</si>
  <si>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</si>
  <si>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</si>
  <si>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</si>
  <si>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</si>
  <si>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</si>
  <si>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</si>
  <si>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</si>
  <si>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</si>
  <si>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</si>
  <si>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</si>
  <si>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</si>
  <si>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</si>
  <si>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</si>
  <si>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</si>
  <si>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</si>
  <si>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</si>
  <si>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</si>
  <si>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</si>
  <si>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</si>
  <si>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</si>
  <si>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</si>
  <si>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</si>
  <si>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</si>
  <si>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</si>
  <si>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</si>
  <si>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</si>
  <si>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</si>
  <si>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</si>
  <si>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</si>
  <si>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</si>
  <si>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</si>
  <si>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</si>
  <si>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</si>
  <si>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</si>
  <si>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</si>
  <si>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</si>
  <si>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</si>
  <si>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</si>
  <si>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</si>
  <si>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</si>
  <si>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</si>
  <si>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</si>
  <si>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</si>
  <si>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</si>
  <si>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</si>
  <si>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</si>
  <si>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</si>
  <si>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</si>
  <si>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</si>
  <si>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</si>
  <si>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</si>
  <si>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</si>
  <si>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</si>
  <si>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</si>
  <si>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</si>
  <si>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</si>
  <si>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</si>
  <si>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</si>
  <si>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</si>
  <si>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</si>
  <si>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</si>
  <si>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</si>
  <si>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</si>
  <si>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</si>
  <si>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</si>
  <si>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</si>
  <si>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</si>
  <si>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</si>
  <si>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</si>
  <si>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</si>
  <si>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</si>
  <si>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</si>
  <si>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</si>
  <si>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</si>
  <si>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</si>
  <si>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</si>
  <si>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</si>
  <si>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</si>
  <si>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</si>
  <si>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</si>
  <si>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</si>
  <si>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</si>
  <si>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</si>
  <si>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</si>
  <si>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</si>
  <si>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</si>
  <si>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</si>
  <si>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</si>
  <si>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</si>
  <si>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</si>
  <si>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</si>
  <si>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</si>
  <si>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</si>
  <si>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</si>
  <si>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</si>
  <si>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</si>
  <si>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</si>
  <si>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</si>
  <si>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</si>
  <si>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</si>
  <si>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</si>
  <si>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</si>
  <si>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</si>
  <si>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</si>
  <si>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</si>
  <si>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</si>
  <si>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</si>
  <si>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</si>
  <si>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</si>
  <si>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</si>
  <si>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</si>
  <si>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</si>
  <si>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</si>
  <si>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</si>
  <si>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</si>
  <si>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</si>
  <si>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</si>
  <si>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</si>
  <si>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</si>
  <si>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</si>
  <si>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</si>
  <si>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</si>
  <si>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</si>
  <si>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</si>
  <si>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</si>
  <si>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</si>
  <si>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</si>
  <si>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</si>
  <si>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</si>
  <si>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</si>
  <si>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</si>
  <si>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</si>
  <si>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</si>
  <si>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</si>
  <si>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</si>
  <si>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</si>
  <si>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</si>
  <si>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</si>
  <si>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</si>
  <si>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</si>
  <si>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</si>
  <si>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</si>
  <si>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</si>
  <si>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</si>
  <si>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</si>
  <si>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</si>
  <si>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</si>
  <si>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</si>
  <si>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</si>
  <si>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</si>
  <si>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</si>
  <si>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</si>
  <si>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</si>
  <si>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</si>
  <si>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</si>
  <si>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</si>
  <si>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</si>
  <si>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</si>
  <si>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</si>
  <si>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</si>
  <si>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통신·방송장비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</si>
  <si>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</si>
  <si>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</si>
  <si>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</si>
  <si>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</si>
  <si>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</si>
  <si>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</si>
  <si>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</si>
  <si>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</si>
  <si>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</si>
  <si>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</si>
  <si>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</si>
  <si>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</si>
  <si>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</si>
  <si>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</si>
  <si>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</si>
  <si>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</si>
  <si>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</si>
  <si>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</si>
  <si>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</si>
  <si>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</si>
  <si>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</si>
  <si>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</si>
  <si>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</si>
  <si>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</si>
  <si>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</si>
  <si>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</si>
  <si>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</si>
  <si>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</si>
  <si>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</si>
  <si>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</si>
  <si>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</si>
  <si>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</si>
  <si>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</si>
  <si>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</si>
  <si>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</si>
  <si>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</si>
  <si>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</si>
  <si>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</si>
  <si>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</si>
  <si>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</si>
  <si>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</si>
  <si>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</si>
  <si>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</si>
  <si>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</si>
  <si>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</si>
  <si>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</si>
  <si>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</si>
  <si>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</si>
  <si>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</si>
  <si>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</si>
  <si>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</si>
  <si>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</si>
  <si>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</si>
  <si>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</si>
  <si>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</si>
  <si>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</si>
  <si>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</si>
  <si>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</si>
  <si>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</si>
  <si>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</si>
  <si>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</si>
  <si>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</si>
  <si>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</si>
  <si>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</si>
  <si>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</si>
  <si>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</si>
  <si>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</si>
  <si>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</si>
  <si>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</si>
  <si>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</si>
  <si>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</si>
  <si>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</si>
  <si>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</si>
  <si>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</si>
  <si>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</si>
  <si>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</si>
  <si>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</si>
  <si>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</si>
  <si>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</si>
  <si>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</si>
  <si>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</si>
  <si>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</si>
  <si>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</si>
  <si>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</si>
  <si>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</si>
  <si>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</si>
  <si>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</si>
  <si>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</si>
  <si>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</si>
  <si>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</si>
  <si>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</si>
  <si>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</si>
  <si>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</si>
  <si>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</si>
  <si>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</si>
  <si>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</si>
  <si>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</si>
  <si>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</si>
  <si>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</si>
  <si>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</si>
  <si>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</si>
  <si>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</si>
  <si>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</si>
  <si>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</si>
  <si>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</si>
  <si>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</si>
  <si>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</si>
  <si>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</si>
  <si>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</si>
  <si>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</si>
  <si>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</si>
  <si>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</si>
  <si>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</si>
  <si>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</si>
  <si>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</si>
  <si>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</si>
  <si>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</si>
  <si>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</si>
  <si>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</si>
  <si>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</si>
  <si>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</si>
  <si>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</si>
  <si>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</si>
  <si>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</si>
  <si>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</si>
  <si>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</si>
  <si>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</si>
  <si>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</si>
  <si>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</si>
  <si>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</si>
  <si>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철스크랩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</si>
  <si>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</si>
  <si>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</si>
  <si>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</si>
  <si>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</si>
  <si>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</si>
  <si>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</si>
  <si>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</si>
  <si>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</si>
  <si>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</si>
  <si>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</si>
  <si>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</si>
  <si>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</si>
  <si>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</si>
  <si>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</si>
  <si>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</si>
  <si>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</si>
  <si>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</si>
  <si>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</si>
  <si>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</si>
  <si>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</si>
  <si>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</si>
  <si>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</si>
  <si>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</si>
  <si>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</si>
  <si>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</si>
  <si>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</si>
  <si>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</si>
  <si>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</si>
  <si>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</si>
  <si>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</si>
  <si>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</si>
  <si>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</si>
  <si>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</si>
  <si>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</si>
  <si>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</si>
  <si>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</si>
  <si>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</si>
  <si>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</si>
  <si>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</si>
  <si>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</si>
  <si>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</si>
  <si>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</si>
  <si>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</si>
  <si>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</si>
  <si>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</si>
  <si>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</si>
  <si>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</si>
  <si>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</si>
  <si>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</si>
  <si>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</si>
  <si>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</si>
  <si>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</si>
  <si>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</si>
  <si>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</si>
  <si>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</si>
  <si>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</si>
  <si>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</si>
  <si>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</si>
  <si>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</si>
  <si>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</si>
  <si>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</si>
  <si>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</si>
  <si>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</si>
  <si>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</si>
  <si>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</si>
  <si>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</si>
  <si>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</si>
  <si>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</si>
  <si>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</si>
  <si>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</si>
  <si>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</si>
  <si>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</si>
  <si>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</si>
  <si>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</si>
  <si>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</si>
  <si>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</si>
  <si>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</si>
  <si>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</si>
  <si>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</si>
  <si>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</si>
  <si>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</si>
  <si>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</si>
  <si>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</si>
  <si>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</si>
  <si>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</si>
  <si>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</si>
  <si>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</si>
  <si>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</si>
  <si>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</si>
  <si>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</si>
  <si>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</si>
  <si>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</si>
  <si>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</si>
  <si>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</si>
  <si>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</si>
  <si>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</si>
  <si>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</si>
  <si>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YONG PYONG RESORT CORPORATION</t>
  </si>
  <si>
    <t>용평리조트</t>
  </si>
  <si>
    <t>휴양콘도 운영업</t>
  </si>
  <si>
    <t>리조트 운영, 콘도 분양</t>
  </si>
  <si>
    <t>www.yongpyong.co.kr</t>
  </si>
  <si>
    <t>164060 KS Equity</t>
  </si>
  <si>
    <t>A164060</t>
  </si>
  <si>
    <t>ILOODA Co., Ltd.</t>
  </si>
  <si>
    <t>이루다</t>
  </si>
  <si>
    <t>레이저 및 고주파 의료기기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</si>
  <si>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</si>
  <si>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</si>
  <si>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</si>
  <si>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</si>
  <si>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</si>
  <si>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</si>
  <si>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</si>
  <si>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</si>
  <si>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</si>
  <si>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</si>
  <si>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</si>
  <si>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</si>
  <si>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</si>
  <si>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</si>
  <si>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</si>
  <si>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</si>
  <si>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</si>
  <si>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</si>
  <si>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</si>
  <si>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</si>
  <si>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</si>
  <si>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</si>
  <si>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</si>
  <si>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</si>
  <si>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</si>
  <si>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</si>
  <si>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</si>
  <si>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</si>
  <si>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</si>
  <si>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</si>
  <si>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</si>
  <si>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</si>
  <si>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</si>
  <si>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</si>
  <si>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</si>
  <si>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</si>
  <si>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</si>
  <si>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</si>
  <si>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</si>
  <si>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</si>
  <si>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</si>
  <si>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</si>
  <si>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</si>
  <si>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</si>
  <si>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</si>
  <si>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</si>
  <si>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</si>
  <si>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</si>
  <si>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</si>
  <si>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</si>
  <si>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</si>
  <si>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</si>
  <si>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</si>
  <si>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</si>
  <si>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</si>
  <si>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</si>
  <si>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</si>
  <si>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</si>
  <si>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</si>
  <si>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</si>
  <si>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</si>
  <si>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</si>
  <si>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</si>
  <si>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</si>
  <si>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</si>
  <si>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</si>
  <si>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</si>
  <si>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</si>
  <si>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</si>
  <si>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</si>
  <si>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</si>
  <si>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</si>
  <si>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</si>
  <si>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</si>
  <si>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</si>
  <si>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</si>
  <si>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</si>
  <si>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</si>
  <si>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</si>
  <si>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</si>
  <si>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</si>
  <si>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</si>
  <si>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</si>
  <si>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</si>
  <si>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</si>
  <si>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</si>
  <si>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</si>
  <si>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</si>
  <si>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</si>
  <si>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</si>
  <si>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</si>
  <si>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</si>
  <si>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</si>
  <si>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</si>
  <si>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</si>
  <si>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</si>
  <si>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</si>
  <si>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</si>
  <si>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</si>
  <si>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</si>
  <si>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</si>
  <si>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</si>
  <si>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</si>
  <si>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</si>
  <si>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</si>
  <si>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</si>
  <si>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</si>
  <si>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</si>
  <si>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</si>
  <si>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</si>
  <si>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</si>
  <si>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</si>
  <si>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</si>
  <si>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</si>
  <si>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</si>
  <si>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</si>
  <si>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</si>
  <si>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</si>
  <si>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</si>
  <si>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</si>
  <si>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</si>
  <si>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</si>
  <si>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</si>
  <si>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</si>
  <si>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</si>
  <si>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</si>
  <si>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</si>
  <si>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</si>
  <si>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</si>
  <si>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</si>
  <si>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</si>
  <si>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</si>
  <si>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</si>
  <si>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</si>
  <si>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</si>
  <si>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</si>
  <si>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</si>
  <si>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</si>
  <si>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</si>
  <si>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</si>
  <si>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</si>
  <si>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</si>
  <si>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</si>
  <si>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</si>
  <si>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</si>
  <si>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</si>
  <si>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</si>
  <si>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</si>
  <si>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</si>
  <si>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</si>
  <si>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</si>
  <si>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</si>
  <si>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</si>
  <si>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</si>
  <si>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</si>
  <si>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</si>
  <si>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</si>
  <si>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</si>
  <si>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</si>
  <si>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</si>
  <si>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</si>
  <si>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</si>
  <si>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</si>
  <si>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</si>
  <si>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</si>
  <si>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</si>
  <si>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</si>
  <si>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</si>
  <si>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</si>
  <si>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</si>
  <si>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</si>
  <si>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</si>
  <si>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</si>
  <si>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</si>
  <si>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</si>
  <si>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</si>
  <si>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</si>
  <si>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</si>
  <si>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</si>
  <si>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</si>
  <si>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</si>
  <si>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</si>
  <si>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</si>
  <si>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</si>
  <si>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</si>
  <si>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</si>
  <si>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</si>
  <si>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</si>
  <si>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</si>
  <si>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</si>
  <si>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</si>
  <si>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</si>
  <si>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</si>
  <si>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</si>
  <si>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</si>
  <si>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</si>
  <si>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</si>
  <si>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</si>
  <si>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</si>
  <si>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</si>
  <si>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</si>
  <si>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</si>
  <si>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</si>
  <si>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</si>
  <si>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</si>
  <si>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</si>
  <si>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</si>
  <si>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</si>
  <si>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</si>
  <si>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</si>
  <si>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</si>
  <si>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</si>
  <si>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</si>
  <si>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</si>
  <si>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</si>
  <si>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</si>
  <si>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</si>
  <si>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</si>
  <si>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</si>
  <si>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</si>
  <si>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</si>
  <si>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</si>
  <si>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</si>
  <si>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</si>
  <si>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</si>
  <si>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</si>
  <si>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</si>
  <si>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</si>
  <si>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</si>
  <si>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</si>
  <si>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</si>
  <si>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DAEYANG PAPER MFG. CO., LTD.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</si>
  <si>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</si>
  <si>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</si>
  <si>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</si>
  <si>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</si>
  <si>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</si>
  <si>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</si>
  <si>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</si>
  <si>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</si>
  <si>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</si>
  <si>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</si>
  <si>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</si>
  <si>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</si>
  <si>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</si>
  <si>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</si>
  <si>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</si>
  <si>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</si>
  <si>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</si>
  <si>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</si>
  <si>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</si>
  <si>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</si>
  <si>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</si>
  <si>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</si>
  <si>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</si>
  <si>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</si>
  <si>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</si>
  <si>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장류 제조업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</si>
  <si>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</si>
  <si>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</si>
  <si>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</si>
  <si>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</si>
  <si>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</si>
  <si>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</si>
  <si>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</si>
  <si>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</si>
  <si>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</si>
  <si>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</si>
  <si>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</si>
  <si>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</si>
  <si>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</si>
  <si>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</si>
  <si>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</si>
  <si>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</si>
  <si>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</si>
  <si>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</si>
  <si>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</si>
  <si>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</si>
  <si>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</si>
  <si>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</si>
  <si>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</si>
  <si>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</si>
  <si>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</si>
  <si>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</si>
  <si>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</si>
  <si>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</si>
  <si>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</si>
  <si>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</si>
  <si>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</si>
  <si>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</si>
  <si>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</si>
  <si>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</si>
  <si>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</si>
  <si>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</si>
  <si>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</si>
  <si>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</si>
  <si>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</si>
  <si>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</si>
  <si>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</si>
  <si>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</si>
  <si>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</si>
  <si>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</si>
  <si>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</si>
  <si>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</si>
  <si>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</si>
  <si>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</si>
  <si>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</si>
  <si>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</si>
  <si>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</si>
  <si>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</si>
  <si>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</si>
  <si>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</si>
  <si>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</si>
  <si>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</si>
  <si>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</si>
  <si>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</si>
  <si>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</si>
  <si>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</si>
  <si>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</si>
  <si>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</si>
  <si>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</si>
  <si>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</si>
  <si>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</si>
  <si>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</si>
  <si>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</si>
  <si>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</si>
  <si>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</si>
  <si>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</si>
  <si>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</si>
  <si>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</si>
  <si>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</si>
  <si>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</si>
  <si>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</si>
  <si>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</si>
  <si>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</si>
  <si>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</si>
  <si>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</si>
  <si>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</si>
  <si>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</si>
  <si>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</si>
  <si>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</si>
  <si>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</si>
  <si>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</si>
  <si>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</si>
  <si>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</si>
  <si>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</si>
  <si>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</si>
  <si>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</si>
  <si>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</si>
  <si>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</si>
  <si>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</si>
  <si>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</si>
  <si>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</si>
  <si>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</si>
  <si>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</si>
  <si>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</si>
  <si>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</si>
  <si>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</si>
  <si>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</si>
  <si>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</si>
  <si>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</si>
  <si>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</si>
  <si>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</si>
  <si>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</si>
  <si>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</si>
  <si>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</si>
  <si>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</si>
  <si>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</si>
  <si>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</si>
  <si>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</si>
  <si>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</si>
  <si>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</si>
  <si>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</si>
  <si>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</si>
  <si>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</si>
  <si>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</si>
  <si>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</si>
  <si>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</si>
  <si>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</si>
  <si>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</si>
  <si>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</si>
  <si>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</si>
  <si>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</si>
  <si>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</si>
  <si>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</si>
  <si>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</si>
  <si>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</si>
  <si>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</si>
  <si>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</si>
  <si>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</si>
  <si>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</si>
  <si>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</si>
  <si>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</si>
  <si>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</si>
  <si>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</si>
  <si>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</si>
  <si>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</si>
  <si>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</si>
  <si>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</si>
  <si>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</si>
  <si>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</si>
  <si>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</si>
  <si>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</si>
  <si>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</si>
  <si>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</si>
  <si>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</si>
  <si>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</si>
  <si>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</si>
  <si>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</si>
  <si>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</si>
  <si>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</si>
  <si>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</si>
  <si>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</si>
  <si>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</si>
  <si>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</si>
  <si>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</si>
  <si>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</si>
  <si>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</si>
  <si>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</si>
  <si>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</si>
  <si>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</si>
  <si>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</si>
  <si>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</si>
  <si>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</si>
  <si>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</si>
  <si>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</si>
  <si>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</si>
  <si>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</si>
  <si>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</si>
  <si>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</si>
  <si>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</si>
  <si>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</si>
  <si>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</si>
  <si>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</si>
  <si>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</si>
  <si>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</si>
  <si>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</si>
  <si>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</si>
  <si>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</si>
  <si>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</si>
  <si>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</si>
  <si>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</si>
  <si>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</si>
  <si>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</si>
  <si>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</si>
  <si>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</si>
  <si>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</si>
  <si>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</si>
  <si>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</si>
  <si>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</si>
  <si>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</si>
  <si>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</si>
  <si>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</si>
  <si>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</si>
  <si>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</si>
  <si>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</si>
  <si>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</si>
  <si>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</si>
  <si>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</si>
  <si>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</si>
  <si>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</si>
  <si>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</si>
  <si>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</si>
  <si>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</si>
  <si>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</si>
  <si>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</si>
  <si>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</si>
  <si>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</si>
  <si>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</si>
  <si>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</si>
  <si>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</si>
  <si>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</si>
  <si>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</si>
  <si>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</si>
  <si>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</si>
  <si>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</si>
  <si>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</si>
  <si>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</si>
  <si>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</si>
  <si>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</si>
  <si>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</si>
  <si>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</si>
  <si>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</si>
  <si>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</si>
  <si>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</si>
  <si>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</si>
  <si>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</si>
  <si>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</si>
  <si>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</si>
  <si>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</si>
  <si>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</si>
  <si>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</si>
  <si>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</si>
  <si>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</si>
  <si>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</si>
  <si>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</si>
  <si>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</si>
  <si>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</si>
  <si>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</si>
  <si>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</si>
  <si>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</si>
  <si>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</si>
  <si>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</si>
  <si>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</si>
  <si>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</si>
  <si>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</si>
  <si>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</si>
  <si>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</si>
  <si>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</si>
  <si>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</si>
  <si>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</si>
  <si>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</si>
  <si>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</si>
  <si>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</si>
  <si>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</si>
  <si>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</si>
  <si>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</si>
  <si>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</si>
  <si>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</si>
  <si>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</si>
  <si>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</si>
  <si>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</si>
  <si>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</si>
  <si>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</si>
  <si>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</si>
  <si>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</si>
  <si>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</si>
  <si>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</si>
  <si>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</si>
  <si>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</si>
  <si>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</si>
  <si>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</si>
  <si>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</si>
  <si>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</si>
  <si>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</si>
  <si>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</si>
  <si>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</si>
  <si>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</si>
  <si>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</si>
  <si>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</si>
  <si>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</si>
  <si>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</si>
  <si>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</si>
  <si>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</si>
  <si>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</si>
  <si>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</si>
  <si>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</si>
  <si>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</si>
  <si>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</si>
  <si>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</si>
  <si>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</si>
  <si>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</si>
  <si>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</si>
  <si>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</si>
  <si>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</si>
  <si>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</si>
  <si>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</si>
  <si>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</si>
  <si>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</si>
  <si>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</si>
  <si>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</si>
  <si>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</si>
  <si>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</si>
  <si>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</si>
  <si>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</si>
  <si>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</si>
  <si>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</si>
  <si>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</si>
  <si>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</si>
  <si>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</si>
  <si>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</si>
  <si>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</si>
  <si>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</si>
  <si>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</si>
  <si>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</si>
  <si>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</si>
  <si>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</si>
  <si>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</si>
  <si>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</si>
  <si>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</si>
  <si>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</si>
  <si>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</si>
  <si>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</si>
  <si>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</si>
  <si>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</si>
  <si>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</si>
  <si>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</si>
  <si>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</si>
  <si>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</si>
  <si>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</si>
  <si>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</si>
  <si>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</si>
  <si>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</si>
  <si>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</si>
  <si>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</si>
  <si>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</si>
  <si>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</si>
  <si>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</si>
  <si>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</si>
  <si>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</si>
  <si>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</si>
  <si>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</si>
  <si>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</si>
  <si>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</si>
  <si>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</si>
  <si>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</si>
  <si>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</si>
  <si>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</si>
  <si>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</si>
  <si>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</si>
  <si>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</si>
  <si>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</si>
  <si>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</si>
  <si>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</si>
  <si>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</si>
  <si>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</si>
  <si>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</si>
  <si>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</si>
  <si>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</si>
  <si>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</si>
  <si>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</si>
  <si>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</si>
  <si>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</si>
  <si>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</si>
  <si>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</si>
  <si>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</si>
  <si>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</si>
  <si>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</si>
  <si>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</si>
  <si>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</si>
  <si>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</si>
  <si>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</si>
  <si>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</si>
  <si>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</si>
  <si>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</si>
  <si>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</si>
  <si>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</si>
  <si>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</si>
  <si>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</si>
  <si>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</si>
  <si>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</si>
  <si>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</si>
  <si>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</si>
  <si>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</si>
  <si>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</si>
  <si>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</si>
  <si>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</si>
  <si>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</si>
  <si>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</si>
  <si>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</si>
  <si>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</si>
  <si>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</si>
  <si>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</si>
  <si>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</si>
  <si>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</si>
  <si>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</si>
  <si>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</si>
  <si>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</si>
  <si>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</si>
  <si>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</si>
  <si>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</si>
  <si>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</si>
  <si>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</si>
  <si>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</si>
  <si>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</si>
  <si>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</si>
  <si>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</si>
  <si>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</si>
  <si>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BDI CO., LTD.</t>
  </si>
  <si>
    <t>비디아이</t>
  </si>
  <si>
    <t>탈황설비, 전기집진기, 회처리 및 회정제설비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</si>
  <si>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</si>
  <si>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</si>
  <si>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</si>
  <si>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</si>
  <si>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</si>
  <si>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</si>
  <si>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</si>
  <si>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</si>
  <si>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</si>
  <si>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</si>
  <si>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</si>
  <si>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</si>
  <si>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</si>
  <si>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</si>
  <si>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</si>
  <si>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</si>
  <si>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</si>
  <si>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</si>
  <si>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</si>
  <si>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</si>
  <si>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</si>
  <si>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</si>
  <si>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</si>
  <si>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</si>
  <si>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</si>
  <si>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</si>
  <si>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</si>
  <si>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</si>
  <si>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</si>
  <si>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</si>
  <si>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</si>
  <si>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</si>
  <si>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</si>
  <si>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</si>
  <si>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</si>
  <si>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</si>
  <si>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</si>
  <si>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</si>
  <si>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</si>
  <si>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</si>
  <si>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</si>
  <si>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</si>
  <si>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</si>
  <si>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Truwin Company Limited</t>
  </si>
  <si>
    <t>트루윈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</si>
  <si>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</si>
  <si>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</si>
  <si>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</si>
  <si>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</si>
  <si>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</si>
  <si>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</si>
  <si>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</si>
  <si>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</si>
  <si>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</si>
  <si>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</si>
  <si>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Gemvaxlink Co., Ltd.</t>
  </si>
  <si>
    <t>젬백스링크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</si>
  <si>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</si>
  <si>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</si>
  <si>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</si>
  <si>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</si>
  <si>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</si>
  <si>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</si>
  <si>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</si>
  <si>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</si>
  <si>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</si>
  <si>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</si>
  <si>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</si>
  <si>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</si>
  <si>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</si>
  <si>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</si>
  <si>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</si>
  <si>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</si>
  <si>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</si>
  <si>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</si>
  <si>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</si>
  <si>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</si>
  <si>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</si>
  <si>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</si>
  <si>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</si>
  <si>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</si>
  <si>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</si>
  <si>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</si>
  <si>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</si>
  <si>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</si>
  <si>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</si>
  <si>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</si>
  <si>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</si>
  <si>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</si>
  <si>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</si>
  <si>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</si>
  <si>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</si>
  <si>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</si>
  <si>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</si>
  <si>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</si>
  <si>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</si>
  <si>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</si>
  <si>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</si>
  <si>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</si>
  <si>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</si>
  <si>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</si>
  <si>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</si>
  <si>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</si>
  <si>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</si>
  <si>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</si>
  <si>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</si>
  <si>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</si>
  <si>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</si>
  <si>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</si>
  <si>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</si>
  <si>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</si>
  <si>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</si>
  <si>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</si>
  <si>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</si>
  <si>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</si>
  <si>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</si>
  <si>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</si>
  <si>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</si>
  <si>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</si>
  <si>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</si>
  <si>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</si>
  <si>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</si>
  <si>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</si>
  <si>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</si>
  <si>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</si>
  <si>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</si>
  <si>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</si>
  <si>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</si>
  <si>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</si>
  <si>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</si>
  <si>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</si>
  <si>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</si>
  <si>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</si>
  <si>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</si>
  <si>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</si>
  <si>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</si>
  <si>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</si>
  <si>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</si>
  <si>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</si>
  <si>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</si>
  <si>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</si>
  <si>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</si>
  <si>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</si>
  <si>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</si>
  <si>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</si>
  <si>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</si>
  <si>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</si>
  <si>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</si>
  <si>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</si>
  <si>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</si>
  <si>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</si>
  <si>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</si>
  <si>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</si>
  <si>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</si>
  <si>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</si>
  <si>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</si>
  <si>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</si>
  <si>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</si>
  <si>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</si>
  <si>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</si>
  <si>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</si>
  <si>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</si>
  <si>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</si>
  <si>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</si>
  <si>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</si>
  <si>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</si>
  <si>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</si>
  <si>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</si>
  <si>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</si>
  <si>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</si>
  <si>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</si>
  <si>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</si>
  <si>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</si>
  <si>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</si>
  <si>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</si>
  <si>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</si>
  <si>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</si>
  <si>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</si>
  <si>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</si>
  <si>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</si>
  <si>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</si>
  <si>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</si>
  <si>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</si>
  <si>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</si>
  <si>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</si>
  <si>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</si>
  <si>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</si>
  <si>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</si>
  <si>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</si>
  <si>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</si>
  <si>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</si>
  <si>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</si>
  <si>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</si>
  <si>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</si>
  <si>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</si>
  <si>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</si>
  <si>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</si>
  <si>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</si>
  <si>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</si>
  <si>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</si>
  <si>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</si>
  <si>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</si>
  <si>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</si>
  <si>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</si>
  <si>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</si>
  <si>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</si>
  <si>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</si>
  <si>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</si>
  <si>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</si>
  <si>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</si>
  <si>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</si>
  <si>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</si>
  <si>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</si>
  <si>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</si>
  <si>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</si>
  <si>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</si>
  <si>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</si>
  <si>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</si>
  <si>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</si>
  <si>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</si>
  <si>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배합 사료 제조업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</si>
  <si>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</si>
  <si>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</si>
  <si>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</si>
  <si>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</si>
  <si>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</si>
  <si>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</si>
  <si>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</si>
  <si>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</si>
  <si>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</si>
  <si>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</si>
  <si>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</si>
  <si>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</si>
  <si>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</si>
  <si>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</si>
  <si>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</si>
  <si>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</si>
  <si>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</si>
  <si>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</si>
  <si>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</si>
  <si>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</si>
  <si>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</si>
  <si>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</si>
  <si>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</si>
  <si>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</si>
  <si>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</si>
  <si>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</si>
  <si>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</si>
  <si>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</si>
  <si>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</si>
  <si>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</si>
  <si>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</si>
  <si>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</si>
  <si>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</si>
  <si>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</si>
  <si>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</si>
  <si>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</si>
  <si>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</si>
  <si>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</si>
  <si>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</si>
  <si>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</si>
  <si>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</si>
  <si>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</si>
  <si>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</si>
  <si>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</si>
  <si>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</si>
  <si>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</si>
  <si>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</si>
  <si>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</si>
  <si>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</si>
  <si>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</si>
  <si>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</si>
  <si>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</si>
  <si>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</si>
  <si>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</si>
  <si>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</si>
  <si>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</si>
  <si>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</si>
  <si>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</si>
  <si>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</si>
  <si>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</si>
  <si>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</si>
  <si>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</si>
  <si>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</si>
  <si>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</si>
  <si>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</si>
  <si>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</si>
  <si>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</si>
  <si>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</si>
  <si>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</si>
  <si>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</si>
  <si>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</si>
  <si>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</si>
  <si>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</si>
  <si>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</si>
  <si>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</si>
  <si>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</si>
  <si>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</si>
  <si>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</si>
  <si>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</si>
  <si>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</si>
  <si>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</si>
  <si>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</si>
  <si>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</si>
  <si>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</si>
  <si>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</si>
  <si>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</si>
  <si>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</si>
  <si>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</si>
  <si>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</si>
  <si>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</si>
  <si>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</si>
  <si>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</si>
  <si>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</si>
  <si>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</si>
  <si>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</si>
  <si>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</si>
  <si>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</si>
  <si>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</si>
  <si>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</si>
  <si>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</si>
  <si>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</si>
  <si>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</si>
  <si>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</si>
  <si>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</si>
  <si>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</si>
  <si>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</si>
  <si>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</si>
  <si>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</si>
  <si>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</si>
  <si>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</si>
  <si>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</si>
  <si>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</si>
  <si>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</si>
  <si>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</si>
  <si>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</si>
  <si>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</si>
  <si>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</si>
  <si>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</si>
  <si>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</si>
  <si>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</si>
  <si>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</si>
  <si>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</si>
  <si>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</si>
  <si>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</si>
  <si>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</si>
  <si>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</si>
  <si>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</si>
  <si>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</si>
  <si>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</si>
  <si>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</si>
  <si>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</si>
  <si>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</si>
  <si>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</si>
  <si>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</si>
  <si>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</si>
  <si>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</si>
  <si>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</si>
  <si>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</si>
  <si>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</si>
  <si>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</si>
  <si>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</si>
  <si>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</si>
  <si>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</si>
  <si>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</si>
  <si>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</si>
  <si>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</si>
  <si>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</si>
  <si>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</si>
  <si>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</si>
  <si>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</si>
  <si>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</si>
  <si>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</si>
  <si>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</si>
  <si>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</si>
  <si>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</si>
  <si>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</si>
  <si>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</si>
  <si>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</si>
  <si>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</si>
  <si>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</si>
  <si>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</si>
  <si>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</si>
  <si>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</si>
  <si>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</si>
  <si>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</si>
  <si>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</si>
  <si>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</si>
  <si>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</si>
  <si>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</si>
  <si>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</si>
  <si>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</si>
  <si>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</si>
  <si>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</si>
  <si>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</si>
  <si>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</si>
  <si>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</si>
  <si>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</si>
  <si>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</si>
  <si>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</si>
  <si>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</si>
  <si>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</si>
  <si>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</si>
  <si>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</si>
  <si>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</si>
  <si>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</si>
  <si>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</si>
  <si>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</si>
  <si>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</si>
  <si>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</si>
  <si>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</si>
  <si>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</si>
  <si>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</si>
  <si>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</si>
  <si>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</si>
  <si>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</si>
  <si>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</si>
  <si>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</si>
  <si>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</si>
  <si>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</si>
  <si>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</si>
  <si>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</si>
  <si>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</si>
  <si>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</si>
  <si>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</si>
  <si>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</si>
  <si>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</si>
  <si>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</si>
  <si>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</si>
  <si>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</si>
  <si>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</si>
  <si>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</si>
  <si>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</si>
  <si>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</si>
  <si>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</si>
  <si>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</si>
  <si>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</si>
  <si>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</si>
  <si>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</si>
  <si>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</si>
  <si>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</si>
  <si>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</si>
  <si>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</si>
  <si>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</si>
  <si>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</si>
  <si>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</si>
  <si>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</si>
  <si>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</si>
  <si>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</si>
  <si>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</si>
  <si>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</si>
  <si>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</si>
  <si>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</si>
  <si>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</si>
  <si>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</si>
  <si>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</si>
  <si>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</si>
  <si>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</si>
  <si>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</si>
  <si>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</si>
  <si>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</si>
  <si>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</si>
  <si>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</si>
  <si>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</si>
  <si>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</si>
  <si>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</si>
  <si>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</si>
  <si>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</si>
  <si>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</si>
  <si>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</si>
  <si>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</si>
  <si>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</si>
  <si>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</si>
  <si>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</si>
  <si>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</si>
  <si>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</si>
  <si>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</si>
  <si>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</si>
  <si>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</si>
  <si>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</si>
  <si>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</si>
  <si>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</si>
  <si>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</si>
  <si>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</si>
  <si>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</si>
  <si>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</si>
  <si>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</si>
  <si>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</si>
  <si>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</si>
  <si>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</si>
  <si>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</si>
  <si>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</si>
  <si>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</si>
  <si>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</si>
  <si>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</si>
  <si>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</si>
  <si>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</si>
  <si>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</si>
  <si>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</si>
  <si>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</si>
  <si>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</si>
  <si>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</si>
  <si>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</si>
  <si>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</si>
  <si>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</si>
  <si>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</si>
  <si>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</si>
  <si>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</si>
  <si>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</si>
  <si>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</si>
  <si>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</si>
  <si>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</si>
  <si>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</si>
  <si>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</si>
  <si>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</si>
  <si>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</si>
  <si>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</si>
  <si>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</si>
  <si>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</si>
  <si>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</si>
  <si>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</si>
  <si>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</si>
  <si>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</si>
  <si>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</si>
  <si>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</si>
  <si>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</si>
  <si>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</si>
  <si>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</si>
  <si>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</si>
  <si>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</si>
  <si>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</si>
  <si>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</si>
  <si>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</si>
  <si>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</si>
  <si>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</si>
  <si>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</si>
  <si>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</si>
  <si>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</si>
  <si>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</si>
  <si>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</si>
  <si>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</si>
  <si>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</si>
  <si>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</si>
  <si>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</si>
  <si>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</si>
  <si>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</si>
  <si>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</si>
  <si>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</si>
  <si>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</si>
  <si>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</si>
  <si>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</si>
  <si>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</si>
  <si>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</si>
  <si>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</si>
  <si>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</si>
  <si>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</si>
  <si>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</si>
  <si>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</si>
  <si>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</si>
  <si>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</si>
  <si>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</si>
  <si>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</si>
  <si>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</si>
  <si>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</si>
  <si>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</si>
  <si>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</si>
  <si>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</si>
  <si>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</si>
  <si>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</si>
  <si>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</si>
  <si>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</si>
  <si>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</si>
  <si>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</si>
  <si>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</si>
  <si>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</si>
  <si>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</si>
  <si>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</si>
  <si>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</si>
  <si>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</si>
  <si>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</si>
  <si>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</si>
  <si>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</si>
  <si>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</si>
  <si>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</si>
  <si>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</si>
  <si>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</si>
  <si>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</si>
  <si>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</si>
  <si>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</si>
  <si>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</si>
  <si>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</si>
  <si>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</si>
  <si>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</si>
  <si>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</si>
  <si>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</si>
  <si>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</si>
  <si>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</si>
  <si>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</si>
  <si>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</si>
  <si>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</si>
  <si>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</si>
  <si>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</si>
  <si>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</si>
  <si>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</si>
  <si>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</si>
  <si>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</si>
  <si>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</si>
  <si>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</si>
  <si>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</si>
  <si>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</si>
  <si>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</si>
  <si>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</si>
  <si>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</si>
  <si>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</si>
  <si>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</si>
  <si>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</si>
  <si>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</si>
  <si>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</si>
  <si>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</si>
  <si>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</si>
  <si>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</si>
  <si>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</si>
  <si>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</si>
  <si>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</si>
  <si>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</si>
  <si>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</si>
  <si>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</si>
  <si>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</si>
  <si>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</si>
  <si>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</si>
  <si>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</si>
  <si>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</si>
  <si>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</si>
  <si>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</si>
  <si>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</si>
  <si>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</si>
  <si>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</si>
  <si>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</si>
  <si>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</si>
  <si>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</si>
  <si>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</si>
  <si>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</si>
  <si>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</si>
  <si>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</si>
  <si>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</si>
  <si>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</si>
  <si>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</si>
  <si>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</si>
  <si>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</si>
  <si>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</si>
  <si>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</si>
  <si>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</si>
  <si>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</si>
  <si>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HwasungIndustrial</t>
  </si>
  <si>
    <t>화성산업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</si>
  <si>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</si>
  <si>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</si>
  <si>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</si>
  <si>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</si>
  <si>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</si>
  <si>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</si>
  <si>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</si>
  <si>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</si>
  <si>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</si>
  <si>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</si>
  <si>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</si>
  <si>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</si>
  <si>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</si>
  <si>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</si>
  <si>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</si>
  <si>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</si>
  <si>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</si>
  <si>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</si>
  <si>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</si>
  <si>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</si>
  <si>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</si>
  <si>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</si>
  <si>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</si>
  <si>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</si>
  <si>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</si>
  <si>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</si>
  <si>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</si>
  <si>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</si>
  <si>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</si>
  <si>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</si>
  <si>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</si>
  <si>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</si>
  <si>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</si>
  <si>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</si>
  <si>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</si>
  <si>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</si>
  <si>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</si>
  <si>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</si>
  <si>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</si>
  <si>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</si>
  <si>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</si>
  <si>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</si>
  <si>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</si>
  <si>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</si>
  <si>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</si>
  <si>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</si>
  <si>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</si>
  <si>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</si>
  <si>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</si>
  <si>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</si>
  <si>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</si>
  <si>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</si>
  <si>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</si>
  <si>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</si>
  <si>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</si>
  <si>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</si>
  <si>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</si>
  <si>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</si>
  <si>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</si>
  <si>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</si>
  <si>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</si>
  <si>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</si>
  <si>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</si>
  <si>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</si>
  <si>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</si>
  <si>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</si>
  <si>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</si>
  <si>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</si>
  <si>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</si>
  <si>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</si>
  <si>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</si>
  <si>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</si>
  <si>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</si>
  <si>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</si>
  <si>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</si>
  <si>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</si>
  <si>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</si>
  <si>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</si>
  <si>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</si>
  <si>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</si>
  <si>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</si>
  <si>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</si>
  <si>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</si>
  <si>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</si>
  <si>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</si>
  <si>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</si>
  <si>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</si>
  <si>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</si>
  <si>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</si>
  <si>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</si>
  <si>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</si>
  <si>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</si>
  <si>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</si>
  <si>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</si>
  <si>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</si>
  <si>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</si>
  <si>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</si>
  <si>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</si>
  <si>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</si>
  <si>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</si>
  <si>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</si>
  <si>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</si>
  <si>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</si>
  <si>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</si>
  <si>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</si>
  <si>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</si>
  <si>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</si>
  <si>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스피어파워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</si>
  <si>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</si>
  <si>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</si>
  <si>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</si>
  <si>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</si>
  <si>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</si>
  <si>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</si>
  <si>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</si>
  <si>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</si>
  <si>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</si>
  <si>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</si>
  <si>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</si>
  <si>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</si>
  <si>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</si>
  <si>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</si>
  <si>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</si>
  <si>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</si>
  <si>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</si>
  <si>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</si>
  <si>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</si>
  <si>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</si>
  <si>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</si>
  <si>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</si>
  <si>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</si>
  <si>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</si>
  <si>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</si>
  <si>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</si>
  <si>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</si>
  <si>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</si>
  <si>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</si>
  <si>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</si>
  <si>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</si>
  <si>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</si>
  <si>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</si>
  <si>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</si>
  <si>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</si>
  <si>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</si>
  <si>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</si>
  <si>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</si>
  <si>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</si>
  <si>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</si>
  <si>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</si>
  <si>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</si>
  <si>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</si>
  <si>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</si>
  <si>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</si>
  <si>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</si>
  <si>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</si>
  <si>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</si>
  <si>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</si>
  <si>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</si>
  <si>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</si>
  <si>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</si>
  <si>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</si>
  <si>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</si>
  <si>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</si>
  <si>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</si>
  <si>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</si>
  <si>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</si>
  <si>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</si>
  <si>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</si>
  <si>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</si>
  <si>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</si>
  <si>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</si>
  <si>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</si>
  <si>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</si>
  <si>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</si>
  <si>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</si>
  <si>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</si>
  <si>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</si>
  <si>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</si>
  <si>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</si>
  <si>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</si>
  <si>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</si>
  <si>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</si>
  <si>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</si>
  <si>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</si>
  <si>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</si>
  <si>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</si>
  <si>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</si>
  <si>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</si>
  <si>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</si>
  <si>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</si>
  <si>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</si>
  <si>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</si>
  <si>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</si>
  <si>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</si>
  <si>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</si>
  <si>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</si>
  <si>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</si>
  <si>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</si>
  <si>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</si>
  <si>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</si>
  <si>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</si>
  <si>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</si>
  <si>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</si>
  <si>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</si>
  <si>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</si>
  <si>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</si>
  <si>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</si>
  <si>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</si>
  <si>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</si>
  <si>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</si>
  <si>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</si>
  <si>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</si>
  <si>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</si>
  <si>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</si>
  <si>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</si>
  <si>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</si>
  <si>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</si>
  <si>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</si>
  <si>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</si>
  <si>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</si>
  <si>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</si>
  <si>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</si>
  <si>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</si>
  <si>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</si>
  <si>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</si>
  <si>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</si>
  <si>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</si>
  <si>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</si>
  <si>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</si>
  <si>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</si>
  <si>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</si>
  <si>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</si>
  <si>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</si>
  <si>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</si>
  <si>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</si>
  <si>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</si>
  <si>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</si>
  <si>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</si>
  <si>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</si>
  <si>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</si>
  <si>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</si>
  <si>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</si>
  <si>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</si>
  <si>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</si>
  <si>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</si>
  <si>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</si>
  <si>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</si>
  <si>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</si>
  <si>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</si>
  <si>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</si>
  <si>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</si>
  <si>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</si>
  <si>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</si>
  <si>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</si>
  <si>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</si>
  <si>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</si>
  <si>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</si>
  <si>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</si>
  <si>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</si>
  <si>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</si>
  <si>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</si>
  <si>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</si>
  <si>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</si>
  <si>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</si>
  <si>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</si>
  <si>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</si>
  <si>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</si>
  <si>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</si>
  <si>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</si>
  <si>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</si>
  <si>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</si>
  <si>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</si>
  <si>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</si>
  <si>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</si>
  <si>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</si>
  <si>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</si>
  <si>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</si>
  <si>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</si>
  <si>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</si>
  <si>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</si>
  <si>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</si>
  <si>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</si>
  <si>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</si>
  <si>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</si>
  <si>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</si>
  <si>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</si>
  <si>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</si>
  <si>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</si>
  <si>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</si>
  <si>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</si>
  <si>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</si>
  <si>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</si>
  <si>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</si>
  <si>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</si>
  <si>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</si>
  <si>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</si>
  <si>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</si>
  <si>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</si>
  <si>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</si>
  <si>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</si>
  <si>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</si>
  <si>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</si>
  <si>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</si>
  <si>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</si>
  <si>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</si>
  <si>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</si>
  <si>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</si>
  <si>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</si>
  <si>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</si>
  <si>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</si>
  <si>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</si>
  <si>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</si>
  <si>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</si>
  <si>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</si>
  <si>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</si>
  <si>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</si>
  <si>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</si>
  <si>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</si>
  <si>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</si>
  <si>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</si>
  <si>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</si>
  <si>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</si>
  <si>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</si>
  <si>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</si>
  <si>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</si>
  <si>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</si>
  <si>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</si>
  <si>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</si>
  <si>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</si>
  <si>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</si>
  <si>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</si>
  <si>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</si>
  <si>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</si>
  <si>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</si>
  <si>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</si>
  <si>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</si>
  <si>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</si>
  <si>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</si>
  <si>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</si>
  <si>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</si>
  <si>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</si>
  <si>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</si>
  <si>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</si>
  <si>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</si>
  <si>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</si>
  <si>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</si>
  <si>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</si>
  <si>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</si>
  <si>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</si>
  <si>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</si>
  <si>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</si>
  <si>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</si>
  <si>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</si>
  <si>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</si>
  <si>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</si>
  <si>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</si>
  <si>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</si>
  <si>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</si>
  <si>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</si>
  <si>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</si>
  <si>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</si>
  <si>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</si>
  <si>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</si>
  <si>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</si>
  <si>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</si>
  <si>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</si>
  <si>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</si>
  <si>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</si>
  <si>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</si>
  <si>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</si>
  <si>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</si>
  <si>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</si>
  <si>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</si>
  <si>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</si>
  <si>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</si>
  <si>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</si>
  <si>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</si>
  <si>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</si>
  <si>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</si>
  <si>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</si>
  <si>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</si>
  <si>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</si>
  <si>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</si>
  <si>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</si>
  <si>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</si>
  <si>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</si>
  <si>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</si>
  <si>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</si>
  <si>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</si>
  <si>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</si>
  <si>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</si>
  <si>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</si>
  <si>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</si>
  <si>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</si>
  <si>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</si>
  <si>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</si>
  <si>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</si>
  <si>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</si>
  <si>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</si>
  <si>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</si>
  <si>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</si>
  <si>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</si>
  <si>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</si>
  <si>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</si>
  <si>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</si>
  <si>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</si>
  <si>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</si>
  <si>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</si>
  <si>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</si>
  <si>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</si>
  <si>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</si>
  <si>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</si>
  <si>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</si>
  <si>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</si>
  <si>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</si>
  <si>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</si>
  <si>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</si>
  <si>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</si>
  <si>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</si>
  <si>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</si>
  <si>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</si>
  <si>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</si>
  <si>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</si>
  <si>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</si>
  <si>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</si>
  <si>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</si>
  <si>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</si>
  <si>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</si>
  <si>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</si>
  <si>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</si>
  <si>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</si>
  <si>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</si>
  <si>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</si>
  <si>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</si>
  <si>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</si>
  <si>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</si>
  <si>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</si>
  <si>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</si>
  <si>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</si>
  <si>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</si>
  <si>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</si>
  <si>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</si>
  <si>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</si>
  <si>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</si>
  <si>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</si>
  <si>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</si>
  <si>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</si>
  <si>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</si>
  <si>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</si>
  <si>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</si>
  <si>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</si>
  <si>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</si>
  <si>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</si>
  <si>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</si>
  <si>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</si>
  <si>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</si>
  <si>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</si>
  <si>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</si>
  <si>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</si>
  <si>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</si>
  <si>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</si>
  <si>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</si>
  <si>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</si>
  <si>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</si>
  <si>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</si>
  <si>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</si>
  <si>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</si>
  <si>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</si>
  <si>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</si>
  <si>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</si>
  <si>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</si>
  <si>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</si>
  <si>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</si>
  <si>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</si>
  <si>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</si>
  <si>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</si>
  <si>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</si>
  <si>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</si>
  <si>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</si>
  <si>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</si>
  <si>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</si>
  <si>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</si>
  <si>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</si>
  <si>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</si>
  <si>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</si>
  <si>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</si>
  <si>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</si>
  <si>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</si>
  <si>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</si>
  <si>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</si>
  <si>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</si>
  <si>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</si>
  <si>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</si>
  <si>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</si>
  <si>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</si>
  <si>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</si>
  <si>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</si>
  <si>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</si>
  <si>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</si>
  <si>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</si>
  <si>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</si>
  <si>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</si>
  <si>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</si>
  <si>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</si>
  <si>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</si>
  <si>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</si>
  <si>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</si>
  <si>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</si>
  <si>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</si>
  <si>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</si>
  <si>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</si>
  <si>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</si>
  <si>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</si>
  <si>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</si>
  <si>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</si>
  <si>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</si>
  <si>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</si>
  <si>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</si>
  <si>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</si>
  <si>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</si>
  <si>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</si>
  <si>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</si>
  <si>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</si>
  <si>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</si>
  <si>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</si>
  <si>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</si>
  <si>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</si>
  <si>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</si>
  <si>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</si>
  <si>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</si>
  <si>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</si>
  <si>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</si>
  <si>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</si>
  <si>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</si>
  <si>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</si>
  <si>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</si>
  <si>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</si>
  <si>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</si>
  <si>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</si>
  <si>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</si>
  <si>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</si>
  <si>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</si>
  <si>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</si>
  <si>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</si>
  <si>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</si>
  <si>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</si>
  <si>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</si>
  <si>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</si>
  <si>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</si>
  <si>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</si>
  <si>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</si>
  <si>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</si>
  <si>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</si>
  <si>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</si>
  <si>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</si>
  <si>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</si>
  <si>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</si>
  <si>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</si>
  <si>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</si>
  <si>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</si>
  <si>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</si>
  <si>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</si>
  <si>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</si>
  <si>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</si>
  <si>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</si>
  <si>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</si>
  <si>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</si>
  <si>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</si>
  <si>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</si>
  <si>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</si>
  <si>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</si>
  <si>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</si>
  <si>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</si>
  <si>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</si>
  <si>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</si>
  <si>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</si>
  <si>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</si>
  <si>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</si>
  <si>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</si>
  <si>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</si>
  <si>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</si>
  <si>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</si>
  <si>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</si>
  <si>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</si>
  <si>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</si>
  <si>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</si>
  <si>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</si>
  <si>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</si>
  <si>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</si>
  <si>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</si>
  <si>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</si>
  <si>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</si>
  <si>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</si>
  <si>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</si>
  <si>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</si>
  <si>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</si>
  <si>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</si>
  <si>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</si>
  <si>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</si>
  <si>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</si>
  <si>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</si>
  <si>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</si>
  <si>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</si>
  <si>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</si>
  <si>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</si>
  <si>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</si>
  <si>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</si>
  <si>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</si>
  <si>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</si>
  <si>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</si>
  <si>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</si>
  <si>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</si>
  <si>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</si>
  <si>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</si>
  <si>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</si>
  <si>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</si>
  <si>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</si>
  <si>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</si>
  <si>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</si>
  <si>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</si>
  <si>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</si>
  <si>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</si>
  <si>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</si>
  <si>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</si>
  <si>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</si>
  <si>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</si>
  <si>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</si>
  <si>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</si>
  <si>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</si>
  <si>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</si>
  <si>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</si>
  <si>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</si>
  <si>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</si>
  <si>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</si>
  <si>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</si>
  <si>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</si>
  <si>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</si>
  <si>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</si>
  <si>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</si>
  <si>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</si>
  <si>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</si>
  <si>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</si>
  <si>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</si>
  <si>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</si>
  <si>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</si>
  <si>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</si>
  <si>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</si>
  <si>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</si>
  <si>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</si>
  <si>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</si>
  <si>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</si>
  <si>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</si>
  <si>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</si>
  <si>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</si>
  <si>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</si>
  <si>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</si>
  <si>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</si>
  <si>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</si>
  <si>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</si>
  <si>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</si>
  <si>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</si>
  <si>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</si>
  <si>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</si>
  <si>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</si>
  <si>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</si>
  <si>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</si>
  <si>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</si>
  <si>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</si>
  <si>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</si>
  <si>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</si>
  <si>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</si>
  <si>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</si>
  <si>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</si>
  <si>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</si>
  <si>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</si>
  <si>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</si>
  <si>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</si>
  <si>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</si>
  <si>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</si>
  <si>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</si>
  <si>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</si>
  <si>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</si>
  <si>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</si>
  <si>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</si>
  <si>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</si>
  <si>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</si>
  <si>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</si>
  <si>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</si>
  <si>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</si>
  <si>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</si>
  <si>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</si>
  <si>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</si>
  <si>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</si>
  <si>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</si>
  <si>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</si>
  <si>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</si>
  <si>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</si>
  <si>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</si>
  <si>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</si>
  <si>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</si>
  <si>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</si>
  <si>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</si>
  <si>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</si>
  <si>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</si>
  <si>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</si>
  <si>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</si>
  <si>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</si>
  <si>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</si>
  <si>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</si>
  <si>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</si>
  <si>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</si>
  <si>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</si>
  <si>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</si>
  <si>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</si>
  <si>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</si>
  <si>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</si>
  <si>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</si>
  <si>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</si>
  <si>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</si>
  <si>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</si>
  <si>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</si>
  <si>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</si>
  <si>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</si>
  <si>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</si>
  <si>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</si>
  <si>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</si>
  <si>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</si>
  <si>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</si>
  <si>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</si>
  <si>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</si>
  <si>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</si>
  <si>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</si>
  <si>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</si>
  <si>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</si>
  <si>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</si>
  <si>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</si>
  <si>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</si>
  <si>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</si>
  <si>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</si>
  <si>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</si>
  <si>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</si>
  <si>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</si>
  <si>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</si>
  <si>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</si>
  <si>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</si>
  <si>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</si>
  <si>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</si>
  <si>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</si>
  <si>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</si>
  <si>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</si>
  <si>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</si>
  <si>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</si>
  <si>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</si>
  <si>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</si>
  <si>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</si>
  <si>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</si>
  <si>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</si>
  <si>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</si>
  <si>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</si>
  <si>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</si>
  <si>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</si>
  <si>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</si>
  <si>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</si>
  <si>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</si>
  <si>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</si>
  <si>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</si>
  <si>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</si>
  <si>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</si>
  <si>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</si>
  <si>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</si>
  <si>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</si>
  <si>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</si>
  <si>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</si>
  <si>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</si>
  <si>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</si>
  <si>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</si>
  <si>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</si>
  <si>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</si>
  <si>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</si>
  <si>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</si>
  <si>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</si>
  <si>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</si>
  <si>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</si>
  <si>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</si>
  <si>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</si>
  <si>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</si>
  <si>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</si>
  <si>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</si>
  <si>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</si>
  <si>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</si>
  <si>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</si>
  <si>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</si>
  <si>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</si>
  <si>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</si>
  <si>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</si>
  <si>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</si>
  <si>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</si>
  <si>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</si>
  <si>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</si>
  <si>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이노시스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</si>
  <si>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</si>
  <si>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</si>
  <si>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</si>
  <si>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</si>
  <si>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</si>
  <si>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</si>
  <si>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</si>
  <si>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</si>
  <si>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</si>
  <si>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</si>
  <si>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</si>
  <si>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</si>
  <si>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</si>
  <si>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</si>
  <si>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</si>
  <si>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</si>
  <si>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</si>
  <si>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</si>
  <si>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</si>
  <si>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</si>
  <si>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</si>
  <si>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</si>
  <si>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</si>
  <si>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</si>
  <si>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</si>
  <si>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</si>
  <si>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</si>
  <si>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</si>
  <si>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</si>
  <si>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</si>
  <si>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</si>
  <si>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</si>
  <si>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</si>
  <si>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</si>
  <si>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</si>
  <si>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</si>
  <si>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</si>
  <si>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</si>
  <si>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</si>
  <si>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</si>
  <si>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</si>
  <si>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</si>
  <si>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</si>
  <si>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</si>
  <si>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</si>
  <si>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</si>
  <si>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</si>
  <si>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</si>
  <si>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</si>
  <si>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</si>
  <si>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</si>
  <si>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</si>
  <si>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</si>
  <si>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</si>
  <si>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</si>
  <si>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</si>
  <si>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</si>
  <si>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</si>
  <si>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</si>
  <si>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</si>
  <si>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</si>
  <si>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</si>
  <si>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</si>
  <si>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</si>
  <si>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</si>
  <si>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</si>
  <si>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</si>
  <si>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</si>
  <si>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</si>
  <si>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</si>
  <si>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</si>
  <si>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</si>
  <si>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</si>
  <si>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</si>
  <si>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</si>
  <si>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</si>
  <si>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</si>
  <si>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</si>
  <si>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</si>
  <si>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</si>
  <si>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</si>
  <si>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</si>
  <si>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</si>
  <si>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</si>
  <si>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</si>
  <si>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</si>
  <si>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</si>
  <si>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</si>
  <si>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</si>
  <si>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</si>
  <si>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</si>
  <si>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</si>
  <si>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</si>
  <si>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</si>
  <si>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</si>
  <si>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</si>
  <si>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</si>
  <si>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</si>
  <si>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</si>
  <si>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</si>
  <si>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</si>
  <si>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</si>
  <si>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</si>
  <si>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</si>
  <si>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</si>
  <si>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</si>
  <si>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</si>
  <si>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</si>
  <si>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</si>
  <si>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</si>
  <si>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</si>
  <si>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</si>
  <si>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</si>
  <si>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</si>
  <si>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</si>
  <si>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</si>
  <si>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</si>
  <si>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</si>
  <si>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</si>
  <si>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</si>
  <si>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</si>
  <si>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</si>
  <si>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</si>
  <si>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</si>
  <si>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</si>
  <si>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</si>
  <si>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</si>
  <si>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</si>
  <si>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</si>
  <si>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</si>
  <si>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</si>
  <si>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</si>
  <si>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</si>
  <si>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</si>
  <si>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</si>
  <si>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</si>
  <si>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</si>
  <si>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</si>
  <si>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</si>
  <si>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</si>
  <si>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</si>
  <si>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</si>
  <si>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</si>
  <si>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</si>
  <si>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</si>
  <si>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</si>
  <si>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</si>
  <si>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</si>
  <si>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</si>
  <si>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</si>
  <si>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</si>
  <si>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</si>
  <si>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</si>
  <si>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</si>
  <si>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</si>
  <si>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</si>
  <si>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</si>
  <si>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</si>
  <si>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</si>
  <si>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</si>
  <si>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</si>
  <si>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</si>
  <si>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</si>
  <si>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</si>
  <si>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</si>
  <si>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</si>
  <si>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</si>
  <si>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</si>
  <si>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</si>
  <si>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</si>
  <si>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</si>
  <si>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</si>
  <si>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</si>
  <si>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</si>
  <si>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</si>
  <si>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</si>
  <si>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</si>
  <si>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</si>
  <si>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</si>
  <si>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</si>
  <si>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</si>
  <si>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</si>
  <si>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</si>
  <si>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</si>
  <si>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</si>
  <si>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</si>
  <si>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</si>
  <si>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</si>
  <si>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</si>
  <si>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</si>
  <si>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</si>
  <si>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</si>
  <si>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</si>
  <si>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</si>
  <si>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</si>
  <si>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</si>
  <si>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</si>
  <si>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</si>
  <si>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</si>
  <si>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</si>
  <si>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</si>
  <si>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</si>
  <si>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</si>
  <si>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</si>
  <si>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</si>
  <si>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</si>
  <si>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</si>
  <si>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</si>
  <si>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</si>
  <si>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</si>
  <si>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</si>
  <si>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</si>
  <si>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</si>
  <si>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</si>
  <si>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</si>
  <si>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</si>
  <si>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</si>
  <si>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</si>
  <si>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</si>
  <si>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</si>
  <si>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</si>
  <si>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</si>
  <si>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</si>
  <si>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</si>
  <si>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</si>
  <si>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</si>
  <si>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</si>
  <si>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</si>
  <si>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</si>
  <si>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</si>
  <si>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</si>
  <si>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</si>
  <si>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</si>
  <si>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</si>
  <si>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</si>
  <si>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</si>
  <si>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</si>
  <si>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</si>
  <si>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</si>
  <si>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</si>
  <si>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</si>
  <si>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</si>
  <si>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</si>
  <si>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</si>
  <si>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</si>
  <si>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</si>
  <si>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</si>
  <si>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</si>
  <si>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</si>
  <si>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</si>
  <si>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</si>
  <si>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</si>
  <si>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</si>
  <si>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</si>
  <si>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</si>
  <si>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</si>
  <si>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</si>
  <si>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</si>
  <si>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</si>
  <si>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</si>
  <si>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</si>
  <si>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</si>
  <si>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</si>
  <si>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</si>
  <si>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</si>
  <si>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</si>
  <si>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</si>
  <si>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</si>
  <si>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</si>
  <si>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</si>
  <si>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</si>
  <si>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</si>
  <si>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</si>
  <si>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</si>
  <si>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</si>
  <si>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</si>
  <si>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</si>
  <si>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</si>
  <si>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</si>
  <si>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</si>
  <si>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</si>
  <si>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</si>
  <si>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</si>
  <si>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</si>
  <si>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</si>
  <si>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</si>
  <si>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</si>
  <si>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</si>
  <si>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</si>
  <si>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</si>
  <si>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</si>
  <si>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</si>
  <si>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</si>
  <si>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</si>
  <si>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</si>
  <si>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</si>
  <si>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</si>
  <si>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</si>
  <si>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</si>
  <si>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</si>
  <si>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</si>
  <si>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</si>
  <si>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</si>
  <si>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</si>
  <si>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</si>
  <si>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</si>
  <si>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</si>
  <si>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</si>
  <si>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</si>
  <si>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</si>
  <si>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</si>
  <si>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</si>
  <si>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</si>
  <si>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</si>
  <si>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</si>
  <si>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</si>
  <si>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</si>
  <si>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</si>
  <si>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</si>
  <si>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</si>
  <si>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</si>
  <si>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</si>
  <si>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</si>
  <si>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</si>
  <si>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</si>
  <si>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</si>
  <si>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</si>
  <si>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</si>
  <si>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</si>
  <si>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</si>
  <si>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</si>
  <si>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</si>
  <si>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</si>
  <si>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</si>
  <si>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</si>
  <si>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</si>
  <si>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</si>
  <si>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</si>
  <si>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</si>
  <si>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</si>
  <si>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</si>
  <si>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</si>
  <si>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</si>
  <si>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</si>
  <si>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</si>
  <si>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</si>
  <si>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</si>
  <si>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</si>
  <si>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</si>
  <si>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</si>
  <si>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</si>
  <si>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</si>
  <si>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</si>
  <si>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</si>
  <si>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</si>
  <si>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</si>
  <si>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</si>
  <si>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</si>
  <si>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</si>
  <si>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</si>
  <si>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</si>
  <si>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</si>
  <si>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</si>
  <si>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</si>
  <si>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</si>
  <si>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</si>
  <si>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</si>
  <si>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</si>
  <si>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</si>
  <si>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</si>
  <si>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</si>
  <si>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</si>
  <si>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</si>
  <si>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</si>
  <si>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</si>
  <si>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</si>
  <si>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</si>
  <si>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</si>
  <si>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</si>
  <si>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</si>
  <si>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</si>
  <si>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</si>
  <si>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</si>
  <si>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</si>
  <si>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</si>
  <si>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</si>
  <si>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</si>
  <si>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</si>
  <si>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</si>
  <si>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</si>
  <si>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</si>
  <si>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</si>
  <si>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</si>
  <si>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</si>
  <si>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</si>
  <si>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</si>
  <si>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</si>
  <si>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</si>
  <si>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</si>
  <si>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</si>
  <si>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</si>
  <si>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</si>
  <si>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</si>
  <si>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</si>
  <si>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</si>
  <si>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</si>
  <si>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</si>
  <si>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</si>
  <si>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</si>
  <si>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</si>
  <si>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</si>
  <si>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</si>
  <si>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</si>
  <si>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</si>
  <si>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</si>
  <si>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</si>
  <si>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</si>
  <si>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</si>
  <si>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</si>
  <si>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</si>
  <si>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</si>
  <si>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</si>
  <si>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</si>
  <si>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</si>
  <si>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</si>
  <si>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</si>
  <si>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</si>
  <si>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</si>
  <si>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</si>
  <si>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</si>
  <si>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</si>
  <si>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</si>
  <si>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</si>
  <si>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</si>
  <si>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</si>
  <si>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</si>
  <si>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</si>
  <si>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</si>
  <si>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</si>
  <si>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</si>
  <si>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</si>
  <si>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</si>
  <si>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</si>
  <si>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</si>
  <si>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</si>
  <si>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</si>
  <si>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</si>
  <si>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</si>
  <si>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</si>
  <si>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</si>
  <si>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</si>
  <si>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</si>
  <si>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</si>
  <si>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</si>
  <si>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</si>
  <si>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</si>
  <si>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</si>
  <si>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</si>
  <si>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</si>
  <si>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</si>
  <si>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</si>
  <si>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</si>
  <si>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</si>
  <si>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</si>
  <si>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</si>
  <si>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</si>
  <si>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</si>
  <si>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</si>
  <si>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</si>
  <si>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</si>
  <si>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</si>
  <si>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</si>
  <si>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</si>
  <si>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</si>
  <si>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</si>
  <si>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</si>
  <si>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</si>
  <si>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</si>
  <si>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</si>
  <si>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</si>
  <si>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</si>
  <si>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</si>
  <si>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</si>
  <si>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</si>
  <si>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</si>
  <si>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</si>
  <si>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</si>
  <si>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</si>
  <si>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</si>
  <si>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</si>
  <si>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</si>
  <si>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</si>
  <si>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</si>
  <si>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</si>
  <si>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</si>
  <si>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</si>
  <si>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</si>
  <si>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</si>
  <si>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</si>
  <si>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</si>
  <si>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</si>
  <si>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</si>
  <si>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</si>
  <si>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</si>
  <si>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</si>
  <si>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</si>
  <si>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</si>
  <si>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</si>
  <si>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</si>
  <si>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</si>
  <si>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</si>
  <si>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</si>
  <si>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</si>
  <si>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</si>
  <si>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</si>
  <si>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</si>
  <si>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</si>
  <si>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</si>
  <si>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</si>
  <si>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</si>
  <si>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</si>
  <si>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</si>
  <si>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</si>
  <si>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</si>
  <si>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</si>
  <si>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</si>
  <si>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</si>
  <si>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</si>
  <si>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</si>
  <si>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</si>
  <si>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</si>
  <si>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</si>
  <si>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</si>
  <si>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</si>
  <si>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</si>
  <si>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</si>
  <si>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</si>
  <si>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</si>
  <si>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</si>
  <si>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</si>
  <si>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</si>
  <si>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</si>
  <si>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</si>
  <si>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</si>
  <si>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</si>
  <si>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</si>
  <si>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</si>
  <si>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</si>
  <si>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</si>
  <si>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</si>
  <si>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</si>
  <si>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</si>
  <si>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</si>
  <si>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</si>
  <si>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</si>
  <si>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</si>
  <si>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</si>
  <si>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</si>
  <si>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</si>
  <si>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</si>
  <si>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</si>
  <si>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</si>
  <si>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</si>
  <si>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</si>
  <si>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</si>
  <si>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</si>
  <si>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</si>
  <si>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</si>
  <si>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</si>
  <si>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</si>
  <si>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</si>
  <si>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</si>
  <si>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</si>
  <si>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</si>
  <si>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</si>
  <si>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</si>
  <si>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</si>
  <si>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</si>
  <si>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</si>
  <si>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</si>
  <si>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</si>
  <si>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</si>
  <si>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</si>
  <si>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</si>
  <si>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</si>
  <si>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</si>
  <si>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</si>
  <si>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</si>
  <si>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</si>
  <si>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</si>
  <si>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</si>
  <si>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</si>
  <si>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</si>
  <si>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</si>
  <si>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</si>
  <si>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</si>
  <si>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</si>
  <si>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</si>
  <si>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</si>
  <si>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</si>
  <si>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</si>
  <si>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</si>
  <si>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</si>
  <si>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</si>
  <si>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</si>
  <si>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</si>
  <si>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</si>
  <si>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</si>
  <si>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</si>
  <si>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</si>
  <si>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</si>
  <si>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</si>
  <si>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</si>
  <si>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</si>
  <si>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</si>
  <si>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</si>
  <si>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</si>
  <si>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</si>
  <si>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</si>
  <si>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</si>
  <si>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</si>
  <si>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</si>
  <si>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</si>
  <si>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</si>
  <si>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</si>
  <si>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</si>
  <si>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</si>
  <si>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</si>
  <si>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</si>
  <si>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</si>
  <si>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</si>
  <si>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</si>
  <si>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</si>
  <si>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</si>
  <si>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</si>
  <si>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</si>
  <si>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</si>
  <si>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</si>
  <si>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</si>
  <si>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</si>
  <si>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</si>
  <si>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</si>
  <si>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</si>
  <si>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</si>
  <si>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</si>
  <si>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</si>
  <si>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</si>
  <si>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</si>
  <si>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</si>
  <si>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</si>
  <si>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</si>
  <si>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</si>
  <si>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</si>
  <si>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</si>
  <si>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</si>
  <si>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</si>
  <si>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</si>
  <si>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</si>
  <si>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</si>
  <si>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</si>
  <si>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</si>
  <si>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</si>
  <si>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</si>
  <si>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</si>
  <si>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</si>
  <si>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</si>
  <si>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</si>
  <si>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</si>
  <si>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</si>
  <si>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</si>
  <si>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</si>
  <si>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</si>
  <si>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</si>
  <si>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</si>
  <si>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</si>
  <si>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</si>
  <si>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</si>
  <si>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</si>
  <si>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</si>
  <si>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</si>
  <si>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</si>
  <si>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</si>
  <si>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</si>
  <si>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</si>
  <si>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</si>
  <si>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</si>
  <si>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</si>
  <si>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</si>
  <si>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</si>
  <si>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</si>
  <si>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</si>
  <si>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</si>
  <si>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</si>
  <si>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</si>
  <si>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</si>
  <si>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</si>
  <si>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</si>
  <si>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</si>
  <si>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</si>
  <si>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</si>
  <si>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</si>
  <si>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</si>
  <si>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</si>
  <si>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</si>
  <si>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</si>
  <si>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</si>
  <si>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</si>
  <si>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</si>
  <si>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</si>
  <si>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</si>
  <si>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</si>
  <si>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</si>
  <si>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</si>
  <si>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</si>
  <si>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</si>
  <si>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</si>
  <si>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</si>
  <si>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</si>
  <si>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</si>
  <si>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</si>
  <si>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사업시설 유지·관리 서비스업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</si>
  <si>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</si>
  <si>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</si>
  <si>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</si>
  <si>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</si>
  <si>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</si>
  <si>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</si>
  <si>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산업용 농·축산물 및 동·식물 도매업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</si>
  <si>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</si>
  <si>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</si>
  <si>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</si>
  <si>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</si>
  <si>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</si>
  <si>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</si>
  <si>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</si>
  <si>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</si>
  <si>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</si>
  <si>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</si>
  <si>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</si>
  <si>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</si>
  <si>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</si>
  <si>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</si>
  <si>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</si>
  <si>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</si>
  <si>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</si>
  <si>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</si>
  <si>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</si>
  <si>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</si>
  <si>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</si>
  <si>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</si>
  <si>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</si>
  <si>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</si>
  <si>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</si>
  <si>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</si>
  <si>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</si>
  <si>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</si>
  <si>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</si>
  <si>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</si>
  <si>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</si>
  <si>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</si>
  <si>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</si>
  <si>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</si>
  <si>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</si>
  <si>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</si>
  <si>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</si>
  <si>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</si>
  <si>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</si>
  <si>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</si>
  <si>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</si>
  <si>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</si>
  <si>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</si>
  <si>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</si>
  <si>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</si>
  <si>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</si>
  <si>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</si>
  <si>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</si>
  <si>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</si>
  <si>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</si>
  <si>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</si>
  <si>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</si>
  <si>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</si>
  <si>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</si>
  <si>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</si>
  <si>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</si>
  <si>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</si>
  <si>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</si>
  <si>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</si>
  <si>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</si>
  <si>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</si>
  <si>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</si>
  <si>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</si>
  <si>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</si>
  <si>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</si>
  <si>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</si>
  <si>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</si>
  <si>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</si>
  <si>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</si>
  <si>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</si>
  <si>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</si>
  <si>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</si>
  <si>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</si>
  <si>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</si>
  <si>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</si>
  <si>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</si>
  <si>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</si>
  <si>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</si>
  <si>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</si>
  <si>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</si>
  <si>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</si>
  <si>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</si>
  <si>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</si>
  <si>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</si>
  <si>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</si>
  <si>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</si>
  <si>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</si>
  <si>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</si>
  <si>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</si>
  <si>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</si>
  <si>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</si>
  <si>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</si>
  <si>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</si>
  <si>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</si>
  <si>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</si>
  <si>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</si>
  <si>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</si>
  <si>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</si>
  <si>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시스템통합(SI), 시스템유지(SM)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</si>
  <si>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</si>
  <si>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</si>
  <si>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</si>
  <si>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</si>
  <si>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</si>
  <si>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</si>
  <si>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</si>
  <si>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</si>
  <si>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</si>
  <si>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</si>
  <si>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</si>
  <si>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</si>
  <si>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</si>
  <si>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</si>
  <si>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</si>
  <si>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</si>
  <si>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</si>
  <si>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</si>
  <si>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</si>
  <si>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</si>
  <si>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</si>
  <si>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</si>
  <si>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</si>
  <si>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</si>
  <si>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</si>
  <si>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</si>
  <si>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</si>
  <si>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</si>
  <si>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</si>
  <si>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</si>
  <si>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</si>
  <si>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</si>
  <si>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</si>
  <si>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</si>
  <si>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Earth &amp; Aerospace Manufacturing Ind. Co., Ltd.</t>
  </si>
  <si>
    <t>어스앤에어로스페이스</t>
  </si>
  <si>
    <t>도어시스템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</si>
  <si>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</si>
  <si>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</si>
  <si>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</si>
  <si>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</si>
  <si>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</si>
  <si>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</si>
  <si>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</si>
  <si>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</si>
  <si>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</si>
  <si>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</si>
  <si>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</si>
  <si>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</si>
  <si>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</si>
  <si>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</si>
  <si>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</si>
  <si>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</si>
  <si>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</si>
  <si>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</si>
  <si>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</si>
  <si>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</si>
  <si>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</si>
  <si>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</si>
  <si>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</si>
  <si>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</si>
  <si>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</si>
  <si>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</si>
  <si>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</si>
  <si>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</si>
  <si>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</si>
  <si>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</si>
  <si>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</si>
  <si>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</si>
  <si>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</si>
  <si>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</si>
  <si>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</si>
  <si>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</si>
  <si>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</si>
  <si>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</si>
  <si>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</si>
  <si>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</si>
  <si>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</si>
  <si>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</si>
  <si>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</si>
  <si>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</si>
  <si>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</si>
  <si>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</si>
  <si>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</si>
  <si>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</si>
  <si>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</si>
  <si>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</si>
  <si>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</si>
  <si>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</si>
  <si>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</si>
  <si>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</si>
  <si>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</si>
  <si>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</si>
  <si>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</si>
  <si>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</si>
  <si>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</si>
  <si>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</si>
  <si>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</si>
  <si>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</si>
  <si>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</si>
  <si>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</si>
  <si>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</si>
  <si>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</si>
  <si>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</si>
  <si>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</si>
  <si>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</si>
  <si>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</si>
  <si>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</si>
  <si>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</si>
  <si>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</si>
  <si>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</si>
  <si>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</si>
  <si>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</si>
  <si>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전분제품 및 당류 제조업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</si>
  <si>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</si>
  <si>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</si>
  <si>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</si>
  <si>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</si>
  <si>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</si>
  <si>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</si>
  <si>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</si>
  <si>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</si>
  <si>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</si>
  <si>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</si>
  <si>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</si>
  <si>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</si>
  <si>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</si>
  <si>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</si>
  <si>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</si>
  <si>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</si>
  <si>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</si>
  <si>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</si>
  <si>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</si>
  <si>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</si>
  <si>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</si>
  <si>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</si>
  <si>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</si>
  <si>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</si>
  <si>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</si>
  <si>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</si>
  <si>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</si>
  <si>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</si>
  <si>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</si>
  <si>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</si>
  <si>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</si>
  <si>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</si>
  <si>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</si>
  <si>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</si>
  <si>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</si>
  <si>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</si>
  <si>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</si>
  <si>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</si>
  <si>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</si>
  <si>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</si>
  <si>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</si>
  <si>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</si>
  <si>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</si>
  <si>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</si>
  <si>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</si>
  <si>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</si>
  <si>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</si>
  <si>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</si>
  <si>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</si>
  <si>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</si>
  <si>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</si>
  <si>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</si>
  <si>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</si>
  <si>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</si>
  <si>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</si>
  <si>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</si>
  <si>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</si>
  <si>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</si>
  <si>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</si>
  <si>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</si>
  <si>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</si>
  <si>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</si>
  <si>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</si>
  <si>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</si>
  <si>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</si>
  <si>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</si>
  <si>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</si>
  <si>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</si>
  <si>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</si>
  <si>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</si>
  <si>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</si>
  <si>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</si>
  <si>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</si>
  <si>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</si>
  <si>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</si>
  <si>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</si>
  <si>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</si>
  <si>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</si>
  <si>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</si>
  <si>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</si>
  <si>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</si>
  <si>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</si>
  <si>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</si>
  <si>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ISE Commerce Company Limited</t>
  </si>
  <si>
    <t>아이에스이커머스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</si>
  <si>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</si>
  <si>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</si>
  <si>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</si>
  <si>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</si>
  <si>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</si>
  <si>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</si>
  <si>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</si>
  <si>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</si>
  <si>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</si>
  <si>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</si>
  <si>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</si>
  <si>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</si>
  <si>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</si>
  <si>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</si>
  <si>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</si>
  <si>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</si>
  <si>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</si>
  <si>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</si>
  <si>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</si>
  <si>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</si>
  <si>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</si>
  <si>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</si>
  <si>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</si>
  <si>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</si>
  <si>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</si>
  <si>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</si>
  <si>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</si>
  <si>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</si>
  <si>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</si>
  <si>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</si>
  <si>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</si>
  <si>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</si>
  <si>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구영테크</t>
  </si>
  <si>
    <t>엔진 브라켓(Engine Bracket) 등</t>
  </si>
  <si>
    <t>www.guyoungtech.com</t>
  </si>
  <si>
    <t>041520 KS Equity</t>
  </si>
  <si>
    <t>A041520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</si>
  <si>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</si>
  <si>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</si>
  <si>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</si>
  <si>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</si>
  <si>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</si>
  <si>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</si>
  <si>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</si>
  <si>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</si>
  <si>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</si>
  <si>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</si>
  <si>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</si>
  <si>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</si>
  <si>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</si>
  <si>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</si>
  <si>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</si>
  <si>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</si>
  <si>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</si>
  <si>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</si>
  <si>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</si>
  <si>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</si>
  <si>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</si>
  <si>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</si>
  <si>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</si>
  <si>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</si>
  <si>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</si>
  <si>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</si>
  <si>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</si>
  <si>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</si>
  <si>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</si>
  <si>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</si>
  <si>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</si>
  <si>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</si>
  <si>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</si>
  <si>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</si>
  <si>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</si>
  <si>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</si>
  <si>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</si>
  <si>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</si>
  <si>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</si>
  <si>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</si>
  <si>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</si>
  <si>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</si>
  <si>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</si>
  <si>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</si>
  <si>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</si>
  <si>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</si>
  <si>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</si>
  <si>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</si>
  <si>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</si>
  <si>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</si>
  <si>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</si>
  <si>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</si>
  <si>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</si>
  <si>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</si>
  <si>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</si>
  <si>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</si>
  <si>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</si>
  <si>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</si>
  <si>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</si>
  <si>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</si>
  <si>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</si>
  <si>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</si>
  <si>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</si>
  <si>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</si>
  <si>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</si>
  <si>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</si>
  <si>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</si>
  <si>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</si>
  <si>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</si>
  <si>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</si>
  <si>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</si>
  <si>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</si>
  <si>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</si>
  <si>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</si>
  <si>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</si>
  <si>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</si>
  <si>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</si>
  <si>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</si>
  <si>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</si>
  <si>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</si>
  <si>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</si>
  <si>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</si>
  <si>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</si>
  <si>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</si>
  <si>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</si>
  <si>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</si>
  <si>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</si>
  <si>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</si>
  <si>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</si>
  <si>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</si>
  <si>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</si>
  <si>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</si>
  <si>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</si>
  <si>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</si>
  <si>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</si>
  <si>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</si>
  <si>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</si>
  <si>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</si>
  <si>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</si>
  <si>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</si>
  <si>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</si>
  <si>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</si>
  <si>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</si>
  <si>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</si>
  <si>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</si>
  <si>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</si>
  <si>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</si>
  <si>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</si>
  <si>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</si>
  <si>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</si>
  <si>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</si>
  <si>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</si>
  <si>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</si>
  <si>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</si>
  <si>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</si>
  <si>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</si>
  <si>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</si>
  <si>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</si>
  <si>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</si>
  <si>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</si>
  <si>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</si>
  <si>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</si>
  <si>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</si>
  <si>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</si>
  <si>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</si>
  <si>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</si>
  <si>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</si>
  <si>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</si>
  <si>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</si>
  <si>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</si>
  <si>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</si>
  <si>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</si>
  <si>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</si>
  <si>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</si>
  <si>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</si>
  <si>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</si>
  <si>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</si>
  <si>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</si>
  <si>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</si>
  <si>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</si>
  <si>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</si>
  <si>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</si>
  <si>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</si>
  <si>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</si>
  <si>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</si>
  <si>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</si>
  <si>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</si>
  <si>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</si>
  <si>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</si>
  <si>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</si>
  <si>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</si>
  <si>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</si>
  <si>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</si>
  <si>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</si>
  <si>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</si>
  <si>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</si>
  <si>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</si>
  <si>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</si>
  <si>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</si>
  <si>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</si>
  <si>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</si>
  <si>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</si>
  <si>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</si>
  <si>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</si>
  <si>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</si>
  <si>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</si>
  <si>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</si>
  <si>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</si>
  <si>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</si>
  <si>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</si>
  <si>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</si>
  <si>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</si>
  <si>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</si>
  <si>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</si>
  <si>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</si>
  <si>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</si>
  <si>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</si>
  <si>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</si>
  <si>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</si>
  <si>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</si>
  <si>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</si>
  <si>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</si>
  <si>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</si>
  <si>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</si>
  <si>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</si>
  <si>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</si>
  <si>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</si>
  <si>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</si>
  <si>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</si>
  <si>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</si>
  <si>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</si>
  <si>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</si>
  <si>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</si>
  <si>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</si>
  <si>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</si>
  <si>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</si>
  <si>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</si>
  <si>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</si>
  <si>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</si>
  <si>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</si>
  <si>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</si>
  <si>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</si>
  <si>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</si>
  <si>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</si>
  <si>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</si>
  <si>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</si>
  <si>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</si>
  <si>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</si>
  <si>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</si>
  <si>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</si>
  <si>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</si>
  <si>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</si>
  <si>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</si>
  <si>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</si>
  <si>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</si>
  <si>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</si>
  <si>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</si>
  <si>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</si>
  <si>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</si>
  <si>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</si>
  <si>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</si>
  <si>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</si>
  <si>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</si>
  <si>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</si>
  <si>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</si>
  <si>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</si>
  <si>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</si>
  <si>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</si>
  <si>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</si>
  <si>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</si>
  <si>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</si>
  <si>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</si>
  <si>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</si>
  <si>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</si>
  <si>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</si>
  <si>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</si>
  <si>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</si>
  <si>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</si>
  <si>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</si>
  <si>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</si>
  <si>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</si>
  <si>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</si>
  <si>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</si>
  <si>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</si>
  <si>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</si>
  <si>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</si>
  <si>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</si>
  <si>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</si>
  <si>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</si>
  <si>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</si>
  <si>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</si>
  <si>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</si>
  <si>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</si>
  <si>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</si>
  <si>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</si>
  <si>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</si>
  <si>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</si>
  <si>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</si>
  <si>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</si>
  <si>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</si>
  <si>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</si>
  <si>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</si>
  <si>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</si>
  <si>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</si>
  <si>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</si>
  <si>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</si>
  <si>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</si>
  <si>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</si>
  <si>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</si>
  <si>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</si>
  <si>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</si>
  <si>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</si>
  <si>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</si>
  <si>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</si>
  <si>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</si>
  <si>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</si>
  <si>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</si>
  <si>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</si>
  <si>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</si>
  <si>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</si>
  <si>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</si>
  <si>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</si>
  <si>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</si>
  <si>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</si>
  <si>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</si>
  <si>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</si>
  <si>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</si>
  <si>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</si>
  <si>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</si>
  <si>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</si>
  <si>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</si>
  <si>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</si>
  <si>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</si>
  <si>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</si>
  <si>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</si>
  <si>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</si>
  <si>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</si>
  <si>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</si>
  <si>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</si>
  <si>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</si>
  <si>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</si>
  <si>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</si>
  <si>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</si>
  <si>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</si>
  <si>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</si>
  <si>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</si>
  <si>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</si>
  <si>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</si>
  <si>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</si>
  <si>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</si>
  <si>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</si>
  <si>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</si>
  <si>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</si>
  <si>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</si>
  <si>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</si>
  <si>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</si>
  <si>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</si>
  <si>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</si>
  <si>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</si>
  <si>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</si>
  <si>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</si>
  <si>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</si>
  <si>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</si>
  <si>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</si>
  <si>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</si>
  <si>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</si>
  <si>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</si>
  <si>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</si>
  <si>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</si>
  <si>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</si>
  <si>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</si>
  <si>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</si>
  <si>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</si>
  <si>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</si>
  <si>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</si>
  <si>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</si>
  <si>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</si>
  <si>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</si>
  <si>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</si>
  <si>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</si>
  <si>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</si>
  <si>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</si>
  <si>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</si>
  <si>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</si>
  <si>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</si>
  <si>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</si>
  <si>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</si>
  <si>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</si>
  <si>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</si>
  <si>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</si>
  <si>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</si>
  <si>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</si>
  <si>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</si>
  <si>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</si>
  <si>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</si>
  <si>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</si>
  <si>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</si>
  <si>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</si>
  <si>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</si>
  <si>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</si>
  <si>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</si>
  <si>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</si>
  <si>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</si>
  <si>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</si>
  <si>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</si>
  <si>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</si>
  <si>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</si>
  <si>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</si>
  <si>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</si>
  <si>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</si>
  <si>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</si>
  <si>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</si>
  <si>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</si>
  <si>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</si>
  <si>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</si>
  <si>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</si>
  <si>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</si>
  <si>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</si>
  <si>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</si>
  <si>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</si>
  <si>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</si>
  <si>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</si>
  <si>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</si>
  <si>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</si>
  <si>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</si>
  <si>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</si>
  <si>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</si>
  <si>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</si>
  <si>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</si>
  <si>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</si>
  <si>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</si>
  <si>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</si>
  <si>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</si>
  <si>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</si>
  <si>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</si>
  <si>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</si>
  <si>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</si>
  <si>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</si>
  <si>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</si>
  <si>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</si>
  <si>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</si>
  <si>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</si>
  <si>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</si>
  <si>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</si>
  <si>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</si>
  <si>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</si>
  <si>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</si>
  <si>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</si>
  <si>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</si>
  <si>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</si>
  <si>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</si>
  <si>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</si>
  <si>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</si>
  <si>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</si>
  <si>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</si>
  <si>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</si>
  <si>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</si>
  <si>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</si>
  <si>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</si>
  <si>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</si>
  <si>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</si>
  <si>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</si>
  <si>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</si>
  <si>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</si>
  <si>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</si>
  <si>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</si>
  <si>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</si>
  <si>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</si>
  <si>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</si>
  <si>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</si>
  <si>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</si>
  <si>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</si>
  <si>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</si>
  <si>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</si>
  <si>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</si>
  <si>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</si>
  <si>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</si>
  <si>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</si>
  <si>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</si>
  <si>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</si>
  <si>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</si>
  <si>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</si>
  <si>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</si>
  <si>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</si>
  <si>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</si>
  <si>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</si>
  <si>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</si>
  <si>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</si>
  <si>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</si>
  <si>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</si>
  <si>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</si>
  <si>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</si>
  <si>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</si>
  <si>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</si>
  <si>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</si>
  <si>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</si>
  <si>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</si>
  <si>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</si>
  <si>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</si>
  <si>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</si>
  <si>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</si>
  <si>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</si>
  <si>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</si>
  <si>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</si>
  <si>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</si>
  <si>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</si>
  <si>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</si>
  <si>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</si>
  <si>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</si>
  <si>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</si>
  <si>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</si>
  <si>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</si>
  <si>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</si>
  <si>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</si>
  <si>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</si>
  <si>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</si>
  <si>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</si>
  <si>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</si>
  <si>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</si>
  <si>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</si>
  <si>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</si>
  <si>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</si>
  <si>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</si>
  <si>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</si>
  <si>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</si>
  <si>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</si>
  <si>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</si>
  <si>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</si>
  <si>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</si>
  <si>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</si>
  <si>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</si>
  <si>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</si>
  <si>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</si>
  <si>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</si>
  <si>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</si>
  <si>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</si>
  <si>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</si>
  <si>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</si>
  <si>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</si>
  <si>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</si>
  <si>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</si>
  <si>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</si>
  <si>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</si>
  <si>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</si>
  <si>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</si>
  <si>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</si>
  <si>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</si>
  <si>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</si>
  <si>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</si>
  <si>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</si>
  <si>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</si>
  <si>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</si>
  <si>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</si>
  <si>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</si>
  <si>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</si>
  <si>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</si>
  <si>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</si>
  <si>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</si>
  <si>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</si>
  <si>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</si>
  <si>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</si>
  <si>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</si>
  <si>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</si>
  <si>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</si>
  <si>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</si>
  <si>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</si>
  <si>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</si>
  <si>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</si>
  <si>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</si>
  <si>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</si>
  <si>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</si>
  <si>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</si>
  <si>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</si>
  <si>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</si>
  <si>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</si>
  <si>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</si>
  <si>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</si>
  <si>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</si>
  <si>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</si>
  <si>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</si>
  <si>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</si>
  <si>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</si>
  <si>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</si>
  <si>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</si>
  <si>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</si>
  <si>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</si>
  <si>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</si>
  <si>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</si>
  <si>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</si>
  <si>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</si>
  <si>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</si>
  <si>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</si>
  <si>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</si>
  <si>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</si>
  <si>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</si>
  <si>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</si>
  <si>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</si>
  <si>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</si>
  <si>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</si>
  <si>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</si>
  <si>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전자카드 제조업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</si>
  <si>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</si>
  <si>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</si>
  <si>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</si>
  <si>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</si>
  <si>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</si>
  <si>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</si>
  <si>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</si>
  <si>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</si>
  <si>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</si>
  <si>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</si>
  <si>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</si>
  <si>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</si>
  <si>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</si>
  <si>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</si>
  <si>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</si>
  <si>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</si>
  <si>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</si>
  <si>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</si>
  <si>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</si>
  <si>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</si>
  <si>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</si>
  <si>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</si>
  <si>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</si>
  <si>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</si>
  <si>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</si>
  <si>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</si>
  <si>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</si>
  <si>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</si>
  <si>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</si>
  <si>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</si>
  <si>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</si>
  <si>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</si>
  <si>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</si>
  <si>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</si>
  <si>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</si>
  <si>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</si>
  <si>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</si>
  <si>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</si>
  <si>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</si>
  <si>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</si>
  <si>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</si>
  <si>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</si>
  <si>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</si>
  <si>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</si>
  <si>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</si>
  <si>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</si>
  <si>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</si>
  <si>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</si>
  <si>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</si>
  <si>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</si>
  <si>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</si>
  <si>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</si>
  <si>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</si>
  <si>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</si>
  <si>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</si>
  <si>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</si>
  <si>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</si>
  <si>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</si>
  <si>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</si>
  <si>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</si>
  <si>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</si>
  <si>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</si>
  <si>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</si>
  <si>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</si>
  <si>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</si>
  <si>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</si>
  <si>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</si>
  <si>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</si>
  <si>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</si>
  <si>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</si>
  <si>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</si>
  <si>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</si>
  <si>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</si>
  <si>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</si>
  <si>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</si>
  <si>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</si>
  <si>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</si>
  <si>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</si>
  <si>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</si>
  <si>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</si>
  <si>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</si>
  <si>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</si>
  <si>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</si>
  <si>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</si>
  <si>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</si>
  <si>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</si>
  <si>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</si>
  <si>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</si>
  <si>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</si>
  <si>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</si>
  <si>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</si>
  <si>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</si>
  <si>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</si>
  <si>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</si>
  <si>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</si>
  <si>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</si>
  <si>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</si>
  <si>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</si>
  <si>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</si>
  <si>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</si>
  <si>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</si>
  <si>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</si>
  <si>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</si>
  <si>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</si>
  <si>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</si>
  <si>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</si>
  <si>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</si>
  <si>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</si>
  <si>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</si>
  <si>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</si>
  <si>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</si>
  <si>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</si>
  <si>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</si>
  <si>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</si>
  <si>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</si>
  <si>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</si>
  <si>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</si>
  <si>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</si>
  <si>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</si>
  <si>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</si>
  <si>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</si>
  <si>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</si>
  <si>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</si>
  <si>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</si>
  <si>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</si>
  <si>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</si>
  <si>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</si>
  <si>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</si>
  <si>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</si>
  <si>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</si>
  <si>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</si>
  <si>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</si>
  <si>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</si>
  <si>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</si>
  <si>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</si>
  <si>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</si>
  <si>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</si>
  <si>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</si>
  <si>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</si>
  <si>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</si>
  <si>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</si>
  <si>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</si>
  <si>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</si>
  <si>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</si>
  <si>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</si>
  <si>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</si>
  <si>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</si>
  <si>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</si>
  <si>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</si>
  <si>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</si>
  <si>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</si>
  <si>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</si>
  <si>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</si>
  <si>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</si>
  <si>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</si>
  <si>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</si>
  <si>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</si>
  <si>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</si>
  <si>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</si>
  <si>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</si>
  <si>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</si>
  <si>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</si>
  <si>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</si>
  <si>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</si>
  <si>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</si>
  <si>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</si>
  <si>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</si>
  <si>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</si>
  <si>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</si>
  <si>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</si>
  <si>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</si>
  <si>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</si>
  <si>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</si>
  <si>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</si>
  <si>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</si>
  <si>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</si>
  <si>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</si>
  <si>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</si>
  <si>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</si>
  <si>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</si>
  <si>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</si>
  <si>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</si>
  <si>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</si>
  <si>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</si>
  <si>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</si>
  <si>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</si>
  <si>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</si>
  <si>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</si>
  <si>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</si>
  <si>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</si>
  <si>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</si>
  <si>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</si>
  <si>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</si>
  <si>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</si>
  <si>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</si>
  <si>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</si>
  <si>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</si>
  <si>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</si>
  <si>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</si>
  <si>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</si>
  <si>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</si>
  <si>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</si>
  <si>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</si>
  <si>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</si>
  <si>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</si>
  <si>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</si>
  <si>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</si>
  <si>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</si>
  <si>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</si>
  <si>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</si>
  <si>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</si>
  <si>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</si>
  <si>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</si>
  <si>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</si>
  <si>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</si>
  <si>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</si>
  <si>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</si>
  <si>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</si>
  <si>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</si>
  <si>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</si>
  <si>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</si>
  <si>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</si>
  <si>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</si>
  <si>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</si>
  <si>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</si>
  <si>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</si>
  <si>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</si>
  <si>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</si>
  <si>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</si>
  <si>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</si>
  <si>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</si>
  <si>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</si>
  <si>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</si>
  <si>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</si>
  <si>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</si>
  <si>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</si>
  <si>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</si>
  <si>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</si>
  <si>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</si>
  <si>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</si>
  <si>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</si>
  <si>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</si>
  <si>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</si>
  <si>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</si>
  <si>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</si>
  <si>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</si>
  <si>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</si>
  <si>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</si>
  <si>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</si>
  <si>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</si>
  <si>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</si>
  <si>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</si>
  <si>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</si>
  <si>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</si>
  <si>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</si>
  <si>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</si>
  <si>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</si>
  <si>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</si>
  <si>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</si>
  <si>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</si>
  <si>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</si>
  <si>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</si>
  <si>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</si>
  <si>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</si>
  <si>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</si>
  <si>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</si>
  <si>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</si>
  <si>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</si>
  <si>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</si>
  <si>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</si>
  <si>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</si>
  <si>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</si>
  <si>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</si>
  <si>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</si>
  <si>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</si>
  <si>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</si>
  <si>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</si>
  <si>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</si>
  <si>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</si>
  <si>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</si>
  <si>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</si>
  <si>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</si>
  <si>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</si>
  <si>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</si>
  <si>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</si>
  <si>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</si>
  <si>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</si>
  <si>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</si>
  <si>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</si>
  <si>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</si>
  <si>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</si>
  <si>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</si>
  <si>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</si>
  <si>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</si>
  <si>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</si>
  <si>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</si>
  <si>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</si>
  <si>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</si>
  <si>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</si>
  <si>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</si>
  <si>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</si>
  <si>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</si>
  <si>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</si>
  <si>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</si>
  <si>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</si>
  <si>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</si>
  <si>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</si>
  <si>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</si>
  <si>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</si>
  <si>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</si>
  <si>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</si>
  <si>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</si>
  <si>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</si>
  <si>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</si>
  <si>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</si>
  <si>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</si>
  <si>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</si>
  <si>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</si>
  <si>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</si>
  <si>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</si>
  <si>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</si>
  <si>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</si>
  <si>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</si>
  <si>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</si>
  <si>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</si>
  <si>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</si>
  <si>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</si>
  <si>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</si>
  <si>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</si>
  <si>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</si>
  <si>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</si>
  <si>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</si>
  <si>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</si>
  <si>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</si>
  <si>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</si>
  <si>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</si>
  <si>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</si>
  <si>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</si>
  <si>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</si>
  <si>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</si>
  <si>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</si>
  <si>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</si>
  <si>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</si>
  <si>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</si>
  <si>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</si>
  <si>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</si>
  <si>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</si>
  <si>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</si>
  <si>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</si>
  <si>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</si>
  <si>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</si>
  <si>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Westrise Co., Ltd.</t>
  </si>
  <si>
    <t>웨스트라이즈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</si>
  <si>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</si>
  <si>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</si>
  <si>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</si>
  <si>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</si>
  <si>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</si>
  <si>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</si>
  <si>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</si>
  <si>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</si>
  <si>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</si>
  <si>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</si>
  <si>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</si>
  <si>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</si>
  <si>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</si>
  <si>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</si>
  <si>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</si>
  <si>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</si>
  <si>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</si>
  <si>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</si>
  <si>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</si>
  <si>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</si>
  <si>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</si>
  <si>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</si>
  <si>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</si>
  <si>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</si>
  <si>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</si>
  <si>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</si>
  <si>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</si>
  <si>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</si>
  <si>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</si>
  <si>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</si>
  <si>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</si>
  <si>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</si>
  <si>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</si>
  <si>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</si>
  <si>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</si>
  <si>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</si>
  <si>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</si>
  <si>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</si>
  <si>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</si>
  <si>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</si>
  <si>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</si>
  <si>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</si>
  <si>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</si>
  <si>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</si>
  <si>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</si>
  <si>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</si>
  <si>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</si>
  <si>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</si>
  <si>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</si>
  <si>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</si>
  <si>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</si>
  <si>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</si>
  <si>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</si>
  <si>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</si>
  <si>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</si>
  <si>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</si>
  <si>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</si>
  <si>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</si>
  <si>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</si>
  <si>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</si>
  <si>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</si>
  <si>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</si>
  <si>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</si>
  <si>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</si>
  <si>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</si>
  <si>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</si>
  <si>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</si>
  <si>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</si>
  <si>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</si>
  <si>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</si>
  <si>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</si>
  <si>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</si>
  <si>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</si>
  <si>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</si>
  <si>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</si>
  <si>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</si>
  <si>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</si>
  <si>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</si>
  <si>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</si>
  <si>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</si>
  <si>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</si>
  <si>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</si>
  <si>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</si>
  <si>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</si>
  <si>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</si>
  <si>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</si>
  <si>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</si>
  <si>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</si>
  <si>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</si>
  <si>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</si>
  <si>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</si>
  <si>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</si>
  <si>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</si>
  <si>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</si>
  <si>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</si>
  <si>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</si>
  <si>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</si>
  <si>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</si>
  <si>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</si>
  <si>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</si>
  <si>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</si>
  <si>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</si>
  <si>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</si>
  <si>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</si>
  <si>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</si>
  <si>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</si>
  <si>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</si>
  <si>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</si>
  <si>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</si>
  <si>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</si>
  <si>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</si>
  <si>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</si>
  <si>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</si>
  <si>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</si>
  <si>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</si>
  <si>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</si>
  <si>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</si>
  <si>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</si>
  <si>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</si>
  <si>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</si>
  <si>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</si>
  <si>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</si>
  <si>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</si>
  <si>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</si>
  <si>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</si>
  <si>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</si>
  <si>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</si>
  <si>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</si>
  <si>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</si>
  <si>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</si>
  <si>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</si>
  <si>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</si>
  <si>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</si>
  <si>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</si>
  <si>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</si>
  <si>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</si>
  <si>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</si>
  <si>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</si>
  <si>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</si>
  <si>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</si>
  <si>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</si>
  <si>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</si>
  <si>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</si>
  <si>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</si>
  <si>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</si>
  <si>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</si>
  <si>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</si>
  <si>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</si>
  <si>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</si>
  <si>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</si>
  <si>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</si>
  <si>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</si>
  <si>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</si>
  <si>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</si>
  <si>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</si>
  <si>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</si>
  <si>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</si>
  <si>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</si>
  <si>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</si>
  <si>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</si>
  <si>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</si>
  <si>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</si>
  <si>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</si>
  <si>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</si>
  <si>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</si>
  <si>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</si>
  <si>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</si>
  <si>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</si>
  <si>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</si>
  <si>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</si>
  <si>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</si>
  <si>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</si>
  <si>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</si>
  <si>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</si>
  <si>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</si>
  <si>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</si>
  <si>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</si>
  <si>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</si>
  <si>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</si>
  <si>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</si>
  <si>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</si>
  <si>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</si>
  <si>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</si>
  <si>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</si>
  <si>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</si>
  <si>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</si>
  <si>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</si>
  <si>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</si>
  <si>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</si>
  <si>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</si>
  <si>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</si>
  <si>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</si>
  <si>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</si>
  <si>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</si>
  <si>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</si>
  <si>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</si>
  <si>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</si>
  <si>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</si>
  <si>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</si>
  <si>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</si>
  <si>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</si>
  <si>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</si>
  <si>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</si>
  <si>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</si>
  <si>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</si>
  <si>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</si>
  <si>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</si>
  <si>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</si>
  <si>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</si>
  <si>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</si>
  <si>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</si>
  <si>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</si>
  <si>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</si>
  <si>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</si>
  <si>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</si>
  <si>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</si>
  <si>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</si>
  <si>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</si>
  <si>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</si>
  <si>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</si>
  <si>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</si>
  <si>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</si>
  <si>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</si>
  <si>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</si>
  <si>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</si>
  <si>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</si>
  <si>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</si>
  <si>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</si>
  <si>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</si>
  <si>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</si>
  <si>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</si>
  <si>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</si>
  <si>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</si>
  <si>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</si>
  <si>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</si>
  <si>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</si>
  <si>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</si>
  <si>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</si>
  <si>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</si>
  <si>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</si>
  <si>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</si>
  <si>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</si>
  <si>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</si>
  <si>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</si>
  <si>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</si>
  <si>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</si>
  <si>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</si>
  <si>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</si>
  <si>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</si>
  <si>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</si>
  <si>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</si>
  <si>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</si>
  <si>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</si>
  <si>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</si>
  <si>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</si>
  <si>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래몽래인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</si>
  <si>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</si>
  <si>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</si>
  <si>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</si>
  <si>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</si>
  <si>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</si>
  <si>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</si>
  <si>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</si>
  <si>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</si>
  <si>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</si>
  <si>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</si>
  <si>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</si>
  <si>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</si>
  <si>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</si>
  <si>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</si>
  <si>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</si>
  <si>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</si>
  <si>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</si>
  <si>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</si>
  <si>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</si>
  <si>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</si>
  <si>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</si>
  <si>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</si>
  <si>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</si>
  <si>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</si>
  <si>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</si>
  <si>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</si>
  <si>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</si>
  <si>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</si>
  <si>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</si>
  <si>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</si>
  <si>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</si>
  <si>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</si>
  <si>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</si>
  <si>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</si>
  <si>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</si>
  <si>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</si>
  <si>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</si>
  <si>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</si>
  <si>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</si>
  <si>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</si>
  <si>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</si>
  <si>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</si>
  <si>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</si>
  <si>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</si>
  <si>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</si>
  <si>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</si>
  <si>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</si>
  <si>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</si>
  <si>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</si>
  <si>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</si>
  <si>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</si>
  <si>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</si>
  <si>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</si>
  <si>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</si>
  <si>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</si>
  <si>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</si>
  <si>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</si>
  <si>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</si>
  <si>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</si>
  <si>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</si>
  <si>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</si>
  <si>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</si>
  <si>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</si>
  <si>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</si>
  <si>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</si>
  <si>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</si>
  <si>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</si>
  <si>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</si>
  <si>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</si>
  <si>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</si>
  <si>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</si>
  <si>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</si>
  <si>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</si>
  <si>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</si>
  <si>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</si>
  <si>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</si>
  <si>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</si>
  <si>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</si>
  <si>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</si>
  <si>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</si>
  <si>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</si>
  <si>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</si>
  <si>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</si>
  <si>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</si>
  <si>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</si>
  <si>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</si>
  <si>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</si>
  <si>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</si>
  <si>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</si>
  <si>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</si>
  <si>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</si>
  <si>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</si>
  <si>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</si>
  <si>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</si>
  <si>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</si>
  <si>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</si>
  <si>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</si>
  <si>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</si>
  <si>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</si>
  <si>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</si>
  <si>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</si>
  <si>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</si>
  <si>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</si>
  <si>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</si>
  <si>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</si>
  <si>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</si>
  <si>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</si>
  <si>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</si>
  <si>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</si>
  <si>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</si>
  <si>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</si>
  <si>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</si>
  <si>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</si>
  <si>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</si>
  <si>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</si>
  <si>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</si>
  <si>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</si>
  <si>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</si>
  <si>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</si>
  <si>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</si>
  <si>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</si>
  <si>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</si>
  <si>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</si>
  <si>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</si>
  <si>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</si>
  <si>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</si>
  <si>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</si>
  <si>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</si>
  <si>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</si>
  <si>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</si>
  <si>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</si>
  <si>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</si>
  <si>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</si>
  <si>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</si>
  <si>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</si>
  <si>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</si>
  <si>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</si>
  <si>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</si>
  <si>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</si>
  <si>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</si>
  <si>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</si>
  <si>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</si>
  <si>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</si>
  <si>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</si>
  <si>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</si>
  <si>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</si>
  <si>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</si>
  <si>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</si>
  <si>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</si>
  <si>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</si>
  <si>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</si>
  <si>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</si>
  <si>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</si>
  <si>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</si>
  <si>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</si>
  <si>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</si>
  <si>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</si>
  <si>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</si>
  <si>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</si>
  <si>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</si>
  <si>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</si>
  <si>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</si>
  <si>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</si>
  <si>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</si>
  <si>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</si>
  <si>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</si>
  <si>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</si>
  <si>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</si>
  <si>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</si>
  <si>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</si>
  <si>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</si>
  <si>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</si>
  <si>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</si>
  <si>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</si>
  <si>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</si>
  <si>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</si>
  <si>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</si>
  <si>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동주물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</si>
  <si>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</si>
  <si>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</si>
  <si>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</si>
  <si>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</si>
  <si>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</si>
  <si>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</si>
  <si>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</si>
  <si>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</si>
  <si>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</si>
  <si>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</si>
  <si>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</si>
  <si>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</si>
  <si>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</si>
  <si>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</si>
  <si>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</si>
  <si>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</si>
  <si>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</si>
  <si>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</si>
  <si>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</si>
  <si>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</si>
  <si>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</si>
  <si>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</si>
  <si>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</si>
  <si>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</si>
  <si>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</si>
  <si>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</si>
  <si>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</si>
  <si>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</si>
  <si>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</si>
  <si>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</si>
  <si>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</si>
  <si>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</si>
  <si>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</si>
  <si>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</si>
  <si>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</si>
  <si>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</si>
  <si>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</si>
  <si>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</si>
  <si>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</si>
  <si>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</si>
  <si>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</si>
  <si>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</si>
  <si>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</si>
  <si>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</si>
  <si>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</si>
  <si>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</si>
  <si>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</si>
  <si>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</si>
  <si>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</si>
  <si>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</si>
  <si>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</si>
  <si>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</si>
  <si>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</si>
  <si>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</si>
  <si>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</si>
  <si>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</si>
  <si>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</si>
  <si>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</si>
  <si>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</si>
  <si>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</si>
  <si>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</si>
  <si>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</si>
  <si>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</si>
  <si>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</si>
  <si>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</si>
  <si>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</si>
  <si>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</si>
  <si>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</si>
  <si>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</si>
  <si>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</si>
  <si>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</si>
  <si>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</si>
  <si>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</si>
  <si>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</si>
  <si>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</si>
  <si>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</si>
  <si>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</si>
  <si>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</si>
  <si>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DAEWOO ELECTRONIC COMPONENTS</t>
  </si>
  <si>
    <t>대우부품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</si>
  <si>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</si>
  <si>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</si>
  <si>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</si>
  <si>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</si>
  <si>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</si>
  <si>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</si>
  <si>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</si>
  <si>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</si>
  <si>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</si>
  <si>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</si>
  <si>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</si>
  <si>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</si>
  <si>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</si>
  <si>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</si>
  <si>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</si>
  <si>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</si>
  <si>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</si>
  <si>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</si>
  <si>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</si>
  <si>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</si>
  <si>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</si>
  <si>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</si>
  <si>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</si>
  <si>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</si>
  <si>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</si>
  <si>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</si>
  <si>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</si>
  <si>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</si>
  <si>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</si>
  <si>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</si>
  <si>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</si>
  <si>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</si>
  <si>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</si>
  <si>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</si>
  <si>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</si>
  <si>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</si>
  <si>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</si>
  <si>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</si>
  <si>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</si>
  <si>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</si>
  <si>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</si>
  <si>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</si>
  <si>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</si>
  <si>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</si>
  <si>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</si>
  <si>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</si>
  <si>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</si>
  <si>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</si>
  <si>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</si>
  <si>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</si>
  <si>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</si>
  <si>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</si>
  <si>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</si>
  <si>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</si>
  <si>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</si>
  <si>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</si>
  <si>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</si>
  <si>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</si>
  <si>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</si>
  <si>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</si>
  <si>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</si>
  <si>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</si>
  <si>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</si>
  <si>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</si>
  <si>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</si>
  <si>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</si>
  <si>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</si>
  <si>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</si>
  <si>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</si>
  <si>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</si>
  <si>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</si>
  <si>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</si>
  <si>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</si>
  <si>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</si>
  <si>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</si>
  <si>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</si>
  <si>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</si>
  <si>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</si>
  <si>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</si>
  <si>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</si>
  <si>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</si>
  <si>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</si>
  <si>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</si>
  <si>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</si>
  <si>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</si>
  <si>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</si>
  <si>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</si>
  <si>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</si>
  <si>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</si>
  <si>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</si>
  <si>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</si>
  <si>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</si>
  <si>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</si>
  <si>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</si>
  <si>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</si>
  <si>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</si>
  <si>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</si>
  <si>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</si>
  <si>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</si>
  <si>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</si>
  <si>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</si>
  <si>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</si>
  <si>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</si>
  <si>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</si>
  <si>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</si>
  <si>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</si>
  <si>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</si>
  <si>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</si>
  <si>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</si>
  <si>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</si>
  <si>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</si>
  <si>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</si>
  <si>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</si>
  <si>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</si>
  <si>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</si>
  <si>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</si>
  <si>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</si>
  <si>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</si>
  <si>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</si>
  <si>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</si>
  <si>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</si>
  <si>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</si>
  <si>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</si>
  <si>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</si>
  <si>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</si>
  <si>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</si>
  <si>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</si>
  <si>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</si>
  <si>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</si>
  <si>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</si>
  <si>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</si>
  <si>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</si>
  <si>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</si>
  <si>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</si>
  <si>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</si>
  <si>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</si>
  <si>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</si>
  <si>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</si>
  <si>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</si>
  <si>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</si>
  <si>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</si>
  <si>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</si>
  <si>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</si>
  <si>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</si>
  <si>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</si>
  <si>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</si>
  <si>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</si>
  <si>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</si>
  <si>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</si>
  <si>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</si>
  <si>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</si>
  <si>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</si>
  <si>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</si>
  <si>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</si>
  <si>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</si>
  <si>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</si>
  <si>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</si>
  <si>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</si>
  <si>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</si>
  <si>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</si>
  <si>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</si>
  <si>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</si>
  <si>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</si>
  <si>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</si>
  <si>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ITX-AI Co., Ltd.</t>
  </si>
  <si>
    <t>ITX-AI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</si>
  <si>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</si>
  <si>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</si>
  <si>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</si>
  <si>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</si>
  <si>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</si>
  <si>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</si>
  <si>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</si>
  <si>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</si>
  <si>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</si>
  <si>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</si>
  <si>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</si>
  <si>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</si>
  <si>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</si>
  <si>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</si>
  <si>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</si>
  <si>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</si>
  <si>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</si>
  <si>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</si>
  <si>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</si>
  <si>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</si>
  <si>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</si>
  <si>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</si>
  <si>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</si>
  <si>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</si>
  <si>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</si>
  <si>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</si>
  <si>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</si>
  <si>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</si>
  <si>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</si>
  <si>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</si>
  <si>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</si>
  <si>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</si>
  <si>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</si>
  <si>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</si>
  <si>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</si>
  <si>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</si>
  <si>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</si>
  <si>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</si>
  <si>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</si>
  <si>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</si>
  <si>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</si>
  <si>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</si>
  <si>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</si>
  <si>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</si>
  <si>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</si>
  <si>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</si>
  <si>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</si>
  <si>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</si>
  <si>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</si>
  <si>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</si>
  <si>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</si>
  <si>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</si>
  <si>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</si>
  <si>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</si>
  <si>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</si>
  <si>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</si>
  <si>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</si>
  <si>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</si>
  <si>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</si>
  <si>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</si>
  <si>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</si>
  <si>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</si>
  <si>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</si>
  <si>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</si>
  <si>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</si>
  <si>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</si>
  <si>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</si>
  <si>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</si>
  <si>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</si>
  <si>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</si>
  <si>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</si>
  <si>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</si>
  <si>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</si>
  <si>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</si>
  <si>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</si>
  <si>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</si>
  <si>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</si>
  <si>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</si>
  <si>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</si>
  <si>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</si>
  <si>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</si>
  <si>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</si>
  <si>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</si>
  <si>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</si>
  <si>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</si>
  <si>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</si>
  <si>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</si>
  <si>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Tli Inc.</t>
  </si>
  <si>
    <t>티엘아이</t>
  </si>
  <si>
    <t>LCDTV및모니터용TimingController</t>
  </si>
  <si>
    <t>www.tli.co.kr</t>
  </si>
  <si>
    <t>246960 KS Equity</t>
  </si>
  <si>
    <t>A246960</t>
  </si>
  <si>
    <t>의료용지혈제, 밀폐제 및 접착제</t>
  </si>
  <si>
    <t>http://www.innotherapy.com</t>
  </si>
  <si>
    <t>142760 KS Equity</t>
  </si>
  <si>
    <t>A142760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</si>
  <si>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</si>
  <si>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</si>
  <si>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</si>
  <si>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</si>
  <si>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</si>
  <si>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</si>
  <si>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</si>
  <si>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</si>
  <si>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</si>
  <si>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</si>
  <si>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</si>
  <si>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</si>
  <si>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</si>
  <si>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</si>
  <si>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</si>
  <si>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</si>
  <si>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</si>
  <si>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</si>
  <si>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</si>
  <si>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</si>
  <si>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</si>
  <si>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</si>
  <si>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</si>
  <si>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</si>
  <si>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</si>
  <si>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</si>
  <si>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</si>
  <si>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</si>
  <si>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</si>
  <si>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</si>
  <si>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</si>
  <si>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</si>
  <si>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</si>
  <si>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</si>
  <si>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</si>
  <si>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</si>
  <si>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</si>
  <si>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</si>
  <si>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</si>
  <si>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</si>
  <si>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</si>
  <si>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</si>
  <si>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</si>
  <si>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</si>
  <si>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</si>
  <si>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</si>
  <si>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</si>
  <si>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</si>
  <si>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</si>
  <si>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</si>
  <si>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</si>
  <si>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</si>
  <si>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</si>
  <si>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</si>
  <si>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</si>
  <si>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</si>
  <si>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</si>
  <si>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</si>
  <si>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</si>
  <si>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</si>
  <si>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</si>
  <si>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</si>
  <si>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</si>
  <si>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</si>
  <si>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</si>
  <si>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</si>
  <si>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</si>
  <si>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</si>
  <si>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</si>
  <si>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</si>
  <si>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</si>
  <si>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</si>
  <si>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</si>
  <si>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</si>
  <si>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</si>
  <si>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</si>
  <si>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</si>
  <si>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ADM KOREA Inc.</t>
  </si>
  <si>
    <t>에이디엠코리아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</si>
  <si>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</si>
  <si>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</si>
  <si>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</si>
  <si>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</si>
  <si>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</si>
  <si>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</si>
  <si>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</si>
  <si>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</si>
  <si>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</si>
  <si>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</si>
  <si>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</si>
  <si>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</si>
  <si>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</si>
  <si>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</si>
  <si>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</si>
  <si>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</si>
  <si>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</si>
  <si>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</si>
  <si>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</si>
  <si>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</si>
  <si>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</si>
  <si>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</si>
  <si>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</si>
  <si>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</si>
  <si>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</si>
  <si>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</si>
  <si>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</si>
  <si>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</si>
  <si>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</si>
  <si>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</si>
  <si>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</si>
  <si>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</si>
  <si>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</si>
  <si>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</si>
  <si>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</si>
  <si>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</si>
  <si>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</si>
  <si>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</si>
  <si>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</si>
  <si>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</si>
  <si>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</si>
  <si>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</si>
  <si>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</si>
  <si>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</si>
  <si>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</si>
  <si>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</si>
  <si>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</si>
  <si>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</si>
  <si>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</si>
  <si>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</si>
  <si>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</si>
  <si>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</si>
  <si>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</si>
  <si>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</si>
  <si>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</si>
  <si>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</si>
  <si>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</si>
  <si>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</si>
  <si>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</si>
  <si>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</si>
  <si>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</si>
  <si>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</si>
  <si>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</si>
  <si>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</si>
  <si>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</si>
  <si>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</si>
  <si>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</si>
  <si>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</si>
  <si>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</si>
  <si>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</si>
  <si>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</si>
  <si>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</si>
  <si>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</si>
  <si>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</si>
  <si>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</si>
  <si>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</si>
  <si>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</si>
  <si>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</si>
  <si>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</si>
  <si>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Blue Filter, IR Filter, Camera Module</t>
  </si>
  <si>
    <t>www.nanosm.com</t>
  </si>
  <si>
    <t>198440 KS Equity</t>
  </si>
  <si>
    <t>A198440</t>
  </si>
  <si>
    <t>KOREA CEMENT Co., Ltd.</t>
  </si>
  <si>
    <t>고려시멘트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</si>
  <si>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</si>
  <si>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</si>
  <si>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</si>
  <si>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</si>
  <si>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</si>
  <si>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</si>
  <si>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</si>
  <si>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</si>
  <si>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</si>
  <si>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</si>
  <si>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</si>
  <si>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</si>
  <si>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</si>
  <si>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</si>
  <si>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</si>
  <si>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</si>
  <si>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</si>
  <si>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</si>
  <si>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</si>
  <si>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</si>
  <si>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</si>
  <si>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</si>
  <si>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</si>
  <si>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SMEDI</t>
  </si>
  <si>
    <t>에스메디</t>
  </si>
  <si>
    <t>의료기기 도매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</si>
  <si>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</si>
  <si>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</si>
  <si>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</si>
  <si>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</si>
  <si>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</si>
  <si>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</si>
  <si>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</si>
  <si>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</si>
  <si>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</si>
  <si>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</si>
  <si>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</si>
  <si>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</si>
  <si>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</si>
  <si>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</si>
  <si>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</si>
  <si>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</si>
  <si>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</si>
  <si>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</si>
  <si>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</si>
  <si>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</si>
  <si>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</si>
  <si>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</si>
  <si>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</si>
  <si>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</si>
  <si>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</si>
  <si>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</si>
  <si>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</si>
  <si>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</si>
  <si>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</si>
  <si>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</si>
  <si>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</si>
  <si>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</si>
  <si>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</si>
  <si>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</si>
  <si>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</si>
  <si>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</si>
  <si>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</si>
  <si>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</si>
  <si>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</si>
  <si>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</si>
  <si>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</si>
  <si>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</si>
  <si>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</si>
  <si>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isMedia Co., Ltd.</t>
  </si>
  <si>
    <t>이즈미디어</t>
  </si>
  <si>
    <t>카메라모듈테스터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</si>
  <si>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</si>
  <si>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</si>
  <si>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</si>
  <si>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</si>
  <si>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</si>
  <si>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</si>
  <si>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</si>
  <si>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</si>
  <si>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</si>
  <si>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</si>
  <si>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</si>
  <si>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</si>
  <si>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</si>
  <si>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</si>
  <si>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</si>
  <si>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</si>
  <si>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</si>
  <si>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</si>
  <si>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</si>
  <si>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</si>
  <si>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</si>
  <si>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</si>
  <si>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</si>
  <si>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</si>
  <si>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</si>
  <si>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</si>
  <si>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</si>
  <si>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</si>
  <si>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</si>
  <si>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</si>
  <si>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</si>
  <si>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</si>
  <si>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</si>
  <si>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</si>
  <si>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</si>
  <si>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</si>
  <si>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</si>
  <si>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</si>
  <si>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</si>
  <si>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</si>
  <si>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</si>
  <si>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</si>
  <si>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</si>
  <si>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</si>
  <si>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</si>
  <si>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</si>
  <si>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</si>
  <si>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</si>
  <si>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</si>
  <si>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</si>
  <si>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</si>
  <si>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</si>
  <si>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</si>
  <si>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</si>
  <si>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</si>
  <si>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</si>
  <si>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</si>
  <si>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</si>
  <si>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</si>
  <si>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</si>
  <si>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</si>
  <si>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</si>
  <si>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</si>
  <si>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</si>
  <si>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</si>
  <si>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</si>
  <si>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</si>
  <si>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</si>
  <si>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</si>
  <si>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</si>
  <si>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</si>
  <si>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</si>
  <si>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</si>
  <si>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</si>
  <si>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</si>
  <si>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</si>
  <si>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</si>
  <si>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</si>
  <si>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</si>
  <si>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</si>
  <si>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</si>
  <si>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</si>
  <si>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</si>
  <si>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</si>
  <si>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</si>
  <si>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</si>
  <si>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</si>
  <si>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</si>
  <si>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</si>
  <si>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</si>
  <si>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</si>
  <si>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</si>
  <si>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</si>
  <si>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</si>
  <si>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</si>
  <si>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</si>
  <si>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</si>
  <si>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</si>
  <si>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</si>
  <si>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</si>
  <si>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</si>
  <si>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</si>
  <si>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</si>
  <si>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</si>
  <si>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</si>
  <si>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</si>
  <si>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</si>
  <si>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</si>
  <si>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</si>
  <si>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</si>
  <si>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</si>
  <si>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</si>
  <si>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</si>
  <si>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</si>
  <si>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</si>
  <si>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</si>
  <si>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</si>
  <si>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</si>
  <si>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</si>
  <si>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</si>
  <si>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</si>
  <si>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</si>
  <si>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</si>
  <si>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</si>
  <si>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</si>
  <si>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</si>
  <si>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</si>
  <si>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</si>
  <si>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</si>
  <si>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</si>
  <si>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</si>
  <si>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</si>
  <si>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</si>
  <si>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</si>
  <si>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</si>
  <si>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</si>
  <si>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</si>
  <si>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</si>
  <si>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</si>
  <si>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</si>
  <si>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</si>
  <si>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</si>
  <si>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</si>
  <si>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신재생에너지관련장비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</si>
  <si>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</si>
  <si>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</si>
  <si>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</si>
  <si>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</si>
  <si>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</si>
  <si>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</si>
  <si>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</si>
  <si>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</si>
  <si>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</si>
  <si>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</si>
  <si>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</si>
  <si>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</si>
  <si>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</si>
  <si>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</si>
  <si>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</si>
  <si>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</si>
  <si>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</si>
  <si>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</si>
  <si>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</si>
  <si>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</si>
  <si>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</si>
  <si>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</si>
  <si>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</si>
  <si>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</si>
  <si>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</si>
  <si>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</si>
  <si>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</si>
  <si>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</si>
  <si>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</si>
  <si>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</si>
  <si>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</si>
  <si>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</si>
  <si>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</si>
  <si>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</si>
  <si>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</si>
  <si>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</si>
  <si>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</si>
  <si>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</si>
  <si>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</si>
  <si>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</si>
  <si>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</si>
  <si>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</si>
  <si>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</si>
  <si>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</si>
  <si>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</si>
  <si>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</si>
  <si>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</si>
  <si>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</si>
  <si>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</si>
  <si>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</si>
  <si>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</si>
  <si>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</si>
  <si>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</si>
  <si>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</si>
  <si>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</si>
  <si>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</si>
  <si>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</si>
  <si>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</si>
  <si>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</si>
  <si>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</si>
  <si>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</si>
  <si>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ECM, DIODE, LED Light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</si>
  <si>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</si>
  <si>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</si>
  <si>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</si>
  <si>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</si>
  <si>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</si>
  <si>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</si>
  <si>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</si>
  <si>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</si>
  <si>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</si>
  <si>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</si>
  <si>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</si>
  <si>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</si>
  <si>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</si>
  <si>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</si>
  <si>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</si>
  <si>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</si>
  <si>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</si>
  <si>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</si>
  <si>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</si>
  <si>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</si>
  <si>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</si>
  <si>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</si>
  <si>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</si>
  <si>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</si>
  <si>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</si>
  <si>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</si>
  <si>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</si>
  <si>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</si>
  <si>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</si>
  <si>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</si>
  <si>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</si>
  <si>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</si>
  <si>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</si>
  <si>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</si>
  <si>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</si>
  <si>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</si>
  <si>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</si>
  <si>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</si>
  <si>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</si>
  <si>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</si>
  <si>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</si>
  <si>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</si>
  <si>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</si>
  <si>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</si>
  <si>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</si>
  <si>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</si>
  <si>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</si>
  <si>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</si>
  <si>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</si>
  <si>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</si>
  <si>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</si>
  <si>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</si>
  <si>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</si>
  <si>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</si>
  <si>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</si>
  <si>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</si>
  <si>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</si>
  <si>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</si>
  <si>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</si>
  <si>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</si>
  <si>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</si>
  <si>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</si>
  <si>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</si>
  <si>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</si>
  <si>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</si>
  <si>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</si>
  <si>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</si>
  <si>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</si>
  <si>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</si>
  <si>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</si>
  <si>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</si>
  <si>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</si>
  <si>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</si>
  <si>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</si>
  <si>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</si>
  <si>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</si>
  <si>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</si>
  <si>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</si>
  <si>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</si>
  <si>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</si>
  <si>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</si>
  <si>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</si>
  <si>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</si>
  <si>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</si>
  <si>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</si>
  <si>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</si>
  <si>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</si>
  <si>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</si>
  <si>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</si>
  <si>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</si>
  <si>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</si>
  <si>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</si>
  <si>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</si>
  <si>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</si>
  <si>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</si>
  <si>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</si>
  <si>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</si>
  <si>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</si>
  <si>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</si>
  <si>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</si>
  <si>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</si>
  <si>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</si>
  <si>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</si>
  <si>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</si>
  <si>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</si>
  <si>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</si>
  <si>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</si>
  <si>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</si>
  <si>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</si>
  <si>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</si>
  <si>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</si>
  <si>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</si>
  <si>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</si>
  <si>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</si>
  <si>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</si>
  <si>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</si>
  <si>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</si>
  <si>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</si>
  <si>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</si>
  <si>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</si>
  <si>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</si>
  <si>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</si>
  <si>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가공업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</si>
  <si>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</si>
  <si>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</si>
  <si>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</si>
  <si>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</si>
  <si>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</si>
  <si>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</si>
  <si>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</si>
  <si>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</si>
  <si>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</si>
  <si>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</si>
  <si>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</si>
  <si>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</si>
  <si>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</si>
  <si>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</si>
  <si>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</si>
  <si>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</si>
  <si>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</si>
  <si>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</si>
  <si>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</si>
  <si>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</si>
  <si>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</si>
  <si>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</si>
  <si>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</si>
  <si>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</si>
  <si>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</si>
  <si>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</si>
  <si>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</si>
  <si>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</si>
  <si>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</si>
  <si>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</si>
  <si>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</si>
  <si>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</si>
  <si>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</si>
  <si>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</si>
  <si>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</si>
  <si>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</si>
  <si>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</si>
  <si>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</si>
  <si>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</si>
  <si>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</si>
  <si>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</si>
  <si>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</si>
  <si>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</si>
  <si>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</si>
  <si>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</si>
  <si>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</si>
  <si>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</si>
  <si>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www.nuritelecom.co.kr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</si>
  <si>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</si>
  <si>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</si>
  <si>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</si>
  <si>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</si>
  <si>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</si>
  <si>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</si>
  <si>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</si>
  <si>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</si>
  <si>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</si>
  <si>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</si>
  <si>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</si>
  <si>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</si>
  <si>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</si>
  <si>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</si>
  <si>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</si>
  <si>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</si>
  <si>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</si>
  <si>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</si>
  <si>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</si>
  <si>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</si>
  <si>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</si>
  <si>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</si>
  <si>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</si>
  <si>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</si>
  <si>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</si>
  <si>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</si>
  <si>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</si>
  <si>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</si>
  <si>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</si>
  <si>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</si>
  <si>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</si>
  <si>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</si>
  <si>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</si>
  <si>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</si>
  <si>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</si>
  <si>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</si>
  <si>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</si>
  <si>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</si>
  <si>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</si>
  <si>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</si>
  <si>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</si>
  <si>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</si>
  <si>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</si>
  <si>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</si>
  <si>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</si>
  <si>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</si>
  <si>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</si>
  <si>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</si>
  <si>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</si>
  <si>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</si>
  <si>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</si>
  <si>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</si>
  <si>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</si>
  <si>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</si>
  <si>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</si>
  <si>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</si>
  <si>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</si>
  <si>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</si>
  <si>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</si>
  <si>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</si>
  <si>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</si>
  <si>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</si>
  <si>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</si>
  <si>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</si>
  <si>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</si>
  <si>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</si>
  <si>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</si>
  <si>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</si>
  <si>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</si>
  <si>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</si>
  <si>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</si>
  <si>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</si>
  <si>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</si>
  <si>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</si>
  <si>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</si>
  <si>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</si>
  <si>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</si>
  <si>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</si>
  <si>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</si>
  <si>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</si>
  <si>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</si>
  <si>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</si>
  <si>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</si>
  <si>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</si>
  <si>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</si>
  <si>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</si>
  <si>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</si>
  <si>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</si>
  <si>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</si>
  <si>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</si>
  <si>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</si>
  <si>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</si>
  <si>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</si>
  <si>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</si>
  <si>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</si>
  <si>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</si>
  <si>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</si>
  <si>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</si>
  <si>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</si>
  <si>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</si>
  <si>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</si>
  <si>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</si>
  <si>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</si>
  <si>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</si>
  <si>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</si>
  <si>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</si>
  <si>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</si>
  <si>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</si>
  <si>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</si>
  <si>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</si>
  <si>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</si>
  <si>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</si>
  <si>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</si>
  <si>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</si>
  <si>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</si>
  <si>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</si>
  <si>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</si>
  <si>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</si>
  <si>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</si>
  <si>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</si>
  <si>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</si>
  <si>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</si>
  <si>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</si>
  <si>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</si>
  <si>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</si>
  <si>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</si>
  <si>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</si>
  <si>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</si>
  <si>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</si>
  <si>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</si>
  <si>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</si>
  <si>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</si>
  <si>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</si>
  <si>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</si>
  <si>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</si>
  <si>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</si>
  <si>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</si>
  <si>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</si>
  <si>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</si>
  <si>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</si>
  <si>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</si>
  <si>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</si>
  <si>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</si>
  <si>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</si>
  <si>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</si>
  <si>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</si>
  <si>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</si>
  <si>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</si>
  <si>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</si>
  <si>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</si>
  <si>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</si>
  <si>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</si>
  <si>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</si>
  <si>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</si>
  <si>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</si>
  <si>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</si>
  <si>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</si>
  <si>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</si>
  <si>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</si>
  <si>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</si>
  <si>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</si>
  <si>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</si>
  <si>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</si>
  <si>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</si>
  <si>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</si>
  <si>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</si>
  <si>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</si>
  <si>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</si>
  <si>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</si>
  <si>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</si>
  <si>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</si>
  <si>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</si>
  <si>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</si>
  <si>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</si>
  <si>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</si>
  <si>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</si>
  <si>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</si>
  <si>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</si>
  <si>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</si>
  <si>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</si>
  <si>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</si>
  <si>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</si>
  <si>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</si>
  <si>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</si>
  <si>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</si>
  <si>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</si>
  <si>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</si>
  <si>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</si>
  <si>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</si>
  <si>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</si>
  <si>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</si>
  <si>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</si>
  <si>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</si>
  <si>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</si>
  <si>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</si>
  <si>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</si>
  <si>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</si>
  <si>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</si>
  <si>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</si>
  <si>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</si>
  <si>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</si>
  <si>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</si>
  <si>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</si>
  <si>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</si>
  <si>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</si>
  <si>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</si>
  <si>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</si>
  <si>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</si>
  <si>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</si>
  <si>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</si>
  <si>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</si>
  <si>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</si>
  <si>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</si>
  <si>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</si>
  <si>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</si>
  <si>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</si>
  <si>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</si>
  <si>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</si>
  <si>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</si>
  <si>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</si>
  <si>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</si>
  <si>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</si>
  <si>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</si>
  <si>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</si>
  <si>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</si>
  <si>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</si>
  <si>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</si>
  <si>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</si>
  <si>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</si>
  <si>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</si>
  <si>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</si>
  <si>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</si>
  <si>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</si>
  <si>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</si>
  <si>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</si>
  <si>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</si>
  <si>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</si>
  <si>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</si>
  <si>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</si>
  <si>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</si>
  <si>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</si>
  <si>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</si>
  <si>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</si>
  <si>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</si>
  <si>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</si>
  <si>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</si>
  <si>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</si>
  <si>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</si>
  <si>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</si>
  <si>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</si>
  <si>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</si>
  <si>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</si>
  <si>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</si>
  <si>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</si>
  <si>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</si>
  <si>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</si>
  <si>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</si>
  <si>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</si>
  <si>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</si>
  <si>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</si>
  <si>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</si>
  <si>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</si>
  <si>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</si>
  <si>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</si>
  <si>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</si>
  <si>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</si>
  <si>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</si>
  <si>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</si>
  <si>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</si>
  <si>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</si>
  <si>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NewGLAB Pharma CO., LTD.</t>
  </si>
  <si>
    <t>뉴지랩파마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</si>
  <si>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</si>
  <si>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</si>
  <si>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</si>
  <si>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</si>
  <si>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</si>
  <si>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</si>
  <si>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</si>
  <si>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</si>
  <si>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</si>
  <si>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</si>
  <si>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</si>
  <si>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</si>
  <si>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</si>
  <si>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</si>
  <si>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Kukdong</t>
  </si>
  <si>
    <t>국동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</si>
  <si>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</si>
  <si>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</si>
  <si>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</si>
  <si>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</si>
  <si>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</si>
  <si>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</si>
  <si>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</si>
  <si>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</si>
  <si>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</si>
  <si>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</si>
  <si>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</si>
  <si>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</si>
  <si>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</si>
  <si>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</si>
  <si>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</si>
  <si>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</si>
  <si>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</si>
  <si>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</si>
  <si>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</si>
  <si>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</si>
  <si>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</si>
  <si>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</si>
  <si>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</si>
  <si>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</si>
  <si>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</si>
  <si>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</si>
  <si>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</si>
  <si>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</si>
  <si>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</si>
  <si>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</si>
  <si>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</si>
  <si>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</si>
  <si>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</si>
  <si>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</si>
  <si>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</si>
  <si>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</si>
  <si>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</si>
  <si>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</si>
  <si>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</si>
  <si>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</si>
  <si>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</si>
  <si>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</si>
  <si>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</si>
  <si>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</si>
  <si>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</si>
  <si>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</si>
  <si>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</si>
  <si>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</si>
  <si>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</si>
  <si>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</si>
  <si>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</si>
  <si>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</si>
  <si>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</si>
  <si>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</si>
  <si>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</si>
  <si>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</si>
  <si>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</si>
  <si>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</si>
  <si>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</si>
  <si>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</si>
  <si>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</si>
  <si>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</si>
  <si>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</si>
  <si>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</si>
  <si>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</si>
  <si>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</si>
  <si>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</si>
  <si>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</si>
  <si>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</si>
  <si>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</si>
  <si>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</si>
  <si>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</si>
  <si>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</si>
  <si>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</si>
  <si>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</si>
  <si>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</si>
  <si>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</si>
  <si>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</si>
  <si>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</si>
  <si>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</si>
  <si>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</si>
  <si>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</si>
  <si>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</si>
  <si>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</si>
  <si>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</si>
  <si>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</si>
  <si>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</si>
  <si>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</si>
  <si>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</si>
  <si>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</si>
  <si>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</si>
  <si>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</si>
  <si>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</si>
  <si>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</si>
  <si>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</si>
  <si>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</si>
  <si>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</si>
  <si>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</si>
  <si>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</si>
  <si>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</si>
  <si>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</si>
  <si>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</si>
  <si>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</si>
  <si>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</si>
  <si>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</si>
  <si>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</si>
  <si>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</si>
  <si>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</si>
  <si>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</si>
  <si>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</si>
  <si>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</si>
  <si>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</si>
  <si>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</si>
  <si>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</si>
  <si>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</si>
  <si>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</si>
  <si>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</si>
  <si>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</si>
  <si>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</si>
  <si>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</si>
  <si>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</si>
  <si>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</si>
  <si>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</si>
  <si>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</si>
  <si>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</si>
  <si>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</si>
  <si>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</si>
  <si>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</si>
  <si>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</si>
  <si>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</si>
  <si>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</si>
  <si>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</si>
  <si>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</si>
  <si>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</si>
  <si>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</si>
  <si>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Sangsangin Industry Co., Ltd.</t>
  </si>
  <si>
    <t>상상인인더스트리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</si>
  <si>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</si>
  <si>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</si>
  <si>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</si>
  <si>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</si>
  <si>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</si>
  <si>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</si>
  <si>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</si>
  <si>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</si>
  <si>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</si>
  <si>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</si>
  <si>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</si>
  <si>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</si>
  <si>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</si>
  <si>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</si>
  <si>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</si>
  <si>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</si>
  <si>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</si>
  <si>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</si>
  <si>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</si>
  <si>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</si>
  <si>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</si>
  <si>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</si>
  <si>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</si>
  <si>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</si>
  <si>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</si>
  <si>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</si>
  <si>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</si>
  <si>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</si>
  <si>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</si>
  <si>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</si>
  <si>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</si>
  <si>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</si>
  <si>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</si>
  <si>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</si>
  <si>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</si>
  <si>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</si>
  <si>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</si>
  <si>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</si>
  <si>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</si>
  <si>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</si>
  <si>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</si>
  <si>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</si>
  <si>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LONGTU KOREA Inc.</t>
  </si>
  <si>
    <t>룽투코리아</t>
  </si>
  <si>
    <t>모바일게임(열혈강호,검과마법)</t>
  </si>
  <si>
    <t>www.longtukorea.com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</si>
  <si>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</si>
  <si>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</si>
  <si>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</si>
  <si>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</si>
  <si>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</si>
  <si>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</si>
  <si>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</si>
  <si>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</si>
  <si>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</si>
  <si>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</si>
  <si>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</si>
  <si>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</si>
  <si>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</si>
  <si>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</si>
  <si>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</si>
  <si>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</si>
  <si>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</si>
  <si>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</si>
  <si>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</si>
  <si>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</si>
  <si>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</si>
  <si>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</si>
  <si>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</si>
  <si>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</si>
  <si>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</si>
  <si>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</si>
  <si>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</si>
  <si>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</si>
  <si>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</si>
  <si>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</si>
  <si>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</si>
  <si>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</si>
  <si>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</si>
  <si>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</si>
  <si>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</si>
  <si>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</si>
  <si>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</si>
  <si>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</si>
  <si>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</si>
  <si>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</si>
  <si>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</si>
  <si>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</si>
  <si>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</si>
  <si>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</si>
  <si>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</si>
  <si>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</si>
  <si>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</si>
  <si>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</si>
  <si>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</si>
  <si>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</si>
  <si>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</si>
  <si>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</si>
  <si>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</si>
  <si>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</si>
  <si>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</si>
  <si>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</si>
  <si>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</si>
  <si>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</si>
  <si>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</si>
  <si>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</si>
  <si>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</si>
  <si>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</si>
  <si>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</si>
  <si>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</si>
  <si>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</si>
  <si>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</si>
  <si>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</si>
  <si>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</si>
  <si>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</si>
  <si>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</si>
  <si>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</si>
  <si>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</si>
  <si>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</si>
  <si>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</si>
  <si>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</si>
  <si>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</si>
  <si>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</si>
  <si>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</si>
  <si>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</si>
  <si>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</si>
  <si>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</si>
  <si>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</si>
  <si>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</si>
  <si>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</si>
  <si>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</si>
  <si>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</si>
  <si>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</si>
  <si>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</si>
  <si>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</si>
  <si>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</si>
  <si>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</si>
  <si>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</si>
  <si>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</si>
  <si>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</si>
  <si>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</si>
  <si>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</si>
  <si>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</si>
  <si>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</si>
  <si>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</si>
  <si>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</si>
  <si>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</si>
  <si>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</si>
  <si>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</si>
  <si>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</si>
  <si>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</si>
  <si>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</si>
  <si>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</si>
  <si>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</si>
  <si>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</si>
  <si>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</si>
  <si>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</si>
  <si>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</si>
  <si>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</si>
  <si>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</si>
  <si>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</si>
  <si>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</si>
  <si>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</si>
  <si>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</si>
  <si>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</si>
  <si>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</si>
  <si>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</si>
  <si>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</si>
  <si>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</si>
  <si>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</si>
  <si>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</si>
  <si>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</si>
  <si>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</si>
  <si>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</si>
  <si>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</si>
  <si>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</si>
  <si>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</si>
  <si>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</si>
  <si>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</si>
  <si>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</si>
  <si>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</si>
  <si>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</si>
  <si>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</si>
  <si>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</si>
  <si>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</si>
  <si>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</si>
  <si>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</si>
  <si>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</si>
  <si>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</si>
  <si>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</si>
  <si>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</si>
  <si>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</si>
  <si>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</si>
  <si>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</si>
  <si>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</si>
  <si>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</si>
  <si>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</si>
  <si>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</si>
  <si>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</si>
  <si>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</si>
  <si>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</si>
  <si>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</si>
  <si>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</si>
  <si>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</si>
  <si>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</si>
  <si>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</si>
  <si>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</si>
  <si>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WINTEC Co.,Ltd.</t>
  </si>
  <si>
    <t>윈텍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</si>
  <si>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</si>
  <si>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</si>
  <si>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</si>
  <si>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</si>
  <si>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</si>
  <si>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</si>
  <si>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</si>
  <si>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</si>
  <si>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</si>
  <si>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</si>
  <si>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</si>
  <si>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</si>
  <si>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</si>
  <si>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</si>
  <si>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</si>
  <si>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</si>
  <si>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</si>
  <si>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</si>
  <si>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</si>
  <si>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</si>
  <si>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</si>
  <si>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</si>
  <si>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</si>
  <si>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</si>
  <si>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</si>
  <si>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</si>
  <si>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</si>
  <si>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</si>
  <si>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</si>
  <si>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</si>
  <si>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</si>
  <si>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</si>
  <si>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</si>
  <si>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</si>
  <si>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</si>
  <si>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</si>
  <si>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</si>
  <si>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</si>
  <si>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</si>
  <si>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</si>
  <si>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</si>
  <si>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</si>
  <si>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</si>
  <si>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</si>
  <si>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</si>
  <si>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</si>
  <si>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</si>
  <si>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</si>
  <si>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</si>
  <si>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</si>
  <si>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</si>
  <si>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</si>
  <si>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</si>
  <si>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</si>
  <si>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</si>
  <si>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</si>
  <si>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</si>
  <si>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</si>
  <si>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</si>
  <si>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</si>
  <si>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</si>
  <si>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</si>
  <si>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</si>
  <si>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</si>
  <si>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</si>
  <si>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</si>
  <si>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</si>
  <si>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</si>
  <si>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</si>
  <si>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</si>
  <si>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</si>
  <si>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</si>
  <si>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</si>
  <si>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</si>
  <si>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</si>
  <si>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</si>
  <si>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</si>
  <si>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</si>
  <si>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</si>
  <si>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</si>
  <si>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</si>
  <si>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</si>
  <si>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</si>
  <si>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</si>
  <si>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</si>
  <si>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</si>
  <si>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</si>
  <si>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</si>
  <si>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</si>
  <si>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</si>
  <si>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</si>
  <si>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</si>
  <si>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</si>
  <si>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</si>
  <si>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</si>
  <si>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</si>
  <si>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</si>
  <si>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</si>
  <si>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</si>
  <si>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</si>
  <si>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</si>
  <si>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</si>
  <si>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</si>
  <si>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</si>
  <si>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</si>
  <si>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</si>
  <si>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</si>
  <si>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</si>
  <si>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</si>
  <si>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</si>
  <si>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</si>
  <si>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</si>
  <si>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</si>
  <si>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</si>
  <si>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</si>
  <si>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</si>
  <si>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</si>
  <si>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</si>
  <si>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</si>
  <si>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</si>
  <si>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</si>
  <si>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</si>
  <si>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</si>
  <si>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</si>
  <si>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</si>
  <si>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</si>
  <si>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</si>
  <si>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</si>
  <si>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</si>
  <si>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</si>
  <si>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</si>
  <si>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</si>
  <si>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</si>
  <si>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</si>
  <si>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</si>
  <si>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</si>
  <si>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</si>
  <si>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</si>
  <si>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</si>
  <si>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</si>
  <si>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</si>
  <si>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</si>
  <si>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</si>
  <si>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</si>
  <si>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</si>
  <si>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</si>
  <si>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</si>
  <si>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</si>
  <si>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</si>
  <si>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</si>
  <si>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</si>
  <si>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</si>
  <si>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</si>
  <si>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</si>
  <si>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</si>
  <si>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</si>
  <si>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</si>
  <si>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</si>
  <si>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</si>
  <si>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</si>
  <si>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</si>
  <si>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</si>
  <si>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</si>
  <si>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</si>
  <si>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</si>
  <si>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</si>
  <si>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</si>
  <si>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</si>
  <si>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</si>
  <si>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</si>
  <si>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</si>
  <si>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</si>
  <si>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</si>
  <si>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</si>
  <si>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</si>
  <si>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</si>
  <si>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</si>
  <si>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</si>
  <si>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</si>
  <si>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</si>
  <si>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</si>
  <si>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</si>
  <si>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</si>
  <si>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</si>
  <si>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</si>
  <si>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</si>
  <si>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</si>
  <si>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</si>
  <si>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</si>
  <si>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</si>
  <si>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</si>
  <si>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</si>
  <si>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</si>
  <si>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</si>
  <si>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</si>
  <si>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</si>
  <si>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</si>
  <si>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</si>
  <si>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</si>
  <si>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</si>
  <si>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</si>
  <si>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</si>
  <si>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</si>
  <si>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</si>
  <si>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</si>
  <si>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</si>
  <si>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</si>
  <si>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</si>
  <si>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</si>
  <si>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</si>
  <si>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</si>
  <si>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</si>
  <si>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</si>
  <si>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</si>
  <si>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</si>
  <si>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</si>
  <si>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</si>
  <si>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</si>
  <si>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</si>
  <si>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</si>
  <si>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</si>
  <si>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</si>
  <si>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</si>
  <si>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</si>
  <si>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</si>
  <si>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</si>
  <si>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</si>
  <si>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</si>
  <si>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</si>
  <si>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</si>
  <si>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</si>
  <si>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</si>
  <si>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</si>
  <si>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</si>
  <si>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</si>
  <si>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</si>
  <si>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</si>
  <si>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</si>
  <si>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</si>
  <si>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</si>
  <si>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</si>
  <si>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</si>
  <si>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</si>
  <si>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</si>
  <si>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</si>
  <si>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</si>
  <si>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</si>
  <si>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</si>
  <si>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</si>
  <si>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</si>
  <si>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</si>
  <si>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</si>
  <si>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</si>
  <si>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</si>
  <si>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</si>
  <si>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</si>
  <si>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</si>
  <si>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</si>
  <si>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</si>
  <si>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</si>
  <si>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BLADE Entertainment CO.,LTD.</t>
  </si>
  <si>
    <t>블레이드 Ent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</si>
  <si>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</si>
  <si>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</si>
  <si>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</si>
  <si>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</si>
  <si>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</si>
  <si>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</si>
  <si>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</si>
  <si>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</si>
  <si>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</si>
  <si>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</si>
  <si>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</si>
  <si>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</si>
  <si>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</si>
  <si>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</si>
  <si>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</si>
  <si>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</si>
  <si>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</si>
  <si>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</si>
  <si>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</si>
  <si>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</si>
  <si>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</si>
  <si>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</si>
  <si>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</si>
  <si>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</si>
  <si>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</si>
  <si>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</si>
  <si>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</si>
  <si>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</si>
  <si>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</si>
  <si>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</si>
  <si>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</si>
  <si>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</si>
  <si>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</si>
  <si>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</si>
  <si>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</si>
  <si>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</si>
  <si>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</si>
  <si>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</si>
  <si>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</si>
  <si>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</si>
  <si>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</si>
  <si>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</si>
  <si>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</si>
  <si>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</si>
  <si>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</si>
  <si>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</si>
  <si>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</si>
  <si>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</si>
  <si>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</si>
  <si>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</si>
  <si>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</si>
  <si>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</si>
  <si>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</si>
  <si>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</si>
  <si>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</si>
  <si>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</si>
  <si>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</si>
  <si>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</si>
  <si>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</si>
  <si>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</si>
  <si>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</si>
  <si>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</si>
  <si>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</si>
  <si>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</si>
  <si>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</si>
  <si>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</si>
  <si>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</si>
  <si>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</si>
  <si>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</si>
  <si>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</si>
  <si>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</si>
  <si>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</si>
  <si>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</si>
  <si>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</si>
  <si>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</si>
  <si>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</si>
  <si>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</si>
  <si>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</si>
  <si>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</si>
  <si>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</si>
  <si>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</si>
  <si>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</si>
  <si>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</si>
  <si>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</si>
  <si>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</si>
  <si>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</si>
  <si>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</si>
  <si>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</si>
  <si>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</si>
  <si>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</si>
  <si>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</si>
  <si>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</si>
  <si>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</si>
  <si>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</si>
  <si>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</si>
  <si>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</si>
  <si>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</si>
  <si>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</si>
  <si>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</si>
  <si>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</si>
  <si>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</si>
  <si>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</si>
  <si>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</si>
  <si>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</si>
  <si>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</si>
  <si>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</si>
  <si>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</si>
  <si>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</si>
  <si>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</si>
  <si>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</si>
  <si>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</si>
  <si>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</si>
  <si>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</si>
  <si>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</si>
  <si>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</si>
  <si>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</si>
  <si>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</si>
  <si>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</si>
  <si>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</si>
  <si>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</si>
  <si>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</si>
  <si>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</si>
  <si>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</si>
  <si>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</si>
  <si>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</si>
  <si>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</si>
  <si>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</si>
  <si>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</si>
  <si>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</si>
  <si>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</si>
  <si>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</si>
  <si>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</si>
  <si>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</si>
  <si>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</si>
  <si>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</si>
  <si>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</si>
  <si>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</si>
  <si>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</si>
  <si>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</si>
  <si>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</si>
  <si>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</si>
  <si>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</si>
  <si>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</si>
  <si>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</si>
  <si>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</si>
  <si>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</si>
  <si>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</si>
  <si>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</si>
  <si>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</si>
  <si>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</si>
  <si>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</si>
  <si>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</si>
  <si>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</si>
  <si>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</si>
  <si>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</si>
  <si>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</si>
  <si>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</si>
  <si>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</si>
  <si>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</si>
  <si>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</si>
  <si>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</si>
  <si>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</si>
  <si>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</si>
  <si>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</si>
  <si>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</si>
  <si>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</si>
  <si>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</si>
  <si>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</si>
  <si>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</si>
  <si>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</si>
  <si>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</si>
  <si>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</si>
  <si>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</si>
  <si>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</si>
  <si>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</si>
  <si>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</si>
  <si>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</si>
  <si>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</si>
  <si>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</si>
  <si>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</si>
  <si>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</si>
  <si>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</si>
  <si>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</si>
  <si>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</si>
  <si>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</si>
  <si>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</si>
  <si>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</si>
  <si>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</si>
  <si>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</si>
  <si>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</si>
  <si>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</si>
  <si>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</si>
  <si>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</si>
  <si>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</si>
  <si>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</si>
  <si>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</si>
  <si>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</si>
  <si>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</si>
  <si>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</si>
  <si>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</si>
  <si>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</si>
  <si>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</si>
  <si>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</si>
  <si>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</si>
  <si>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</si>
  <si>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</si>
  <si>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</si>
  <si>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</si>
  <si>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</si>
  <si>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</si>
  <si>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</si>
  <si>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</si>
  <si>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</si>
  <si>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</si>
  <si>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</si>
  <si>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</si>
  <si>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</si>
  <si>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</si>
  <si>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</si>
  <si>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</si>
  <si>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</si>
  <si>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</si>
  <si>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</si>
  <si>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</si>
  <si>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</si>
  <si>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</si>
  <si>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</si>
  <si>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</si>
  <si>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</si>
  <si>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</si>
  <si>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</si>
  <si>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</si>
  <si>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</si>
  <si>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</si>
  <si>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</si>
  <si>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</si>
  <si>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</si>
  <si>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</si>
  <si>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</si>
  <si>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</si>
  <si>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</si>
  <si>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</si>
  <si>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</si>
  <si>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</si>
  <si>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</si>
  <si>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</si>
  <si>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</si>
  <si>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</si>
  <si>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</si>
  <si>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</si>
  <si>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</si>
  <si>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</si>
  <si>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</si>
  <si>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</si>
  <si>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</si>
  <si>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</si>
  <si>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</si>
  <si>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</si>
  <si>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</si>
  <si>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</si>
  <si>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</si>
  <si>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</si>
  <si>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</si>
  <si>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</si>
  <si>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</si>
  <si>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</si>
  <si>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</si>
  <si>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</si>
  <si>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</si>
  <si>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</si>
  <si>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</si>
  <si>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</si>
  <si>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</si>
  <si>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</si>
  <si>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</si>
  <si>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</si>
  <si>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</si>
  <si>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</si>
  <si>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</si>
  <si>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</si>
  <si>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</si>
  <si>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</si>
  <si>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</si>
  <si>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</si>
  <si>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</si>
  <si>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</si>
  <si>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</si>
  <si>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</si>
  <si>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</si>
  <si>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</si>
  <si>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</si>
  <si>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</si>
  <si>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</si>
  <si>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</si>
  <si>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</si>
  <si>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</si>
  <si>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</si>
  <si>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</si>
  <si>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</si>
  <si>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</si>
  <si>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</si>
  <si>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</si>
  <si>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</si>
  <si>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</si>
  <si>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</si>
  <si>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</si>
  <si>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</si>
  <si>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</si>
  <si>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</si>
  <si>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</si>
  <si>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</si>
  <si>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</si>
  <si>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</si>
  <si>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</si>
  <si>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</si>
  <si>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</si>
  <si>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</si>
  <si>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</si>
  <si>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</si>
  <si>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</si>
  <si>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</si>
  <si>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</si>
  <si>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</si>
  <si>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</si>
  <si>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</si>
  <si>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</si>
  <si>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</si>
  <si>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</si>
  <si>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</si>
  <si>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</si>
  <si>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</si>
  <si>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</si>
  <si>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</si>
  <si>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</si>
  <si>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</si>
  <si>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</si>
  <si>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</si>
  <si>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</si>
  <si>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</si>
  <si>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</si>
  <si>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</si>
  <si>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</si>
  <si>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</si>
  <si>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</si>
  <si>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</si>
  <si>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</si>
  <si>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</si>
  <si>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</si>
  <si>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</si>
  <si>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</si>
  <si>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</si>
  <si>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</si>
  <si>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</si>
  <si>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</si>
  <si>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</si>
  <si>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</si>
  <si>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</si>
  <si>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</si>
  <si>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</si>
  <si>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</si>
  <si>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</si>
  <si>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</si>
  <si>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</si>
  <si>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</si>
  <si>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</si>
  <si>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</si>
  <si>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</si>
  <si>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</si>
  <si>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</si>
  <si>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</si>
  <si>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</si>
  <si>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</si>
  <si>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</si>
  <si>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</si>
  <si>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</si>
  <si>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</si>
  <si>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</si>
  <si>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</si>
  <si>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</si>
  <si>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</si>
  <si>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</si>
  <si>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</si>
  <si>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</si>
  <si>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</si>
  <si>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</si>
  <si>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</si>
  <si>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</si>
  <si>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</si>
  <si>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</si>
  <si>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</si>
  <si>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</si>
  <si>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</si>
  <si>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</si>
  <si>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</si>
  <si>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</si>
  <si>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</si>
  <si>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</si>
  <si>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</si>
  <si>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</si>
  <si>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</si>
  <si>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</si>
  <si>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</si>
  <si>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</si>
  <si>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</si>
  <si>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PANACEA Inc.</t>
  </si>
  <si>
    <t>파나케이아</t>
  </si>
  <si>
    <t>PCB생산 장비 제조(로더, 언로더, 레이업시스템 등)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</si>
  <si>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</si>
  <si>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</si>
  <si>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</si>
  <si>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</si>
  <si>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</si>
  <si>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</si>
  <si>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</si>
  <si>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</si>
  <si>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</si>
  <si>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</si>
  <si>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</si>
  <si>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</si>
  <si>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</si>
  <si>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</si>
  <si>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</si>
  <si>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</si>
  <si>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</si>
  <si>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</si>
  <si>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</si>
  <si>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</si>
  <si>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</si>
  <si>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</si>
  <si>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</si>
  <si>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</si>
  <si>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</si>
  <si>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</si>
  <si>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</si>
  <si>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</si>
  <si>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</si>
  <si>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</si>
  <si>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</si>
  <si>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</si>
  <si>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</si>
  <si>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</si>
  <si>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</si>
  <si>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</si>
  <si>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</si>
  <si>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</si>
  <si>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</si>
  <si>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</si>
  <si>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</si>
  <si>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</si>
  <si>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</si>
  <si>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</si>
  <si>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</si>
  <si>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</si>
  <si>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</si>
  <si>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</si>
  <si>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</si>
  <si>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</si>
  <si>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</si>
  <si>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</si>
  <si>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</si>
  <si>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Enterpartners Co., LTD.</t>
  </si>
  <si>
    <t>엔터파트너즈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</si>
  <si>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</si>
  <si>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</si>
  <si>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</si>
  <si>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</si>
  <si>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</si>
  <si>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</si>
  <si>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</si>
  <si>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</si>
  <si>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</si>
  <si>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</si>
  <si>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</si>
  <si>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</si>
  <si>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</si>
  <si>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</si>
  <si>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</si>
  <si>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</si>
  <si>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</si>
  <si>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</si>
  <si>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</si>
  <si>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</si>
  <si>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</si>
  <si>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</si>
  <si>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</si>
  <si>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</si>
  <si>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</si>
  <si>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</si>
  <si>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</si>
  <si>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</si>
  <si>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</si>
  <si>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</si>
  <si>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</si>
  <si>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</si>
  <si>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</si>
  <si>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</si>
  <si>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</si>
  <si>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</si>
  <si>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</si>
  <si>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</si>
  <si>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</si>
  <si>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</si>
  <si>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</si>
  <si>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</si>
  <si>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</si>
  <si>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</si>
  <si>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</si>
  <si>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</si>
  <si>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</si>
  <si>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</si>
  <si>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</si>
  <si>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</si>
  <si>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</si>
  <si>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</si>
  <si>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</si>
  <si>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</si>
  <si>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</si>
  <si>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</si>
  <si>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</si>
  <si>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</si>
  <si>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</si>
  <si>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</si>
  <si>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</si>
  <si>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</si>
  <si>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</si>
  <si>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</si>
  <si>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</si>
  <si>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</si>
  <si>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</si>
  <si>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</si>
  <si>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</si>
  <si>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</si>
  <si>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</si>
  <si>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</si>
  <si>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</si>
  <si>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</si>
  <si>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</si>
  <si>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</si>
  <si>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</si>
  <si>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</si>
  <si>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</si>
  <si>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</si>
  <si>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</si>
  <si>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</si>
  <si>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</si>
  <si>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</si>
  <si>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</si>
  <si>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</si>
  <si>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</si>
  <si>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</si>
  <si>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</si>
  <si>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</si>
  <si>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</si>
  <si>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</si>
  <si>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</si>
  <si>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</si>
  <si>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</si>
  <si>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</si>
  <si>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</si>
  <si>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</si>
  <si>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</si>
  <si>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</si>
  <si>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</si>
  <si>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</si>
  <si>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</si>
  <si>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</si>
  <si>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</si>
  <si>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</si>
  <si>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</si>
  <si>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</si>
  <si>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</si>
  <si>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</si>
  <si>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</si>
  <si>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</si>
  <si>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</si>
  <si>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</si>
  <si>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</si>
  <si>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</si>
  <si>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</si>
  <si>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</si>
  <si>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</si>
  <si>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</si>
  <si>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</si>
  <si>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</si>
  <si>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</si>
  <si>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</si>
  <si>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</si>
  <si>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</si>
  <si>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</si>
  <si>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</si>
  <si>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</si>
  <si>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</si>
  <si>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</si>
  <si>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</si>
  <si>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</si>
  <si>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</si>
  <si>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</si>
  <si>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</si>
  <si>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</si>
  <si>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</si>
  <si>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</si>
  <si>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</si>
  <si>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</si>
  <si>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</si>
  <si>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</si>
  <si>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</si>
  <si>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</si>
  <si>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</si>
  <si>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</si>
  <si>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</si>
  <si>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</si>
  <si>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</si>
  <si>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</si>
  <si>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</si>
  <si>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</si>
  <si>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</si>
  <si>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</si>
  <si>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</si>
  <si>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</si>
  <si>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</si>
  <si>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</si>
  <si>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</si>
  <si>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</si>
  <si>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</si>
  <si>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</si>
  <si>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</si>
  <si>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</si>
  <si>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</si>
  <si>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</si>
  <si>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</si>
  <si>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</si>
  <si>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</si>
  <si>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</si>
  <si>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</si>
  <si>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</si>
  <si>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</si>
  <si>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</si>
  <si>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</si>
  <si>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</si>
  <si>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</si>
  <si>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</si>
  <si>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</si>
  <si>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</si>
  <si>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</si>
  <si>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</si>
  <si>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</si>
  <si>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</si>
  <si>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</si>
  <si>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</si>
  <si>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</si>
  <si>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</si>
  <si>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</si>
  <si>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</si>
  <si>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</si>
  <si>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</si>
  <si>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</si>
  <si>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</si>
  <si>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</si>
  <si>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</si>
  <si>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</si>
  <si>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</si>
  <si>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</si>
  <si>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</si>
  <si>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</si>
  <si>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</si>
  <si>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</si>
  <si>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</si>
  <si>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</si>
  <si>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</si>
  <si>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</si>
  <si>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</si>
  <si>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</si>
  <si>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</si>
  <si>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</si>
  <si>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</si>
  <si>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</si>
  <si>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</si>
  <si>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</si>
  <si>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</si>
  <si>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</si>
  <si>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</si>
  <si>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</si>
  <si>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</si>
  <si>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</si>
  <si>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</si>
  <si>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</si>
  <si>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</si>
  <si>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</si>
  <si>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</si>
  <si>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</si>
  <si>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</si>
  <si>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</si>
  <si>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</si>
  <si>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</si>
  <si>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</si>
  <si>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</si>
  <si>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</si>
  <si>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</si>
  <si>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</si>
  <si>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</si>
  <si>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</si>
  <si>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</si>
  <si>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</si>
  <si>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</si>
  <si>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</si>
  <si>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</si>
  <si>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</si>
  <si>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</si>
  <si>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</si>
  <si>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</si>
  <si>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</si>
  <si>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</si>
  <si>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</si>
  <si>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</si>
  <si>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</si>
  <si>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</si>
  <si>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</si>
  <si>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</si>
  <si>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</si>
  <si>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</si>
  <si>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</si>
  <si>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</si>
  <si>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</si>
  <si>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</si>
  <si>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</si>
  <si>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</si>
  <si>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</si>
  <si>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</si>
  <si>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</si>
  <si>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</si>
  <si>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</si>
  <si>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</si>
  <si>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</si>
  <si>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지티지웰니스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</si>
  <si>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</si>
  <si>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</si>
  <si>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</si>
  <si>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</si>
  <si>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</si>
  <si>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</si>
  <si>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</si>
  <si>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</si>
  <si>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</si>
  <si>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</si>
  <si>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</si>
  <si>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</si>
  <si>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</si>
  <si>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</si>
  <si>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</si>
  <si>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</si>
  <si>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</si>
  <si>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</si>
  <si>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</si>
  <si>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</si>
  <si>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</si>
  <si>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</si>
  <si>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</si>
  <si>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</si>
  <si>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</si>
  <si>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</si>
  <si>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</si>
  <si>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</si>
  <si>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</si>
  <si>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</si>
  <si>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</si>
  <si>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</si>
  <si>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</si>
  <si>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</si>
  <si>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</si>
  <si>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</si>
  <si>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</si>
  <si>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</si>
  <si>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</si>
  <si>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</si>
  <si>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</si>
  <si>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</si>
  <si>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</si>
  <si>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</si>
  <si>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</si>
  <si>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</si>
  <si>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</si>
  <si>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</si>
  <si>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</si>
  <si>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</si>
  <si>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</si>
  <si>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</si>
  <si>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</si>
  <si>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</si>
  <si>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</si>
  <si>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</si>
  <si>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</si>
  <si>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</si>
  <si>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</si>
  <si>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</si>
  <si>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</si>
  <si>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</si>
  <si>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</si>
  <si>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</si>
  <si>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</si>
  <si>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</si>
  <si>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</si>
  <si>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</si>
  <si>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</si>
  <si>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</si>
  <si>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</si>
  <si>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</si>
  <si>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</si>
  <si>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</si>
  <si>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</si>
  <si>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</si>
  <si>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</si>
  <si>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</si>
  <si>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</si>
  <si>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</si>
  <si>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</si>
  <si>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</si>
  <si>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</si>
  <si>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</si>
  <si>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</si>
  <si>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</si>
  <si>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</si>
  <si>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</si>
  <si>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</si>
  <si>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</si>
  <si>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</si>
  <si>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</si>
  <si>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</si>
  <si>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</si>
  <si>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</si>
  <si>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</si>
  <si>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</si>
  <si>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</si>
  <si>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</si>
  <si>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</si>
  <si>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</si>
  <si>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</si>
  <si>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</si>
  <si>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</si>
  <si>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</si>
  <si>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</si>
  <si>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</si>
  <si>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</si>
  <si>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</si>
  <si>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</si>
  <si>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</si>
  <si>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</si>
  <si>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</si>
  <si>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</si>
  <si>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</si>
  <si>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</si>
  <si>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</si>
  <si>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</si>
  <si>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</si>
  <si>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</si>
  <si>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</si>
  <si>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</si>
  <si>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</si>
  <si>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</si>
  <si>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</si>
  <si>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</si>
  <si>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</si>
  <si>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</si>
  <si>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</si>
  <si>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</si>
  <si>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</si>
  <si>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</si>
  <si>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</si>
  <si>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</si>
  <si>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</si>
  <si>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</si>
  <si>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</si>
  <si>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</si>
  <si>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</si>
  <si>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</si>
  <si>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</si>
  <si>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</si>
  <si>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</si>
  <si>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</si>
  <si>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</si>
  <si>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</si>
  <si>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</si>
  <si>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</si>
  <si>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</si>
  <si>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</si>
  <si>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</si>
  <si>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</si>
  <si>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</si>
  <si>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</si>
  <si>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</si>
  <si>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</si>
  <si>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</si>
  <si>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</si>
  <si>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</si>
  <si>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</si>
  <si>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</si>
  <si>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</si>
  <si>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</si>
  <si>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</si>
  <si>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</si>
  <si>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</si>
  <si>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</si>
  <si>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</si>
  <si>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교육서비스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</si>
  <si>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</si>
  <si>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</si>
  <si>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</si>
  <si>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</si>
  <si>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</si>
  <si>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</si>
  <si>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</si>
  <si>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</si>
  <si>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</si>
  <si>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</si>
  <si>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</si>
  <si>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</si>
  <si>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</si>
  <si>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</si>
  <si>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</si>
  <si>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</si>
  <si>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</si>
  <si>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</si>
  <si>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</si>
  <si>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</si>
  <si>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</si>
  <si>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</si>
  <si>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</si>
  <si>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</si>
  <si>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</si>
  <si>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</si>
  <si>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</si>
  <si>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</si>
  <si>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</si>
  <si>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</si>
  <si>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</si>
  <si>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</si>
  <si>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</si>
  <si>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</si>
  <si>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</si>
  <si>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</si>
  <si>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</si>
  <si>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</si>
  <si>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</si>
  <si>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</si>
  <si>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</si>
  <si>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</si>
  <si>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</si>
  <si>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</si>
  <si>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</si>
  <si>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</si>
  <si>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</si>
  <si>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</si>
  <si>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</si>
  <si>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</si>
  <si>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</si>
  <si>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</si>
  <si>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</si>
  <si>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</si>
  <si>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</si>
  <si>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</si>
  <si>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</si>
  <si>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</si>
  <si>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</si>
  <si>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</si>
  <si>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PPI. INC.</t>
  </si>
  <si>
    <t>피피아이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</si>
  <si>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</si>
  <si>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</si>
  <si>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</si>
  <si>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</si>
  <si>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</si>
  <si>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</si>
  <si>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</si>
  <si>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</si>
  <si>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</si>
  <si>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</si>
  <si>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</si>
  <si>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</si>
  <si>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</si>
  <si>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</si>
  <si>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</si>
  <si>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</si>
  <si>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</si>
  <si>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</si>
  <si>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</si>
  <si>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</si>
  <si>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</si>
  <si>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</si>
  <si>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</si>
  <si>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</si>
  <si>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</si>
  <si>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</si>
  <si>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</si>
  <si>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</si>
  <si>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</si>
  <si>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Solco Biomedical Co., Ltd.</t>
  </si>
  <si>
    <t>솔고바이오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</si>
  <si>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</si>
  <si>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</si>
  <si>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</si>
  <si>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</si>
  <si>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</si>
  <si>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</si>
  <si>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</si>
  <si>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</si>
  <si>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</si>
  <si>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</si>
  <si>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</si>
  <si>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</si>
  <si>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</si>
  <si>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</si>
  <si>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</si>
  <si>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</si>
  <si>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</si>
  <si>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</si>
  <si>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</si>
  <si>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</si>
  <si>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</si>
  <si>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</si>
  <si>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</si>
  <si>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</si>
  <si>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</si>
  <si>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</si>
  <si>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</si>
  <si>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</si>
  <si>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</si>
  <si>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</si>
  <si>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</si>
  <si>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</si>
  <si>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</si>
  <si>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</si>
  <si>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</si>
  <si>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</si>
  <si>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</si>
  <si>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</si>
  <si>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</si>
  <si>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</si>
  <si>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</si>
  <si>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</si>
  <si>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</si>
  <si>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</si>
  <si>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</si>
  <si>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</si>
  <si>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</si>
  <si>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</si>
  <si>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</si>
  <si>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</si>
  <si>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</si>
  <si>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</si>
  <si>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</si>
  <si>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</si>
  <si>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</si>
  <si>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</si>
  <si>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</si>
  <si>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</si>
  <si>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Metal Paste, Solder Ball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</si>
  <si>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</si>
  <si>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</si>
  <si>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</si>
  <si>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</si>
  <si>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</si>
  <si>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</si>
  <si>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</si>
  <si>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</si>
  <si>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</si>
  <si>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</si>
  <si>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</si>
  <si>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</si>
  <si>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</si>
  <si>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Skymoons technology, Inc.</t>
  </si>
  <si>
    <t>스카이문스테크놀로지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</si>
  <si>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</si>
  <si>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</si>
  <si>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</si>
  <si>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</si>
  <si>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</si>
  <si>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</si>
  <si>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</si>
  <si>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</si>
  <si>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</si>
  <si>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</si>
  <si>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</si>
  <si>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</si>
  <si>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</si>
  <si>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</si>
  <si>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</si>
  <si>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</si>
  <si>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</si>
  <si>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</si>
  <si>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</si>
  <si>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</si>
  <si>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</si>
  <si>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</si>
  <si>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</si>
  <si>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</si>
  <si>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</si>
  <si>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</si>
  <si>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</si>
  <si>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</si>
  <si>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</si>
  <si>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</si>
  <si>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</si>
  <si>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</si>
  <si>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</si>
  <si>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</si>
  <si>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</si>
  <si>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</si>
  <si>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</si>
  <si>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</si>
  <si>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</si>
  <si>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</si>
  <si>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</si>
  <si>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</si>
  <si>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</si>
  <si>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</si>
  <si>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</si>
  <si>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</si>
  <si>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</si>
  <si>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</si>
  <si>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</si>
  <si>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</si>
  <si>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</si>
  <si>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</si>
  <si>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Hana Financial Twenty-four Speacial Purpose Acquisition Company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</si>
  <si>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</si>
  <si>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</si>
  <si>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</si>
  <si>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</si>
  <si>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</si>
  <si>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</si>
  <si>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</si>
  <si>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</si>
  <si>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</si>
  <si>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</si>
  <si>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</si>
  <si>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</si>
  <si>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</si>
  <si>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</si>
  <si>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</si>
  <si>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</si>
  <si>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</si>
  <si>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</si>
  <si>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</si>
  <si>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</si>
  <si>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</si>
  <si>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</si>
  <si>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</si>
  <si>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</si>
  <si>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</si>
  <si>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</si>
  <si>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</si>
  <si>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</si>
  <si>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</si>
  <si>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</si>
  <si>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</si>
  <si>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</si>
  <si>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</si>
  <si>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</si>
  <si>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</si>
  <si>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</si>
  <si>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</si>
  <si>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</si>
  <si>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</si>
  <si>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</si>
  <si>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</si>
  <si>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</si>
  <si>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</si>
  <si>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</si>
  <si>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</si>
  <si>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</si>
  <si>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</si>
  <si>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</si>
  <si>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</si>
  <si>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</si>
  <si>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</si>
  <si>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</si>
  <si>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</si>
  <si>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</si>
  <si>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</si>
  <si>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</si>
  <si>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</si>
  <si>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</si>
  <si>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</si>
  <si>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</si>
  <si>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</si>
  <si>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</si>
  <si>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</si>
  <si>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</si>
  <si>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</si>
  <si>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</si>
  <si>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</si>
  <si>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IOKCOMPANY Co., Ltd.</t>
  </si>
  <si>
    <t>아이오케이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</si>
  <si>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</si>
  <si>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</si>
  <si>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</si>
  <si>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</si>
  <si>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</si>
  <si>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</si>
  <si>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</si>
  <si>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</si>
  <si>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</si>
  <si>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</si>
  <si>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</si>
  <si>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</si>
  <si>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</si>
  <si>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</si>
  <si>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</si>
  <si>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</si>
  <si>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</si>
  <si>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</si>
  <si>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</si>
  <si>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</si>
  <si>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</si>
  <si>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</si>
  <si>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</si>
  <si>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</si>
  <si>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유진스팩8호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</si>
  <si>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</si>
  <si>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</si>
  <si>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</si>
  <si>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</si>
  <si>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</si>
  <si>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</si>
  <si>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</si>
  <si>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</si>
  <si>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</si>
  <si>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</si>
  <si>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</si>
  <si>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</si>
  <si>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</si>
  <si>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</si>
  <si>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</si>
  <si>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</si>
  <si>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Kyobo 12 Special Purpose Acquisition Company Co., Ltd.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</si>
  <si>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</si>
  <si>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</si>
  <si>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</si>
  <si>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</si>
  <si>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</si>
  <si>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</si>
  <si>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</si>
  <si>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</si>
  <si>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</si>
  <si>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</si>
  <si>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</si>
  <si>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</si>
  <si>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</si>
  <si>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</si>
  <si>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</si>
  <si>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</si>
  <si>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</si>
  <si>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</si>
  <si>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</si>
  <si>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DAISHIN BALANCE NO.13 SPECIAL PURPOSE ACQUSITION COMPANY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</si>
  <si>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</si>
  <si>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</si>
  <si>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</si>
  <si>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</si>
  <si>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</si>
  <si>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</si>
  <si>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</si>
  <si>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</si>
  <si>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</si>
  <si>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</si>
  <si>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</si>
  <si>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</si>
  <si>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</si>
  <si>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</si>
  <si>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</si>
  <si>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</si>
  <si>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</si>
  <si>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</si>
  <si>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</si>
  <si>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</si>
  <si>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</si>
  <si>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</si>
  <si>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</si>
  <si>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</si>
  <si>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</si>
  <si>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</si>
  <si>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</si>
  <si>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</si>
  <si>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</si>
  <si>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</si>
  <si>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</si>
  <si>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</si>
  <si>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</si>
  <si>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</si>
  <si>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</si>
  <si>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</si>
  <si>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</si>
  <si>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</si>
  <si>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</si>
  <si>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</si>
  <si>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</si>
  <si>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</si>
  <si>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</si>
  <si>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</si>
  <si>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</si>
  <si>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</si>
  <si>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</si>
  <si>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</si>
  <si>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</si>
  <si>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</si>
  <si>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</si>
  <si>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</si>
  <si>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</si>
  <si>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Sangsangin No.3 Special Purpose Acquisiton Company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</si>
  <si>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</si>
  <si>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</si>
  <si>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</si>
  <si>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</si>
  <si>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</si>
  <si>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</si>
  <si>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</si>
  <si>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HI SPECIAL PURPOSE ACQUISITION COMPANY VII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</si>
  <si>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</si>
  <si>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</si>
  <si>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</si>
  <si>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</si>
  <si>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</si>
  <si>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</si>
  <si>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</si>
  <si>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</si>
  <si>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</si>
  <si>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SPAC 합병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</si>
  <si>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</si>
  <si>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</si>
  <si>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</si>
  <si>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</si>
  <si>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</si>
  <si>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</si>
  <si>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</si>
  <si>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</si>
  <si>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</si>
  <si>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</si>
  <si>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</si>
  <si>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</si>
  <si>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</si>
  <si>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</si>
  <si>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</si>
  <si>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</si>
  <si>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</si>
  <si>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</si>
  <si>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</si>
  <si>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</si>
  <si>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</si>
  <si>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</si>
  <si>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</si>
  <si>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</si>
  <si>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</si>
  <si>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</si>
  <si>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</si>
  <si>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</si>
  <si>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</si>
  <si>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</si>
  <si>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</si>
  <si>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</si>
  <si>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</si>
  <si>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</si>
  <si>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</si>
  <si>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</si>
  <si>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</si>
  <si>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</si>
  <si>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</si>
  <si>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</si>
  <si>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</si>
  <si>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</si>
  <si>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</si>
  <si>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</si>
  <si>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</si>
  <si>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</si>
  <si>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</si>
  <si>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</si>
  <si>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</si>
  <si>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</si>
  <si>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</si>
  <si>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</si>
  <si>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</si>
  <si>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</si>
  <si>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</si>
  <si>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</si>
  <si>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</si>
  <si>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</si>
  <si>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</si>
  <si>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</si>
  <si>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</si>
  <si>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</si>
  <si>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</si>
  <si>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</si>
  <si>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</si>
  <si>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</si>
  <si>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</si>
  <si>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</si>
  <si>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</si>
  <si>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</si>
  <si>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</si>
  <si>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</si>
  <si>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</si>
  <si>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</si>
  <si>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</si>
  <si>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</si>
  <si>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</si>
  <si>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</si>
  <si>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</si>
  <si>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</si>
  <si>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</si>
  <si>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</si>
  <si>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</si>
  <si>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</si>
  <si>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</si>
  <si>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</si>
  <si>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</si>
  <si>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</si>
  <si>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</si>
  <si>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</si>
  <si>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</si>
  <si>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</si>
  <si>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</si>
  <si>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</si>
  <si>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</si>
  <si>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</si>
  <si>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</si>
  <si>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</si>
  <si>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</si>
  <si>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</si>
  <si>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</si>
  <si>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</si>
  <si>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</si>
  <si>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</si>
  <si>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</si>
  <si>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</si>
  <si>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</si>
  <si>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</si>
  <si>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</si>
  <si>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</si>
  <si>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</si>
  <si>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 Co., Ltd.</t>
  </si>
  <si>
    <t>THE MIDONG</t>
  </si>
  <si>
    <t>차량용 블랙박스, 차량운행보조시스템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</si>
  <si>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</si>
  <si>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</si>
  <si>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</si>
  <si>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</si>
  <si>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</si>
  <si>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</si>
  <si>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</si>
  <si>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</si>
  <si>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</si>
  <si>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</si>
  <si>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</si>
  <si>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</si>
  <si>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</si>
  <si>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 xml:space="preserve">2,020 </t>
  </si>
  <si>
    <t xml:space="preserve">2,021 </t>
  </si>
  <si>
    <t xml:space="preserve">2,022 </t>
  </si>
  <si>
    <t xml:space="preserve">2,023 </t>
  </si>
  <si>
    <t xml:space="preserve">2,024 </t>
  </si>
  <si>
    <t xml:space="preserve">2,025 </t>
  </si>
  <si>
    <t xml:space="preserve">2,026 </t>
  </si>
  <si>
    <t>SOURCE</t>
  </si>
  <si>
    <t>Bloomberg</t>
  </si>
  <si>
    <t>Adjusted Beta(2years weekly)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</si>
  <si>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</si>
  <si>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</si>
  <si>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</si>
  <si>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</si>
  <si>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</si>
  <si>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</si>
  <si>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</si>
  <si>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</si>
  <si>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</si>
  <si>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</si>
  <si>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</si>
  <si>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</si>
  <si>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</si>
  <si>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</si>
  <si>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</si>
  <si>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</si>
  <si>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</si>
  <si>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</si>
  <si>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</si>
  <si>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</si>
  <si>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</si>
  <si>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</si>
  <si>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</si>
  <si>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</si>
  <si>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</si>
  <si>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</si>
  <si>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</si>
  <si>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</si>
  <si>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</si>
  <si>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</si>
  <si>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</si>
  <si>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</si>
  <si>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</si>
  <si>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</si>
  <si>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</si>
  <si>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</si>
  <si>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</si>
  <si>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</si>
  <si>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</si>
  <si>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</si>
  <si>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</si>
  <si>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</si>
  <si>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</si>
  <si>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</si>
  <si>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</si>
  <si>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</si>
  <si>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</si>
  <si>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</si>
  <si>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</si>
  <si>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</si>
  <si>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</si>
  <si>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</si>
  <si>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</si>
  <si>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</si>
  <si>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</si>
  <si>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</si>
  <si>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</si>
  <si>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</si>
  <si>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</si>
  <si>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</si>
  <si>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</si>
  <si>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</si>
  <si>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</si>
  <si>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</si>
  <si>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</si>
  <si>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</si>
  <si>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</si>
  <si>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</si>
  <si>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</si>
  <si>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</si>
  <si>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</si>
  <si>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</si>
  <si>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</si>
  <si>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</si>
  <si>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</si>
  <si>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</si>
  <si>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</si>
  <si>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</si>
  <si>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</si>
  <si>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</si>
  <si>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</si>
  <si>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</si>
  <si>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</si>
  <si>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</si>
  <si>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</si>
  <si>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</si>
  <si>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</si>
  <si>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</si>
  <si>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</si>
  <si>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</si>
  <si>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</si>
  <si>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</si>
  <si>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</si>
  <si>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</si>
  <si>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</si>
  <si>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</si>
  <si>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</si>
  <si>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</si>
  <si>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</si>
  <si>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</si>
  <si>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</si>
  <si>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</si>
  <si>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</si>
  <si>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</si>
  <si>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</si>
  <si>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</si>
  <si>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</si>
  <si>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</si>
  <si>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</si>
  <si>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</si>
  <si>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</si>
  <si>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</si>
  <si>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</si>
  <si>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</si>
  <si>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</si>
  <si>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</si>
  <si>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</si>
  <si>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</si>
  <si>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</si>
  <si>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</si>
  <si>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</si>
  <si>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</si>
  <si>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</si>
  <si>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</si>
  <si>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</si>
  <si>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</si>
  <si>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</si>
  <si>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</si>
  <si>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</si>
  <si>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www.westrise.co.kr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</si>
  <si>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</si>
  <si>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</si>
  <si>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</si>
  <si>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</si>
  <si>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</si>
  <si>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</si>
  <si>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</si>
  <si>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</si>
  <si>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</si>
  <si>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</si>
  <si>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</si>
  <si>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</si>
  <si>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</si>
  <si>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</si>
  <si>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</si>
  <si>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</si>
  <si>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</si>
  <si>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</si>
  <si>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</si>
  <si>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</si>
  <si>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</si>
  <si>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</si>
  <si>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</si>
  <si>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</si>
  <si>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</si>
  <si>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</si>
  <si>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</si>
  <si>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</si>
  <si>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</si>
  <si>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</si>
  <si>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</si>
  <si>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</si>
  <si>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</si>
  <si>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</si>
  <si>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</si>
  <si>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</si>
  <si>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</si>
  <si>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</si>
  <si>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www.mpdaesan.co.kr</t>
  </si>
  <si>
    <t>딥마인드</t>
  </si>
  <si>
    <t>www.slenergy.kr</t>
  </si>
  <si>
    <t>www.winia.com</t>
  </si>
  <si>
    <t>www.noblemnb.co.kr</t>
  </si>
  <si>
    <t>20234Q</t>
  </si>
  <si>
    <t>2024-04-30</t>
  </si>
  <si>
    <t>LigaChem Biosciences Inc.</t>
  </si>
  <si>
    <t>SOOP CO., LTD.</t>
  </si>
  <si>
    <t>SOOP</t>
  </si>
  <si>
    <t>정지</t>
  </si>
  <si>
    <t>수액제,이상지질혈증치료제,혈우병치료제,소화기궤양치료제,항생제,도매</t>
  </si>
  <si>
    <t>VT Co.,Ltd.</t>
  </si>
  <si>
    <t>관리</t>
  </si>
  <si>
    <t>YC Corporation</t>
  </si>
  <si>
    <t>와이씨</t>
  </si>
  <si>
    <t>KG Eco Solution Co.,Ltd.</t>
  </si>
  <si>
    <t>KG에코솔루션</t>
  </si>
  <si>
    <t>DIT Corp.</t>
  </si>
  <si>
    <t>VM Inc.</t>
  </si>
  <si>
    <t>브이엠</t>
  </si>
  <si>
    <t>KOLON ENP, INC.</t>
  </si>
  <si>
    <t>코오롱ENP</t>
  </si>
  <si>
    <t>LS SECURITIES Co., Ltd.</t>
  </si>
  <si>
    <t>CG Invites Co., Ltd.</t>
  </si>
  <si>
    <t>JOOSUNG CORPORATION</t>
  </si>
  <si>
    <t>Millie Seojae Co., Ltd.</t>
  </si>
  <si>
    <t>Artist United Inc.</t>
  </si>
  <si>
    <t>아티스트유나이티드</t>
  </si>
  <si>
    <t>IREM Co.,Ltd.</t>
  </si>
  <si>
    <t>SJG SEJONG CO.,LTD.</t>
  </si>
  <si>
    <t>에스제이지세종</t>
  </si>
  <si>
    <t>CROWDWORKS INC.</t>
  </si>
  <si>
    <t>Xplus INC.</t>
  </si>
  <si>
    <t>엑스플러스</t>
  </si>
  <si>
    <t>전기 및 온수매트</t>
  </si>
  <si>
    <t>TEMC CNS Co., Ltd.</t>
  </si>
  <si>
    <t>티이엠씨씨엔에스</t>
  </si>
  <si>
    <t>JNK Global Co.,Ltd.</t>
  </si>
  <si>
    <t>제이엔케이글로벌</t>
  </si>
  <si>
    <t>CHEIL ELECTRIC CO.,LTD.</t>
  </si>
  <si>
    <t>제일일렉트릭</t>
  </si>
  <si>
    <t>Blitzway Studios Co.,Ltd.</t>
  </si>
  <si>
    <t>블리츠웨이스튜디오</t>
  </si>
  <si>
    <t>Haisung Aero-Robotics Co., Ltd.</t>
  </si>
  <si>
    <t>해성에어로보틱스</t>
  </si>
  <si>
    <t>DTC Co., Ltd.</t>
  </si>
  <si>
    <t>디티씨</t>
  </si>
  <si>
    <t>TP</t>
  </si>
  <si>
    <t>LK SAMYANG CO., LTD.</t>
  </si>
  <si>
    <t>LK삼양</t>
  </si>
  <si>
    <t>ESTaid Corp.</t>
  </si>
  <si>
    <t>이스트에이드</t>
  </si>
  <si>
    <t>BI Matrix CO.,Ltd.</t>
  </si>
  <si>
    <t>DUKSHINEPC CO., LTD.</t>
  </si>
  <si>
    <t>Polaris AI Pharma Corp.</t>
  </si>
  <si>
    <t>GUYOUNG TECHNOLOGY CO., LTD.</t>
  </si>
  <si>
    <t>ELC Co., Ltd.</t>
  </si>
  <si>
    <t>이엘씨</t>
  </si>
  <si>
    <t>반도체장비용 유량계와 유량 제어장치</t>
  </si>
  <si>
    <t>HUMAN TECHNOLOGY Co., Ltd.</t>
  </si>
  <si>
    <t>휴먼테크놀로지</t>
  </si>
  <si>
    <t>AP Healthcare Inc.</t>
  </si>
  <si>
    <t>CreoSG Co., Ltd.</t>
  </si>
  <si>
    <t>크레오에스지</t>
  </si>
  <si>
    <t>SGC E&amp;C Co., Ltd.</t>
  </si>
  <si>
    <t>CARRY CO., LTD.</t>
  </si>
  <si>
    <t>캐리</t>
  </si>
  <si>
    <t>기타 상품 전문 소매업</t>
  </si>
  <si>
    <t>SCL Science Inc.</t>
  </si>
  <si>
    <t>SCL사이언스</t>
  </si>
  <si>
    <t>MOA Life Plus Co., Ltd.</t>
  </si>
  <si>
    <t>Linked Inc.</t>
  </si>
  <si>
    <t>링크드</t>
  </si>
  <si>
    <t>FutureCore Co.,Ltd.</t>
  </si>
  <si>
    <t>퓨처코어</t>
  </si>
  <si>
    <t>LIGHTRON FIBER-OPTIC DEVICES INC.</t>
  </si>
  <si>
    <t>BECUAI CO., LTD.</t>
  </si>
  <si>
    <t>비큐 AI</t>
  </si>
  <si>
    <t>Hyper Corporation Inc.</t>
  </si>
  <si>
    <t>하이퍼코퍼레이션</t>
  </si>
  <si>
    <t>Nable Inc.</t>
  </si>
  <si>
    <t>Alton Co., Ltd.</t>
  </si>
  <si>
    <t>Sangji Construction, Inc.</t>
  </si>
  <si>
    <t>KH Mirae Corporation Co., Ltd.</t>
  </si>
  <si>
    <t>KH 미래물산</t>
  </si>
  <si>
    <t>Anic Inc.</t>
  </si>
  <si>
    <t>애닉</t>
  </si>
  <si>
    <t>The Technology Co.,Ltd.</t>
  </si>
  <si>
    <t>Plutus Investment Co., Ltd.</t>
  </si>
  <si>
    <t>플루토스</t>
  </si>
  <si>
    <t>BTB Korea Co., Ltd.</t>
  </si>
  <si>
    <t>Quantumon Co., Ltd.</t>
  </si>
  <si>
    <t>퀀텀온</t>
  </si>
  <si>
    <t>부동산 관련 서비스업</t>
  </si>
  <si>
    <t>DeepMind Platform Co., Ltd.</t>
  </si>
  <si>
    <t>CP SYSTEM CO., LTD.</t>
  </si>
  <si>
    <t>ARION TECHNOLOGY INC.</t>
  </si>
  <si>
    <t>3개년(2023~2026) CAGR</t>
  </si>
  <si>
    <t xml:space="preserve">2,027 </t>
  </si>
  <si>
    <t>20220501</t>
  </si>
  <si>
    <t>20240430</t>
  </si>
  <si>
    <t>2024-05-17</t>
  </si>
  <si>
    <t>D00000</t>
  </si>
  <si>
    <t>개요</t>
  </si>
  <si>
    <t>2024-05-31/L84812/1</t>
  </si>
  <si>
    <t>D00010</t>
  </si>
  <si>
    <t xml:space="preserve">(주)루메나                                        </t>
  </si>
  <si>
    <t>D00020</t>
  </si>
  <si>
    <t>외감,중소기업</t>
  </si>
  <si>
    <t>D00030</t>
  </si>
  <si>
    <t>D00040</t>
  </si>
  <si>
    <t xml:space="preserve">진중헌                                                                </t>
  </si>
  <si>
    <t>D00050</t>
  </si>
  <si>
    <t>D00060</t>
  </si>
  <si>
    <t>1주당금액</t>
  </si>
  <si>
    <t>D00070</t>
  </si>
  <si>
    <t>D00080</t>
  </si>
  <si>
    <t>종업원수</t>
  </si>
  <si>
    <t>D00090</t>
  </si>
  <si>
    <t>산업분류</t>
  </si>
  <si>
    <t xml:space="preserve">기타 가정용 전기기기 제조업                                                                                                                           </t>
  </si>
  <si>
    <t>D00100</t>
  </si>
  <si>
    <t xml:space="preserve">휴대용선풍기,전자기기,휴대용배터리,LED조명 제조,조립/디자인                                                                                           </t>
  </si>
  <si>
    <t>D00110</t>
  </si>
  <si>
    <t>본사주소</t>
  </si>
  <si>
    <t xml:space="preserve">부산 해운대구 송정중앙로5번길 98                                                                                                  </t>
  </si>
  <si>
    <t>D00120</t>
  </si>
  <si>
    <t>법인번호/사업자번호</t>
  </si>
  <si>
    <t>1211110270488 / 1308693314</t>
  </si>
  <si>
    <t>D00130</t>
  </si>
  <si>
    <t xml:space="preserve">내부등급 :  , 외부등급 : </t>
  </si>
  <si>
    <t>D01000</t>
  </si>
  <si>
    <t>기초데이터</t>
  </si>
  <si>
    <t>#0.00</t>
  </si>
  <si>
    <t>D01010</t>
  </si>
  <si>
    <t>재무평점</t>
  </si>
  <si>
    <t>D01020</t>
  </si>
  <si>
    <t>D01030</t>
  </si>
  <si>
    <t>D01040</t>
  </si>
  <si>
    <t>D01050</t>
  </si>
  <si>
    <t>D01060</t>
  </si>
  <si>
    <t>D01070</t>
  </si>
  <si>
    <t>D01080</t>
  </si>
  <si>
    <t>날짜</t>
  </si>
  <si>
    <t>점수/비율</t>
  </si>
  <si>
    <t>일자</t>
  </si>
  <si>
    <t>시장명</t>
  </si>
  <si>
    <t>지수코드</t>
  </si>
  <si>
    <t>지수명</t>
  </si>
  <si>
    <t>상관계수</t>
  </si>
  <si>
    <t>부채비율</t>
  </si>
  <si>
    <t>선택</t>
  </si>
  <si>
    <t>거래소</t>
  </si>
  <si>
    <t>음식료품</t>
  </si>
  <si>
    <t>섬유,의복</t>
  </si>
  <si>
    <t>종이,목재</t>
  </si>
  <si>
    <t>화학</t>
  </si>
  <si>
    <t>비금속광물제품</t>
  </si>
  <si>
    <t>철강,금속</t>
  </si>
  <si>
    <t>기계</t>
  </si>
  <si>
    <t>전기,전자</t>
  </si>
  <si>
    <t>의료정밀</t>
  </si>
  <si>
    <t>운수장비</t>
  </si>
  <si>
    <t>유통업</t>
  </si>
  <si>
    <t>전기,가스업</t>
  </si>
  <si>
    <t>건설업</t>
  </si>
  <si>
    <t>운수창고업</t>
  </si>
  <si>
    <t>통신업</t>
  </si>
  <si>
    <t>금융업</t>
  </si>
  <si>
    <t>은행</t>
  </si>
  <si>
    <t>증권</t>
  </si>
  <si>
    <t>보험업</t>
  </si>
  <si>
    <t>서비스업</t>
  </si>
  <si>
    <t>제조업</t>
  </si>
  <si>
    <t>미분류</t>
  </si>
  <si>
    <t>벤처기업</t>
  </si>
  <si>
    <t>기타서비스</t>
  </si>
  <si>
    <t>전기,가스,수도</t>
  </si>
  <si>
    <t>IT 종합</t>
  </si>
  <si>
    <t>IT 벤처</t>
  </si>
  <si>
    <t>제조</t>
  </si>
  <si>
    <t>건설</t>
  </si>
  <si>
    <t>유통</t>
  </si>
  <si>
    <t>숙박,음식</t>
  </si>
  <si>
    <t>금융</t>
  </si>
  <si>
    <t>오락,문화</t>
  </si>
  <si>
    <t>통신방송서비스</t>
  </si>
  <si>
    <t>IT S/W &amp; SVC</t>
  </si>
  <si>
    <t>IT H/W</t>
  </si>
  <si>
    <t>농업</t>
  </si>
  <si>
    <t>음식료·담배</t>
  </si>
  <si>
    <t>섬유·의류</t>
  </si>
  <si>
    <t>종이·목재</t>
  </si>
  <si>
    <t>출판·매체복제</t>
  </si>
  <si>
    <t>제약</t>
  </si>
  <si>
    <t>비금속</t>
  </si>
  <si>
    <t>금속</t>
  </si>
  <si>
    <t>기계·장비</t>
  </si>
  <si>
    <t>일반전기전자</t>
  </si>
  <si>
    <t>의료·정밀기기</t>
  </si>
  <si>
    <t>운송장비·부품</t>
  </si>
  <si>
    <t>가구</t>
  </si>
  <si>
    <t>통신서비스</t>
  </si>
  <si>
    <t>방송서비스</t>
  </si>
  <si>
    <t>인터넷</t>
  </si>
  <si>
    <t>디지털컨텐츠</t>
  </si>
  <si>
    <t>소프트웨어</t>
  </si>
  <si>
    <t>컴퓨터서비스</t>
  </si>
  <si>
    <t>통신장비</t>
  </si>
  <si>
    <t>정보기기</t>
  </si>
  <si>
    <t>D90000</t>
  </si>
  <si>
    <t>D90110</t>
  </si>
  <si>
    <t>[D90110] 당좌차월</t>
  </si>
  <si>
    <t>D90120</t>
  </si>
  <si>
    <t>[D90120] -</t>
  </si>
  <si>
    <t>D90130</t>
  </si>
  <si>
    <t>[D90130] 외화단기차입금</t>
  </si>
  <si>
    <t>D90140</t>
  </si>
  <si>
    <t>[D90140] 어음차입금</t>
  </si>
  <si>
    <t>D90150</t>
  </si>
  <si>
    <t>[D90150] 특수관계자단기차입금</t>
  </si>
  <si>
    <t>D90160</t>
  </si>
  <si>
    <t>[D90160] 기타단기차입금</t>
  </si>
  <si>
    <t>D90170</t>
  </si>
  <si>
    <t>[D90170] 단기차입금합계</t>
  </si>
  <si>
    <t>D90180</t>
  </si>
  <si>
    <t>[D90180] 장기차입금</t>
  </si>
  <si>
    <t>D90190</t>
  </si>
  <si>
    <t>[D90190] 외화장기차입금</t>
  </si>
  <si>
    <t>D90200</t>
  </si>
  <si>
    <t>[D90200] 기타장기차입금</t>
  </si>
  <si>
    <t>D90210</t>
  </si>
  <si>
    <t>[D90210] 장기차입금합계</t>
  </si>
  <si>
    <t>D90220</t>
  </si>
  <si>
    <t>[D90220] (유동성장기차입금)</t>
  </si>
  <si>
    <t>D90230</t>
  </si>
  <si>
    <t>[D90230] 회사채</t>
  </si>
  <si>
    <t>D90240</t>
  </si>
  <si>
    <t>[D90240] (유동성사채)</t>
  </si>
  <si>
    <t>D90250</t>
  </si>
  <si>
    <t>[D90250] 금융리스부채</t>
  </si>
  <si>
    <t>D90260</t>
  </si>
  <si>
    <t>[D90260] 차입금총계</t>
  </si>
  <si>
    <t>20201231K</t>
  </si>
  <si>
    <t>20201231K</t>
    <phoneticPr fontId="9" type="noConversion"/>
  </si>
  <si>
    <t>20211231K</t>
  </si>
  <si>
    <t>20211231K</t>
    <phoneticPr fontId="9" type="noConversion"/>
  </si>
  <si>
    <t>20221231K</t>
  </si>
  <si>
    <t>20221231K</t>
    <phoneticPr fontId="9" type="noConversion"/>
  </si>
  <si>
    <t>20231231K</t>
  </si>
  <si>
    <t>20231231K</t>
    <phoneticPr fontId="9" type="noConversion"/>
  </si>
  <si>
    <t>D91000</t>
  </si>
  <si>
    <t>[D91000] 현금흐름과유동성</t>
  </si>
  <si>
    <t>D91110</t>
  </si>
  <si>
    <t>[D91110] 영업활동현금흐름</t>
  </si>
  <si>
    <t>D91120</t>
  </si>
  <si>
    <t>[D91120] 투자활동현금흐름</t>
  </si>
  <si>
    <t>D91130</t>
  </si>
  <si>
    <t>[D91130] 재무활동현금흐름</t>
  </si>
  <si>
    <t>D91140</t>
  </si>
  <si>
    <t>[D91140] 유동비율(%)</t>
  </si>
  <si>
    <t>D91150</t>
  </si>
  <si>
    <t>[D91150] 당좌비율(%)</t>
  </si>
  <si>
    <t>D92000</t>
  </si>
  <si>
    <t>[D92000] 성장성및수익성/재무안정성-재무구조</t>
  </si>
  <si>
    <t>D92110</t>
  </si>
  <si>
    <t>[D92110] 매출액</t>
  </si>
  <si>
    <t>D92120</t>
  </si>
  <si>
    <t>[D92120] 매출액증가율(%)</t>
  </si>
  <si>
    <t>D92130</t>
  </si>
  <si>
    <t>[D92130] 영업이익(손실)</t>
  </si>
  <si>
    <t>D92140</t>
  </si>
  <si>
    <t>[D92140] 영업이익증가율(%)</t>
  </si>
  <si>
    <t>D92150</t>
  </si>
  <si>
    <t>[D92150] 법인세비용차감전계속사업이익(손실)</t>
  </si>
  <si>
    <t>D92160</t>
  </si>
  <si>
    <t>[D92160] 매출액법인세비용차감전순이익율(%)</t>
  </si>
  <si>
    <t>D92170</t>
  </si>
  <si>
    <t>[D92170] 법인세비용차감전순이익증가율(%)</t>
  </si>
  <si>
    <t>D92180</t>
  </si>
  <si>
    <t>[D92180] 자본총계</t>
  </si>
  <si>
    <t>D92190</t>
  </si>
  <si>
    <t>[D92190] 부채총계</t>
  </si>
  <si>
    <t>D92200</t>
  </si>
  <si>
    <t>[D92200] 부채비율(%)</t>
  </si>
  <si>
    <t>D93000</t>
  </si>
  <si>
    <t>[D93000] 필요재무정보</t>
  </si>
  <si>
    <t>D93110</t>
  </si>
  <si>
    <t>[D93110] 매출액</t>
  </si>
  <si>
    <t>D93120</t>
  </si>
  <si>
    <t>[D93120] 매출원가</t>
  </si>
  <si>
    <t>D93124</t>
  </si>
  <si>
    <t>[D93124] 매출총이익</t>
  </si>
  <si>
    <t>D93128</t>
  </si>
  <si>
    <t>[D93128] 판매비관리비</t>
  </si>
  <si>
    <t>D93130</t>
  </si>
  <si>
    <t>[D93130]   여비교통비</t>
  </si>
  <si>
    <t>D93140</t>
  </si>
  <si>
    <t>[D93140]   도서인쇄비</t>
  </si>
  <si>
    <t>D93150</t>
  </si>
  <si>
    <t>[D93150]   수수료비용</t>
  </si>
  <si>
    <t>D93160</t>
  </si>
  <si>
    <t>[D93160]   리스료</t>
  </si>
  <si>
    <t>D93170</t>
  </si>
  <si>
    <t>[D93170]   하자보수비</t>
  </si>
  <si>
    <t>D93180</t>
  </si>
  <si>
    <t>[D93180]   접대비</t>
  </si>
  <si>
    <t>D93190</t>
  </si>
  <si>
    <t>[D93190]   광고선전비</t>
  </si>
  <si>
    <t>D93200</t>
  </si>
  <si>
    <t>[D93200]   보관료</t>
  </si>
  <si>
    <t>D93210</t>
  </si>
  <si>
    <t>[D93210]   견본비</t>
  </si>
  <si>
    <t>D93220</t>
  </si>
  <si>
    <t>[D93220]   포장비</t>
  </si>
  <si>
    <t>D93230</t>
  </si>
  <si>
    <t>[D93230]   운반비</t>
  </si>
  <si>
    <t>D93240</t>
  </si>
  <si>
    <t>[D93240]   판매수수료</t>
  </si>
  <si>
    <t>D93250</t>
  </si>
  <si>
    <t>[D93250]   해외시장개척비</t>
  </si>
  <si>
    <t>D93260</t>
  </si>
  <si>
    <t>[D93260]   판매촉진비</t>
  </si>
  <si>
    <t>D93270</t>
  </si>
  <si>
    <t>[D93270]   수출비용</t>
  </si>
  <si>
    <t>D93280</t>
  </si>
  <si>
    <t>[D93280]   기타판매비</t>
  </si>
  <si>
    <t>D93290</t>
  </si>
  <si>
    <t>[D93290]   A/S비</t>
  </si>
  <si>
    <t>D93300</t>
  </si>
  <si>
    <t>[D93300]   반품충당부채전입액</t>
  </si>
  <si>
    <t>D93310</t>
  </si>
  <si>
    <t>[D93310]   연구비</t>
  </si>
  <si>
    <t>D93320</t>
  </si>
  <si>
    <t>[D93320]   경상연구개발비</t>
  </si>
  <si>
    <t>D93330</t>
  </si>
  <si>
    <t>[D93330]   경상개발비</t>
  </si>
  <si>
    <t>D93340</t>
  </si>
  <si>
    <t>[D93340]   로얄티</t>
  </si>
  <si>
    <t>D93350</t>
  </si>
  <si>
    <t>[D93350]   대손상각비</t>
  </si>
  <si>
    <t>D93360</t>
  </si>
  <si>
    <t>[D93360]   기타매출관련경비</t>
  </si>
  <si>
    <t>D93370</t>
  </si>
  <si>
    <t>[D93370] 매출관련경비(계)</t>
  </si>
  <si>
    <t>D93380</t>
  </si>
  <si>
    <t>[D93380]   임원급여</t>
  </si>
  <si>
    <t>D93390</t>
  </si>
  <si>
    <t>[D93390]   급료와임금</t>
  </si>
  <si>
    <t>D93400</t>
  </si>
  <si>
    <t>[D93400]   제수당</t>
  </si>
  <si>
    <t>D93410</t>
  </si>
  <si>
    <t>[D93410]   상여금</t>
  </si>
  <si>
    <t>D93420</t>
  </si>
  <si>
    <t>[D93420] 급여(계)</t>
  </si>
  <si>
    <t>D93430</t>
  </si>
  <si>
    <t>[D93430]   퇴직급여충당금전입액</t>
  </si>
  <si>
    <t>D93440</t>
  </si>
  <si>
    <t>[D93440]   퇴직금</t>
  </si>
  <si>
    <t>D93450</t>
  </si>
  <si>
    <t>[D93450] 퇴직급여(계)</t>
  </si>
  <si>
    <t>D93460</t>
  </si>
  <si>
    <t>[D93460] 인건비(계)</t>
  </si>
  <si>
    <t>D93470</t>
  </si>
  <si>
    <t>[D93470]   복리후생비</t>
  </si>
  <si>
    <t>D93480</t>
  </si>
  <si>
    <t>[D93480]   주식보상비용</t>
  </si>
  <si>
    <t>D93490</t>
  </si>
  <si>
    <t>[D93490]   기타인건비</t>
  </si>
  <si>
    <t>D93500</t>
  </si>
  <si>
    <t>[D93500]   교육훈련비</t>
  </si>
  <si>
    <t>D93510</t>
  </si>
  <si>
    <t>[D93510]   기타인건비성경비</t>
  </si>
  <si>
    <t>D93520</t>
  </si>
  <si>
    <t>[D93520] 인건비성경비(계)</t>
  </si>
  <si>
    <t>D93530</t>
  </si>
  <si>
    <t>[D93530] 매출원가비율(%)</t>
  </si>
  <si>
    <t>D93540</t>
  </si>
  <si>
    <t>[D93540] 매출관련경비비율(%)</t>
  </si>
  <si>
    <t>D93550</t>
  </si>
  <si>
    <t>[D93550] 급여대비비율(%)</t>
  </si>
  <si>
    <t>D93560</t>
  </si>
  <si>
    <t>[D93560] 인건비대비비율(%)</t>
  </si>
  <si>
    <t>D94000</t>
  </si>
  <si>
    <t>[D94000] 재무상태표</t>
  </si>
  <si>
    <t>D94110</t>
  </si>
  <si>
    <t>[D94110] 자산총계</t>
  </si>
  <si>
    <t>D94120</t>
  </si>
  <si>
    <t>[D94120] 유동자산</t>
  </si>
  <si>
    <t>D94130</t>
  </si>
  <si>
    <t>[D94130] 비유동자산</t>
  </si>
  <si>
    <t>D94140</t>
  </si>
  <si>
    <t>[D94140] 유동부채</t>
  </si>
  <si>
    <t>D94150</t>
  </si>
  <si>
    <t>[D94150] 비유동부채</t>
  </si>
  <si>
    <t>성명(명칭)</t>
  </si>
  <si>
    <t>주식수(천주)</t>
  </si>
  <si>
    <t>지분율(%)</t>
  </si>
  <si>
    <t xml:space="preserve">진중헌 및 특수관계자          </t>
  </si>
  <si>
    <t>내용</t>
  </si>
  <si>
    <t>D10000</t>
  </si>
  <si>
    <t>[D10000] WACC</t>
  </si>
  <si>
    <t>D10010</t>
  </si>
  <si>
    <t>[D10010] 자산총계</t>
  </si>
  <si>
    <t>D10020</t>
  </si>
  <si>
    <t>[D10020] 부채총계</t>
  </si>
  <si>
    <t>D10030</t>
  </si>
  <si>
    <t>[D10030] 자본총계</t>
  </si>
  <si>
    <t>D10040</t>
  </si>
  <si>
    <t>[D10040] 부채비율(%)</t>
  </si>
  <si>
    <t>D10050</t>
  </si>
  <si>
    <t>[D10050]   단기차입금</t>
  </si>
  <si>
    <t>D10060</t>
  </si>
  <si>
    <t>[D10060]   유동성장기부채</t>
  </si>
  <si>
    <t>D10070</t>
  </si>
  <si>
    <t>[D10070]   장기사채(계)</t>
  </si>
  <si>
    <t>D10080</t>
  </si>
  <si>
    <t>[D10080]   장기차입금(계)</t>
  </si>
  <si>
    <t>D10090</t>
  </si>
  <si>
    <t>[D10090]   금융리스부채</t>
  </si>
  <si>
    <t>D10100</t>
  </si>
  <si>
    <t>[D10100]   기타재무부채</t>
  </si>
  <si>
    <t>D10110</t>
  </si>
  <si>
    <t>[D10110] 재무부채(계)</t>
  </si>
  <si>
    <t>D10120</t>
  </si>
  <si>
    <t>[D10120] 우선주자본금</t>
  </si>
  <si>
    <t>D10130</t>
  </si>
  <si>
    <t>[D10130] 보통주자본(계)</t>
  </si>
  <si>
    <t>D10140</t>
  </si>
  <si>
    <t>[D10140] 재무부채 반영 자산총계</t>
  </si>
  <si>
    <t>D10150</t>
  </si>
  <si>
    <t>[D10150]   [보통주발행주식수]</t>
  </si>
  <si>
    <t>D10160</t>
  </si>
  <si>
    <t>[D10160]   [보통주자기주식수]</t>
  </si>
  <si>
    <t>D10170</t>
  </si>
  <si>
    <t>[D10170] 유통보통주식수</t>
  </si>
  <si>
    <t>D10180</t>
  </si>
  <si>
    <t>[D10180] 타인자본비율(%)</t>
  </si>
  <si>
    <t>D10190</t>
  </si>
  <si>
    <t>[D10190] 우선주자기자본비율(%)</t>
  </si>
  <si>
    <t>D10200</t>
  </si>
  <si>
    <t>[D10200] 보통주자기자본비율(%)</t>
  </si>
  <si>
    <t>D10210</t>
  </si>
  <si>
    <t>[D10210] 무위험이자율(%)</t>
  </si>
  <si>
    <t>D10220</t>
  </si>
  <si>
    <t>[D10220] 위험프리미엄(%)</t>
  </si>
  <si>
    <t>#0.000000</t>
    <phoneticPr fontId="3" type="noConversion"/>
  </si>
  <si>
    <t>D10230</t>
  </si>
  <si>
    <t>[D10230] 주식베타</t>
  </si>
  <si>
    <t>D10240</t>
  </si>
  <si>
    <t>[D10240] 상관계수</t>
  </si>
  <si>
    <t>D10250</t>
  </si>
  <si>
    <t>[D10250] 업종부채비율(%)</t>
  </si>
  <si>
    <t>D10260</t>
  </si>
  <si>
    <t>[D10260] 무부채기업베타</t>
  </si>
  <si>
    <t>D10270</t>
  </si>
  <si>
    <t>[D10270] 해당기업베타</t>
  </si>
  <si>
    <t>D10280</t>
  </si>
  <si>
    <t>[D10280] 재무평점</t>
  </si>
  <si>
    <t>D10290</t>
  </si>
  <si>
    <t>[D10290] 법인세율(%)</t>
  </si>
  <si>
    <t>D10300</t>
  </si>
  <si>
    <t>[D10300] 세전타인자본비용(%)</t>
  </si>
  <si>
    <t>D10310</t>
  </si>
  <si>
    <t>[D10310] 세후타인자본비용(%)</t>
  </si>
  <si>
    <t>D10320</t>
  </si>
  <si>
    <t>[D10320] 우선주자기자본비용(%)</t>
  </si>
  <si>
    <t>D10330</t>
  </si>
  <si>
    <t>[D10330] 보통주자기자본비용(%)</t>
  </si>
  <si>
    <t xml:space="preserve"> </t>
    <phoneticPr fontId="3" type="noConversion"/>
  </si>
  <si>
    <t>D10340</t>
  </si>
  <si>
    <t>[D10340] 가중평균자본비용(WACC)(%)</t>
  </si>
  <si>
    <t>D10350</t>
  </si>
  <si>
    <t>[D10350] 순자산가치(NAV)</t>
  </si>
  <si>
    <t>D10360</t>
  </si>
  <si>
    <t>[D10360] 유통발행주식수</t>
  </si>
  <si>
    <t>D10370</t>
  </si>
  <si>
    <t>[D10370] 1주당순자산가치(NAV)(원)</t>
  </si>
  <si>
    <t>20231231K</t>
    <phoneticPr fontId="3" type="noConversion"/>
  </si>
  <si>
    <t>D10400</t>
  </si>
  <si>
    <t>[D10400] 할인율 조정</t>
  </si>
  <si>
    <t>D10410</t>
  </si>
  <si>
    <t>[D10410] 규모 및 비상장 프리미엄</t>
  </si>
  <si>
    <t>D20000</t>
  </si>
  <si>
    <t>[D20000] 감가상각비 추정</t>
  </si>
  <si>
    <t>D20010</t>
  </si>
  <si>
    <t>[D20010] 감가상각률(%)</t>
  </si>
  <si>
    <t>D20020</t>
  </si>
  <si>
    <t>[D20020] 판관비상감가상각비율(%)</t>
  </si>
  <si>
    <t>D20030</t>
  </si>
  <si>
    <t>[D20030] 유형자산재투자율(%)</t>
  </si>
  <si>
    <t>D20040</t>
  </si>
  <si>
    <t>[D20040] 무형자산상각률(%)</t>
  </si>
  <si>
    <t>D20050</t>
  </si>
  <si>
    <t>[D20050] 판관비상무형자산상각비율(%)</t>
  </si>
  <si>
    <t>D20060</t>
  </si>
  <si>
    <t>[D20060] 무형자산재투자율(%)</t>
  </si>
  <si>
    <t>D20070</t>
  </si>
  <si>
    <t>[D20070] 감가상각비(CF)</t>
  </si>
  <si>
    <t>D20080</t>
  </si>
  <si>
    <t>[D20080] 감가상각비(IS)</t>
  </si>
  <si>
    <t>D20090</t>
  </si>
  <si>
    <t>[D20090] 감가상각대상자산(BV)</t>
  </si>
  <si>
    <t>D20100</t>
  </si>
  <si>
    <t>[D20100] 감가상각누계액</t>
  </si>
  <si>
    <t>D20110</t>
  </si>
  <si>
    <t>[D20110] 취득원가</t>
  </si>
  <si>
    <t>D20120</t>
  </si>
  <si>
    <t>[D20120] 순취득액</t>
  </si>
  <si>
    <t>D20130</t>
  </si>
  <si>
    <t>[D20130] 무형자산상각비(CF)</t>
  </si>
  <si>
    <t>D20140</t>
  </si>
  <si>
    <t>[D20140] 무형자산상각비(IS)</t>
  </si>
  <si>
    <t>D20150</t>
  </si>
  <si>
    <t>[D20150] 무형자산(BV)</t>
  </si>
  <si>
    <t>D20160</t>
  </si>
  <si>
    <t>[D20160] 순취득액</t>
  </si>
  <si>
    <t>20201231K</t>
    <phoneticPr fontId="3" type="noConversion"/>
  </si>
  <si>
    <t>20211231K</t>
    <phoneticPr fontId="3" type="noConversion"/>
  </si>
  <si>
    <t>20221231K</t>
    <phoneticPr fontId="3" type="noConversion"/>
  </si>
  <si>
    <t>20231231Y</t>
  </si>
  <si>
    <t>20241231Z</t>
  </si>
  <si>
    <t>20251231Z</t>
  </si>
  <si>
    <t>20261231Z</t>
  </si>
  <si>
    <t>20271231Z</t>
  </si>
  <si>
    <t>20281231Z</t>
  </si>
  <si>
    <t>20291231Z</t>
  </si>
  <si>
    <t>D21000</t>
  </si>
  <si>
    <t>[D21000] 감가상각 계산비율</t>
  </si>
  <si>
    <t>D21010</t>
  </si>
  <si>
    <t>[D21010] 감가상각률(%)</t>
  </si>
  <si>
    <t>D21020</t>
  </si>
  <si>
    <t>[D21020] 판관비상감가상각비율(%)</t>
  </si>
  <si>
    <t>D21030</t>
  </si>
  <si>
    <t>[D21030] 유형자산재투자율(%)</t>
  </si>
  <si>
    <t>D21040</t>
  </si>
  <si>
    <t>[D21040] 무형자산상각률(%)</t>
  </si>
  <si>
    <t>D21050</t>
  </si>
  <si>
    <t>[D21050] 판관비상무형자산상각비율(%)</t>
  </si>
  <si>
    <t>D21060</t>
  </si>
  <si>
    <t>[D21060] 무형자산재투자율(%)</t>
  </si>
  <si>
    <t>YYYYYYYYA</t>
  </si>
  <si>
    <t>D22000</t>
  </si>
  <si>
    <t xml:space="preserve">[D22000] </t>
  </si>
  <si>
    <t>D22010</t>
  </si>
  <si>
    <t>[D22010] 1.감가상각비(CF)</t>
  </si>
  <si>
    <t>D22020</t>
  </si>
  <si>
    <t>[D22020] 2.자본적지출</t>
  </si>
  <si>
    <t>D22030</t>
  </si>
  <si>
    <t>[D22030] 3.NWC증감</t>
  </si>
  <si>
    <t>D22040</t>
  </si>
  <si>
    <t>[D22040] 4.조정사항(b)</t>
  </si>
  <si>
    <t>D30000</t>
  </si>
  <si>
    <t>[D30000] 비용분석 및 비용추정</t>
  </si>
  <si>
    <t>D30010</t>
  </si>
  <si>
    <t>[D30010] 매출액</t>
  </si>
  <si>
    <t>D30020</t>
  </si>
  <si>
    <t>[D30020] 매출원가</t>
  </si>
  <si>
    <t>D30030</t>
  </si>
  <si>
    <t>[D30030] 매출총이익</t>
  </si>
  <si>
    <t>D30040</t>
  </si>
  <si>
    <t>[D30040]   여비교통비</t>
  </si>
  <si>
    <t>D30050</t>
  </si>
  <si>
    <t>[D30050]   도서인쇄비</t>
  </si>
  <si>
    <t>D30060</t>
  </si>
  <si>
    <t>[D30060]   수수료비용</t>
  </si>
  <si>
    <t>D30070</t>
  </si>
  <si>
    <t>[D30070]   리스료</t>
  </si>
  <si>
    <t>D30080</t>
  </si>
  <si>
    <t>[D30080]   하자보수비</t>
  </si>
  <si>
    <t>D30090</t>
  </si>
  <si>
    <t>[D30090]   접대비</t>
  </si>
  <si>
    <t>D30100</t>
  </si>
  <si>
    <t>[D30100]   광고선전비</t>
  </si>
  <si>
    <t>D30110</t>
  </si>
  <si>
    <t>[D30110]   보관료</t>
  </si>
  <si>
    <t>D30120</t>
  </si>
  <si>
    <t>[D30120]   견본비</t>
  </si>
  <si>
    <t>D30130</t>
  </si>
  <si>
    <t>[D30130]   포장비</t>
  </si>
  <si>
    <t>D30140</t>
  </si>
  <si>
    <t>[D30140]   운반비</t>
  </si>
  <si>
    <t>D30150</t>
  </si>
  <si>
    <t>[D30150]   판매수수료</t>
  </si>
  <si>
    <t>D30160</t>
  </si>
  <si>
    <t>[D30160]   해외시장개척비</t>
  </si>
  <si>
    <t>D30170</t>
  </si>
  <si>
    <t>[D30170]   판매촉진비</t>
  </si>
  <si>
    <t>D30180</t>
  </si>
  <si>
    <t>[D30180]   수출비용</t>
  </si>
  <si>
    <t>D30190</t>
  </si>
  <si>
    <t>[D30190]   기타판매비</t>
  </si>
  <si>
    <t>D30200</t>
  </si>
  <si>
    <t>[D30200]   A/S비</t>
  </si>
  <si>
    <t>D30210</t>
  </si>
  <si>
    <t>[D30210]   반품충당부채전입액</t>
  </si>
  <si>
    <t>D30220</t>
  </si>
  <si>
    <t>[D30220]   연구비</t>
  </si>
  <si>
    <t>D30230</t>
  </si>
  <si>
    <t>[D30230]   경상연구개발비</t>
  </si>
  <si>
    <t>D30240</t>
  </si>
  <si>
    <t>[D30240]   경상개발비</t>
  </si>
  <si>
    <t>D30250</t>
  </si>
  <si>
    <t>[D30250]   로얄티</t>
  </si>
  <si>
    <t>D30260</t>
  </si>
  <si>
    <t>[D30260]   대손상각비</t>
  </si>
  <si>
    <t>D30270</t>
  </si>
  <si>
    <t>[D30270]   기타매출관련경비</t>
  </si>
  <si>
    <t>D30280</t>
  </si>
  <si>
    <t>[D30280] 매출관련경비(계)</t>
  </si>
  <si>
    <t>D30290</t>
  </si>
  <si>
    <t>[D30290] 급여인상율(%)</t>
  </si>
  <si>
    <t>D30300</t>
  </si>
  <si>
    <t>[D30300] 평균급여</t>
  </si>
  <si>
    <t>D30310</t>
  </si>
  <si>
    <t>[D30310] 인원수</t>
  </si>
  <si>
    <t>D30320</t>
  </si>
  <si>
    <t>[D30320]   임원급여</t>
  </si>
  <si>
    <t>D30330</t>
  </si>
  <si>
    <t>[D30330]   급료와임금</t>
  </si>
  <si>
    <t>D30340</t>
  </si>
  <si>
    <t>[D30340]   제수당</t>
  </si>
  <si>
    <t>D30350</t>
  </si>
  <si>
    <t>[D30350]   상여금</t>
  </si>
  <si>
    <t>D30360</t>
  </si>
  <si>
    <t>[D30360] 급여(계)</t>
  </si>
  <si>
    <t>D30370</t>
  </si>
  <si>
    <t>[D30370]   퇴직급여충당금전입액</t>
  </si>
  <si>
    <t>D30380</t>
  </si>
  <si>
    <t>[D30380]   퇴직금</t>
  </si>
  <si>
    <t>D30390</t>
  </si>
  <si>
    <t>[D30390] 퇴직급여(계)</t>
  </si>
  <si>
    <t>D30400</t>
  </si>
  <si>
    <t>[D30400] 인건비(계)</t>
  </si>
  <si>
    <t>D30410</t>
  </si>
  <si>
    <t>[D30410]   복리후생비</t>
  </si>
  <si>
    <t>D30420</t>
  </si>
  <si>
    <t>[D30420]   주식보상비용</t>
  </si>
  <si>
    <t>D30430</t>
  </si>
  <si>
    <t>[D30430]   기타인건비</t>
  </si>
  <si>
    <t>D30440</t>
  </si>
  <si>
    <t>[D30440]   교육훈련비</t>
  </si>
  <si>
    <t>D30450</t>
  </si>
  <si>
    <t>[D30450]   기타인건비성경비</t>
  </si>
  <si>
    <t>D30460</t>
  </si>
  <si>
    <t>[D30460] 인건비성경비(계)</t>
  </si>
  <si>
    <t>D30470</t>
  </si>
  <si>
    <t>[D30470] 소비자물가상승율(%)</t>
  </si>
  <si>
    <t>D30480</t>
  </si>
  <si>
    <t>[D30480] 사무실임대료증가율(%)</t>
  </si>
  <si>
    <t>D30490</t>
  </si>
  <si>
    <t>[D30490]   임차료비용</t>
  </si>
  <si>
    <t>D30500</t>
  </si>
  <si>
    <t>[D30500]   통신비</t>
  </si>
  <si>
    <t>D30510</t>
  </si>
  <si>
    <t>[D30510]   수도광열비</t>
  </si>
  <si>
    <t>D30520</t>
  </si>
  <si>
    <t>[D30520]   세금과공과</t>
  </si>
  <si>
    <t>D30530</t>
  </si>
  <si>
    <t>[D30530]   수선비</t>
  </si>
  <si>
    <t>D30540</t>
  </si>
  <si>
    <t>[D30540]   보험료</t>
  </si>
  <si>
    <t>D30550</t>
  </si>
  <si>
    <t>[D30550]   도서구입비</t>
  </si>
  <si>
    <t>D30560</t>
  </si>
  <si>
    <t>[D30560]   소모품비</t>
  </si>
  <si>
    <t>D30570</t>
  </si>
  <si>
    <t>[D30570]   차량유지비</t>
  </si>
  <si>
    <t>D30580</t>
  </si>
  <si>
    <t>[D30580]   전산처리비</t>
  </si>
  <si>
    <t>D30590</t>
  </si>
  <si>
    <t>[D30590]   기타관리비</t>
  </si>
  <si>
    <t>D30600</t>
  </si>
  <si>
    <t>[D30600]   중간기간판매비와관리비조정</t>
  </si>
  <si>
    <t>D30610</t>
  </si>
  <si>
    <t>[D30610]   기타고정성경비</t>
  </si>
  <si>
    <t>D30620</t>
  </si>
  <si>
    <t>[D30620] 고정성경비(계)</t>
  </si>
  <si>
    <t>D30630</t>
  </si>
  <si>
    <t>[D30630] 감가상각비(IS)</t>
  </si>
  <si>
    <t>D30640</t>
  </si>
  <si>
    <t>[D30640] 무형자산상각비(IS)</t>
  </si>
  <si>
    <t>D30650</t>
  </si>
  <si>
    <t>[D30650]   기타</t>
  </si>
  <si>
    <t>D30660</t>
  </si>
  <si>
    <t>[D30660] 판매비관리비(총계)</t>
  </si>
  <si>
    <t>D30670</t>
  </si>
  <si>
    <t>[D30670] 판매비관리비</t>
  </si>
  <si>
    <t>D30680</t>
  </si>
  <si>
    <t>[D30680] Validation Check</t>
  </si>
  <si>
    <t>D31000</t>
  </si>
  <si>
    <t>[D31000] 영업관련비용 계산비율</t>
  </si>
  <si>
    <t>D31010</t>
  </si>
  <si>
    <t>[D31010] 매출원가비율(%)</t>
  </si>
  <si>
    <t>D31020</t>
  </si>
  <si>
    <t>[D31020] 매출관련경비비율(%)</t>
  </si>
  <si>
    <t>D31030</t>
  </si>
  <si>
    <t>[D31030] 퇴직급여비율(%)</t>
  </si>
  <si>
    <t>D31040</t>
  </si>
  <si>
    <t>[D31040] 인건비성경비비율(%)</t>
  </si>
  <si>
    <t>D31050</t>
  </si>
  <si>
    <t>[D31050] 기타경비비율(%)</t>
  </si>
  <si>
    <t>D40000</t>
  </si>
  <si>
    <t>[D40000] 손익계산서 추정을 위한 자료</t>
  </si>
  <si>
    <t>D40010</t>
  </si>
  <si>
    <t>[D40010] 연환산비율(%)</t>
  </si>
  <si>
    <t>D40020</t>
  </si>
  <si>
    <t>[D40020] 매출액증가율(%)</t>
  </si>
  <si>
    <t>D40030</t>
  </si>
  <si>
    <t>[D40030] 매출원가비율(%)</t>
  </si>
  <si>
    <t>D40040</t>
  </si>
  <si>
    <t>[D40040] 매출관련경비비율(%)</t>
  </si>
  <si>
    <t>D40050</t>
  </si>
  <si>
    <t>[D40050] 기타경비비율(%)</t>
  </si>
  <si>
    <t>D40060</t>
  </si>
  <si>
    <t>[D40060] 경상영업외수익(이자수익제외)/매출액(%)</t>
  </si>
  <si>
    <t>D40070</t>
  </si>
  <si>
    <t>[D40070] 이자수익/이자수입성자산(%)</t>
  </si>
  <si>
    <t>D40080</t>
  </si>
  <si>
    <t>[D40080] 경상영업외비용(이자비용제외)/매출액(%)</t>
  </si>
  <si>
    <t>D40090</t>
  </si>
  <si>
    <t>[D40090] 이자비용/이자지급성부채(%)</t>
  </si>
  <si>
    <t>D40100</t>
  </si>
  <si>
    <t>[D40100] 이자수입성자산</t>
  </si>
  <si>
    <t>D40110</t>
  </si>
  <si>
    <t>[D40110] 이자지급성부채</t>
  </si>
  <si>
    <t>D40120</t>
  </si>
  <si>
    <t>[D40120] 손익계산서 추정</t>
  </si>
  <si>
    <t>D40130</t>
  </si>
  <si>
    <t>[D40130] 매출액</t>
  </si>
  <si>
    <t>D40140</t>
  </si>
  <si>
    <t>[D40140] 매출원가</t>
  </si>
  <si>
    <t>D40150</t>
  </si>
  <si>
    <t>[D40150] 매출총이익(손실)</t>
  </si>
  <si>
    <t>D40160</t>
  </si>
  <si>
    <t>[D40160] 판매비와관리비</t>
  </si>
  <si>
    <t>D40170</t>
  </si>
  <si>
    <t>[D40170] 매출관련경비</t>
  </si>
  <si>
    <t>D40180</t>
  </si>
  <si>
    <t>[D40180] 인건비</t>
  </si>
  <si>
    <t>D40190</t>
  </si>
  <si>
    <t>[D40190] 인건비성경비</t>
  </si>
  <si>
    <t>D40200</t>
  </si>
  <si>
    <t>[D40200] 고정성경비</t>
  </si>
  <si>
    <t>D40210</t>
  </si>
  <si>
    <t>[D40210] 감가상각비</t>
  </si>
  <si>
    <t>D40220</t>
  </si>
  <si>
    <t>[D40220] 무형자산상각비</t>
  </si>
  <si>
    <t>D40230</t>
  </si>
  <si>
    <t>[D40230] 기타</t>
  </si>
  <si>
    <t>D40240</t>
  </si>
  <si>
    <t>[D40240] 영업이익(손실)</t>
  </si>
  <si>
    <t>D40250</t>
  </si>
  <si>
    <t>[D40250] 영업외수익</t>
  </si>
  <si>
    <t>D40260</t>
  </si>
  <si>
    <t>[D40260] 경상영업외수익(이자수익포함)</t>
  </si>
  <si>
    <t>D40270</t>
  </si>
  <si>
    <t>[D40270]   이자수익</t>
  </si>
  <si>
    <t>D40280</t>
  </si>
  <si>
    <t>[D40280] 영업외비용</t>
  </si>
  <si>
    <t>D40290</t>
  </si>
  <si>
    <t>[D40290] 경상영업외비용(이자비용포함)</t>
  </si>
  <si>
    <t>D40300</t>
  </si>
  <si>
    <t>[D40300]   이자비용</t>
  </si>
  <si>
    <t>D40310</t>
  </si>
  <si>
    <t>[D40310] 법인세비용차감전계속사업이익(손실)</t>
  </si>
  <si>
    <t>D40320</t>
  </si>
  <si>
    <t>[D40320] 법인세율(%)</t>
  </si>
  <si>
    <t>D40330</t>
  </si>
  <si>
    <t>[D40330] 계속사업손익법인세비용(부의법인세비용)</t>
  </si>
  <si>
    <t>D40340</t>
  </si>
  <si>
    <t>[D40340] 계속사업이익(손실)</t>
  </si>
  <si>
    <t>D40350</t>
  </si>
  <si>
    <t>[D40350] 당기순이익(손실)</t>
  </si>
  <si>
    <t>D40360</t>
  </si>
  <si>
    <t>[D40360] Validation Check(영업외수익)</t>
  </si>
  <si>
    <t>D40370</t>
  </si>
  <si>
    <t>[D40370] Validation Check(영업외비용)</t>
  </si>
  <si>
    <t>#.00</t>
    <phoneticPr fontId="3" type="noConversion"/>
  </si>
  <si>
    <t>D40380</t>
  </si>
  <si>
    <t>[D40380] 매출액 Growth Rate(%)</t>
  </si>
  <si>
    <t>D40390</t>
  </si>
  <si>
    <t>[D40390] 매출원가 % of Sales</t>
  </si>
  <si>
    <t>D40400</t>
  </si>
  <si>
    <t>[D40400] 판매비와관리비 % of Sales</t>
  </si>
  <si>
    <t>D40410</t>
  </si>
  <si>
    <t>[D40410] 영업이익율 (%)</t>
  </si>
  <si>
    <t>D41000</t>
  </si>
  <si>
    <t>[D41000] 영업외손익 계산비율</t>
  </si>
  <si>
    <t>D41010</t>
  </si>
  <si>
    <t>[D41010] 경상영업외수익(이자수익포함)/매출액(%)</t>
  </si>
  <si>
    <t>D41020</t>
  </si>
  <si>
    <t>[D41020] 이자수익/이자수입성자산(%)</t>
  </si>
  <si>
    <t>D41030</t>
  </si>
  <si>
    <t>[D41030] 경상영업외비용(이자비용포함)/매출액(%)</t>
  </si>
  <si>
    <t>D41040</t>
  </si>
  <si>
    <t>[D41040] 이자비용/이자지급성부채(%)</t>
  </si>
  <si>
    <t>ZZZZZZZZC</t>
  </si>
  <si>
    <t>D42000</t>
  </si>
  <si>
    <t>[D42000] 경상영업외수익(이자수익포함) 추정</t>
  </si>
  <si>
    <t>D42010</t>
  </si>
  <si>
    <t>[D42010] 영업외수익</t>
  </si>
  <si>
    <t>D42020</t>
  </si>
  <si>
    <t>[D42020] 경상영업외수익(이자수익포함)</t>
  </si>
  <si>
    <t>D42030</t>
  </si>
  <si>
    <t>[D42030]  이자수익</t>
  </si>
  <si>
    <t>D42040</t>
  </si>
  <si>
    <t>[D42040]  장단기투자증권이자수익</t>
  </si>
  <si>
    <t>D42050</t>
  </si>
  <si>
    <t>[D42050]  배당금수익</t>
  </si>
  <si>
    <t>D42060</t>
  </si>
  <si>
    <t>[D42060]  단기투자자산처분이익</t>
  </si>
  <si>
    <t>D42070</t>
  </si>
  <si>
    <t>[D42070]  단기금융상품처분이익</t>
  </si>
  <si>
    <t>D42080</t>
  </si>
  <si>
    <t>[D42080]  단기금융상품평가이익</t>
  </si>
  <si>
    <t>D42090</t>
  </si>
  <si>
    <t>[D42090]  단기매매증권처분이익</t>
  </si>
  <si>
    <t>D42100</t>
  </si>
  <si>
    <t>[D42100]  단기매매증권평가이익</t>
  </si>
  <si>
    <t>D42110</t>
  </si>
  <si>
    <t>[D42110]  단기투자일임계약자산평가이익</t>
  </si>
  <si>
    <t>D42120</t>
  </si>
  <si>
    <t>[D42120]  매출채권처분이익</t>
  </si>
  <si>
    <t>D42130</t>
  </si>
  <si>
    <t>[D42130]  재고자산평가손실환입</t>
  </si>
  <si>
    <t>D42140</t>
  </si>
  <si>
    <t>[D42140]  임대주택자산처분이익</t>
  </si>
  <si>
    <t>D42150</t>
  </si>
  <si>
    <t>[D42150]  주식배당금수익</t>
  </si>
  <si>
    <t>D42160</t>
  </si>
  <si>
    <t>[D42160]  신주인수권처분이익</t>
  </si>
  <si>
    <t>D42170</t>
  </si>
  <si>
    <t>[D42170]  임대료수익</t>
  </si>
  <si>
    <t>D42180</t>
  </si>
  <si>
    <t>[D42180]  수수료수익</t>
  </si>
  <si>
    <t>D42190</t>
  </si>
  <si>
    <t>[D42190]  원가차익</t>
  </si>
  <si>
    <t>D42200</t>
  </si>
  <si>
    <t>[D42200]  매입할인</t>
  </si>
  <si>
    <t>D42210</t>
  </si>
  <si>
    <t>[D42210]  보험차익</t>
  </si>
  <si>
    <t>D42220</t>
  </si>
  <si>
    <t>[D42220]  외환차익</t>
  </si>
  <si>
    <t>D42230</t>
  </si>
  <si>
    <t>[D42230]  외화환산이익</t>
  </si>
  <si>
    <t>D42240</t>
  </si>
  <si>
    <t>[D42240]  파생상품거래이익</t>
  </si>
  <si>
    <t>D42250</t>
  </si>
  <si>
    <t>[D42250]  파생상품거래대환입</t>
  </si>
  <si>
    <t>D42260</t>
  </si>
  <si>
    <t>[D42260]  파생상품평가이익</t>
  </si>
  <si>
    <t>D42270</t>
  </si>
  <si>
    <t>[D42270]  환율조정대환입</t>
  </si>
  <si>
    <t>D42280</t>
  </si>
  <si>
    <t>[D42280]  대손충당금환입</t>
  </si>
  <si>
    <t>D42290</t>
  </si>
  <si>
    <t>[D42290]  장단기투자증권평가충당금환입</t>
  </si>
  <si>
    <t>D42300</t>
  </si>
  <si>
    <t>[D42300]  투자자산평가이익</t>
  </si>
  <si>
    <t>D42310</t>
  </si>
  <si>
    <t>[D42310]  매도가능증권평가이익</t>
  </si>
  <si>
    <t>D42320</t>
  </si>
  <si>
    <t>[D42320]  투자자산평가충당금환입</t>
  </si>
  <si>
    <t>D42330</t>
  </si>
  <si>
    <t>[D42330]  투자자산처분이익</t>
  </si>
  <si>
    <t>D42340</t>
  </si>
  <si>
    <t>[D42340]  매도가능증권처분이익</t>
  </si>
  <si>
    <t>D42350</t>
  </si>
  <si>
    <t>[D42350]  만기보유증권처분이익</t>
  </si>
  <si>
    <t>D42360</t>
  </si>
  <si>
    <t>[D42360]  지분법주식처분이익</t>
  </si>
  <si>
    <t>D42370</t>
  </si>
  <si>
    <t>[D42370]  기타장단기투자증권처분이익</t>
  </si>
  <si>
    <t>D42380</t>
  </si>
  <si>
    <t>[D42380]  기타장단기투자증권평가이익</t>
  </si>
  <si>
    <t>D42390</t>
  </si>
  <si>
    <t>[D42390]  자전거래이익</t>
  </si>
  <si>
    <t>D42400</t>
  </si>
  <si>
    <t>[D42400]  유,무형,리스자산처분이익</t>
  </si>
  <si>
    <t>D42410</t>
  </si>
  <si>
    <t>[D42410]  공정가액조정이익</t>
  </si>
  <si>
    <t>D42420</t>
  </si>
  <si>
    <t>[D42420]  상각채권추심이익</t>
  </si>
  <si>
    <t>D42430</t>
  </si>
  <si>
    <t>[D42430]  사채상환이익</t>
  </si>
  <si>
    <t>D42440</t>
  </si>
  <si>
    <t>[D42440]  지분법이익</t>
  </si>
  <si>
    <t>D42450</t>
  </si>
  <si>
    <t>[D42450]  임대주택자산감액손실환입</t>
  </si>
  <si>
    <t>D42460</t>
  </si>
  <si>
    <t>[D42460]  투자자산감액손실환입</t>
  </si>
  <si>
    <t>D42470</t>
  </si>
  <si>
    <t>[D42470]  매도가능증권감액손실환입</t>
  </si>
  <si>
    <t>D42480</t>
  </si>
  <si>
    <t>[D42480]  만기보유증권감액손실환입</t>
  </si>
  <si>
    <t>D42490</t>
  </si>
  <si>
    <t>[D42490]  지분법주식감액손실환입</t>
  </si>
  <si>
    <t>D42500</t>
  </si>
  <si>
    <t>[D42500]  유형자산감액손실환입</t>
  </si>
  <si>
    <t>D42510</t>
  </si>
  <si>
    <t>[D42510]  무형자산감액손실환입</t>
  </si>
  <si>
    <t>D42520</t>
  </si>
  <si>
    <t>[D42520]  기타자산감액손실환입</t>
  </si>
  <si>
    <t>D42530</t>
  </si>
  <si>
    <t>[D42530]  주식보상비용환입</t>
  </si>
  <si>
    <t>D42540</t>
  </si>
  <si>
    <t>[D42540]  법인세환급액</t>
  </si>
  <si>
    <t>D42550</t>
  </si>
  <si>
    <t>[D42550]  전환사채전환이익</t>
  </si>
  <si>
    <t>D42560</t>
  </si>
  <si>
    <t>[D42560]  중간기간오류이익</t>
  </si>
  <si>
    <t>D42570</t>
  </si>
  <si>
    <t>[D42570]  중간기간영업외수익조정</t>
  </si>
  <si>
    <t>D42580</t>
  </si>
  <si>
    <t>[D42580]  전기오류수정이익</t>
  </si>
  <si>
    <t>D42590</t>
  </si>
  <si>
    <t>[D42590]  복구충당부채환입액</t>
  </si>
  <si>
    <t>D42600</t>
  </si>
  <si>
    <t>[D42600]  복구공사이익</t>
  </si>
  <si>
    <t>D42610</t>
  </si>
  <si>
    <t>[D42610]  유동화수익</t>
  </si>
  <si>
    <t>D42620</t>
  </si>
  <si>
    <t>[D42620]  자산수증이익</t>
  </si>
  <si>
    <t>D42630</t>
  </si>
  <si>
    <t>[D42630]  채무면제이익</t>
  </si>
  <si>
    <t>D42640</t>
  </si>
  <si>
    <t>[D42640]  해외사업환산이익환입</t>
  </si>
  <si>
    <t>D42650</t>
  </si>
  <si>
    <t>[D42650]  기타영업외수익</t>
  </si>
  <si>
    <t>20231231Y</t>
    <phoneticPr fontId="3" type="noConversion"/>
  </si>
  <si>
    <t>제외</t>
    <phoneticPr fontId="3" type="noConversion"/>
  </si>
  <si>
    <t>D43000</t>
  </si>
  <si>
    <t>[D43000] 경상영업외비용(이자비용포함) 추정</t>
  </si>
  <si>
    <t>D43010</t>
  </si>
  <si>
    <t>[D43010] 영업외비용</t>
  </si>
  <si>
    <t>D43020</t>
  </si>
  <si>
    <t>[D43020] 경상영업외비용(이자비용포함)</t>
  </si>
  <si>
    <t>D43030</t>
  </si>
  <si>
    <t>[D43030]  이자비용</t>
  </si>
  <si>
    <t>D43040</t>
  </si>
  <si>
    <t>[D43040]  사채이자</t>
  </si>
  <si>
    <t>D43050</t>
  </si>
  <si>
    <t>[D43050]  단기투자자산처분손실</t>
  </si>
  <si>
    <t>D43060</t>
  </si>
  <si>
    <t>[D43060]  장기투자자산처분손실</t>
  </si>
  <si>
    <t>D43070</t>
  </si>
  <si>
    <t>[D43070]  단기금융상품처분손실</t>
  </si>
  <si>
    <t>D43080</t>
  </si>
  <si>
    <t>[D43080]  단기매매증권처분손실</t>
  </si>
  <si>
    <t>D43090</t>
  </si>
  <si>
    <t>[D43090]  지분법주식처분손실</t>
  </si>
  <si>
    <t>D43100</t>
  </si>
  <si>
    <t>[D43100]  기타장단기투자증권처분손실</t>
  </si>
  <si>
    <t>D43110</t>
  </si>
  <si>
    <t>[D43110]  매출채권처분손실</t>
  </si>
  <si>
    <t>D43120</t>
  </si>
  <si>
    <t>[D43120]  임대주택자산처분손실</t>
  </si>
  <si>
    <t>D43130</t>
  </si>
  <si>
    <t>[D43130]  신주인수권처분손실</t>
  </si>
  <si>
    <t>D43140</t>
  </si>
  <si>
    <t>[D43140]  기부금</t>
  </si>
  <si>
    <t>D43150</t>
  </si>
  <si>
    <t>[D43150]  외환차손</t>
  </si>
  <si>
    <t>D43160</t>
  </si>
  <si>
    <t>[D43160]  파생상품거래손실</t>
  </si>
  <si>
    <t>D43170</t>
  </si>
  <si>
    <t>[D43170]  파생상품거래차상각</t>
  </si>
  <si>
    <t>D43180</t>
  </si>
  <si>
    <t>[D43180]  파생상품평가손실</t>
  </si>
  <si>
    <t>D43190</t>
  </si>
  <si>
    <t>[D43190]  자산평가손실</t>
  </si>
  <si>
    <t>D43200</t>
  </si>
  <si>
    <t>[D43200]  외화환산손실</t>
  </si>
  <si>
    <t>D43210</t>
  </si>
  <si>
    <t>[D43210]  매출할인</t>
  </si>
  <si>
    <t>D43220</t>
  </si>
  <si>
    <t>[D43220]  수수료비용</t>
  </si>
  <si>
    <t>D43230</t>
  </si>
  <si>
    <t>[D43230]  원가차손</t>
  </si>
  <si>
    <t>D43240</t>
  </si>
  <si>
    <t>[D43240]  기타대손상각비</t>
  </si>
  <si>
    <t>D43250</t>
  </si>
  <si>
    <t>[D43250]  감가상각비</t>
  </si>
  <si>
    <t>D43260</t>
  </si>
  <si>
    <t>[D43260]  유,무형,리스자산처분손실</t>
  </si>
  <si>
    <t>D43270</t>
  </si>
  <si>
    <t>[D43270]  투자자산처분손실</t>
  </si>
  <si>
    <t>D43280</t>
  </si>
  <si>
    <t>[D43280]  매도가능증권처분손실</t>
  </si>
  <si>
    <t>D43290</t>
  </si>
  <si>
    <t>[D43290]  만기보유증권처분손실</t>
  </si>
  <si>
    <t>D43300</t>
  </si>
  <si>
    <t>[D43300]  자전거래손실</t>
  </si>
  <si>
    <t>D43310</t>
  </si>
  <si>
    <t>[D43310]  공정가액조정손실</t>
  </si>
  <si>
    <t>D43320</t>
  </si>
  <si>
    <t>[D43320]  임대주택자산감액손실</t>
  </si>
  <si>
    <t>D43330</t>
  </si>
  <si>
    <t>[D43330]  투자자산감액손실</t>
  </si>
  <si>
    <t>D43340</t>
  </si>
  <si>
    <t>[D43340]  매도가능증권감액손실</t>
  </si>
  <si>
    <t>D43350</t>
  </si>
  <si>
    <t>[D43350]  만기보유증권감액손실</t>
  </si>
  <si>
    <t>D43360</t>
  </si>
  <si>
    <t>[D43360]  지분법주식감액손실</t>
  </si>
  <si>
    <t>D43370</t>
  </si>
  <si>
    <t>[D43370]  유형자산감액손실</t>
  </si>
  <si>
    <t>D43380</t>
  </si>
  <si>
    <t>[D43380]  무형자산감액손실</t>
  </si>
  <si>
    <t>D43390</t>
  </si>
  <si>
    <t>[D43390]  기타자산감액손실</t>
  </si>
  <si>
    <t>D43400</t>
  </si>
  <si>
    <t>[D43400]  사채상환손실</t>
  </si>
  <si>
    <t>D43410</t>
  </si>
  <si>
    <t>[D43410]  부채상환손실</t>
  </si>
  <si>
    <t>D43420</t>
  </si>
  <si>
    <t>[D43420]  지분법손실</t>
  </si>
  <si>
    <t>D43430</t>
  </si>
  <si>
    <t>[D43430]  법인세추납액</t>
  </si>
  <si>
    <t>D43440</t>
  </si>
  <si>
    <t>[D43440]  전환사채전환손실</t>
  </si>
  <si>
    <t>D43450</t>
  </si>
  <si>
    <t>[D43450]  중간기간오류손실</t>
  </si>
  <si>
    <t>D43460</t>
  </si>
  <si>
    <t>[D43460]  중간기간영업외비용조정</t>
  </si>
  <si>
    <t>D43470</t>
  </si>
  <si>
    <t>[D43470]  전기오류수정손실</t>
  </si>
  <si>
    <t>D43480</t>
  </si>
  <si>
    <t>[D43480]  복구충당부채전입액</t>
  </si>
  <si>
    <t>D43490</t>
  </si>
  <si>
    <t>[D43490]  복구공사손실</t>
  </si>
  <si>
    <t>D43500</t>
  </si>
  <si>
    <t>[D43500]  재해손실</t>
  </si>
  <si>
    <t>D43510</t>
  </si>
  <si>
    <t>[D43510]  특별상각</t>
  </si>
  <si>
    <t>D43520</t>
  </si>
  <si>
    <t>[D43520]  해외사업환산손실상각</t>
  </si>
  <si>
    <t>D43530</t>
  </si>
  <si>
    <t>[D43530]  기타영업외비용</t>
  </si>
  <si>
    <t>D50000</t>
  </si>
  <si>
    <t>[D50000] 순운전자본 추정을 위한 자료</t>
  </si>
  <si>
    <t>D50010</t>
  </si>
  <si>
    <t>[D50010] 매출액</t>
  </si>
  <si>
    <t>D50020</t>
  </si>
  <si>
    <t>[D50020] 매출원가</t>
  </si>
  <si>
    <t>D50030</t>
  </si>
  <si>
    <t>[D50030] 매출액증가율(%)</t>
  </si>
  <si>
    <t>D50040</t>
  </si>
  <si>
    <t>[D50040] 매출채권회전율(%)</t>
  </si>
  <si>
    <t>D50050</t>
  </si>
  <si>
    <t>[D50050] 재고자산회전율(%)</t>
  </si>
  <si>
    <t>D50060</t>
  </si>
  <si>
    <t xml:space="preserve">[D50060] 매입채무회전율(%) </t>
  </si>
  <si>
    <t>D50070</t>
  </si>
  <si>
    <t>[D50070] (매출채권+선급비용)/이자수입성자산(%)</t>
  </si>
  <si>
    <t>D50080</t>
  </si>
  <si>
    <t>[D50080] (매입채무+미지급비용)/이자지급성부채(%)</t>
  </si>
  <si>
    <t>D50090</t>
  </si>
  <si>
    <t>[D50090] 선급비용회전율(%)</t>
  </si>
  <si>
    <t>D50100</t>
  </si>
  <si>
    <t>[D50100] 미지급비용회전율(%)</t>
  </si>
  <si>
    <t>D50110</t>
  </si>
  <si>
    <t>[D50110] 순운전자본 추정</t>
  </si>
  <si>
    <t>D50120</t>
  </si>
  <si>
    <t>[D50120] 매출채권(공사미수금등 포함)</t>
  </si>
  <si>
    <t>D50130</t>
  </si>
  <si>
    <t>[D50130] 선급비용</t>
  </si>
  <si>
    <t>D50140</t>
  </si>
  <si>
    <t>[D50140] 재고자산(계)</t>
  </si>
  <si>
    <t>D50150</t>
  </si>
  <si>
    <t>[D50150] 기타운전자산</t>
  </si>
  <si>
    <t>D50160</t>
  </si>
  <si>
    <t>[D50160] 운전자산(계)</t>
  </si>
  <si>
    <t>D50170</t>
  </si>
  <si>
    <t>[D50170] 매입채무(공사미지급금등 포함)</t>
  </si>
  <si>
    <t>D50180</t>
  </si>
  <si>
    <t>[D50180] 미지급비용</t>
  </si>
  <si>
    <t>D50190</t>
  </si>
  <si>
    <t>[D50190] 기타운전부채</t>
  </si>
  <si>
    <t>D50200</t>
  </si>
  <si>
    <t>[D50200] 운전부채(계)</t>
  </si>
  <si>
    <t>D50210</t>
  </si>
  <si>
    <t>[D50210] 순운전자본(NWC)</t>
  </si>
  <si>
    <t>D50220</t>
  </si>
  <si>
    <t>[D50220] 순운전자본변동분(△NWC)</t>
  </si>
  <si>
    <t>D50230</t>
  </si>
  <si>
    <t>[D50230] 이자수입성자산 및 이자지급성부채 추정</t>
  </si>
  <si>
    <t>D50240</t>
  </si>
  <si>
    <t>[D50240] 현금및현금등가물</t>
  </si>
  <si>
    <t>D50250</t>
  </si>
  <si>
    <t>[D50250] 단기금융상품</t>
  </si>
  <si>
    <t>D50260</t>
  </si>
  <si>
    <t>[D50260] 단기투자증권</t>
  </si>
  <si>
    <t>D50270</t>
  </si>
  <si>
    <t>[D50270] 단기대여금</t>
  </si>
  <si>
    <t>D50280</t>
  </si>
  <si>
    <t>[D50280] 장기금융상품</t>
  </si>
  <si>
    <t>D50290</t>
  </si>
  <si>
    <t>[D50290] 장기투자증권</t>
  </si>
  <si>
    <t>D50300</t>
  </si>
  <si>
    <t>[D50300] 장기대여금</t>
  </si>
  <si>
    <t>D50310</t>
  </si>
  <si>
    <t>[D50310] 기타이자수입성자산</t>
  </si>
  <si>
    <t>D50320</t>
  </si>
  <si>
    <t>[D50320] 이자수입성자산</t>
  </si>
  <si>
    <t>D50330</t>
  </si>
  <si>
    <t>[D50330] 단기차입금</t>
  </si>
  <si>
    <t>D50340</t>
  </si>
  <si>
    <t>[D50340] 유동성장기부채</t>
  </si>
  <si>
    <t>D50350</t>
  </si>
  <si>
    <t>[D50350] 장기사채(계)</t>
  </si>
  <si>
    <t>D50360</t>
  </si>
  <si>
    <t>[D50360] 장기차입금(계)</t>
  </si>
  <si>
    <t>D50370</t>
  </si>
  <si>
    <t>[D50370] 금융리스부채</t>
  </si>
  <si>
    <t>D50380</t>
  </si>
  <si>
    <t>[D50380] 정리및화의채무</t>
  </si>
  <si>
    <t>D50390</t>
  </si>
  <si>
    <t>[D50390] 기타이자지급성부채</t>
  </si>
  <si>
    <t>D50400</t>
  </si>
  <si>
    <t>[D50400] 이자지급성부채</t>
  </si>
  <si>
    <t>D51000</t>
  </si>
  <si>
    <t>[D51000] 순운전자본 계산비율</t>
  </si>
  <si>
    <t>D51010</t>
  </si>
  <si>
    <t xml:space="preserve">[D51010] 매출채권회전율 </t>
  </si>
  <si>
    <t>D51020</t>
  </si>
  <si>
    <t xml:space="preserve">[D51020] 재고자산회전율 </t>
  </si>
  <si>
    <t>D51030</t>
  </si>
  <si>
    <t xml:space="preserve">[D51030] 매입채무회전율 </t>
  </si>
  <si>
    <t>D51040</t>
  </si>
  <si>
    <t>[D51040] (매출채권+선급비용)/이자수입성자산(%)</t>
  </si>
  <si>
    <t>D51050</t>
  </si>
  <si>
    <t>[D51050] (매입채무+미지급비용)/이자지급성부채(%)</t>
  </si>
  <si>
    <t>D51060</t>
  </si>
  <si>
    <t xml:space="preserve">[D51060] 선급비용회전율 </t>
  </si>
  <si>
    <t>D51070</t>
  </si>
  <si>
    <t xml:space="preserve">[D51070] 미지급비용회전율 </t>
  </si>
  <si>
    <t>D60000</t>
  </si>
  <si>
    <t>[D60000] 대차대조표 추정을 위한 자료</t>
  </si>
  <si>
    <t>D60010</t>
  </si>
  <si>
    <t>[D60010] 매출채권</t>
  </si>
  <si>
    <t>D60020</t>
  </si>
  <si>
    <t>[D60020] 선급비용</t>
  </si>
  <si>
    <t>D60030</t>
  </si>
  <si>
    <t>[D60030] 재고자산</t>
  </si>
  <si>
    <t>D60040</t>
  </si>
  <si>
    <t>[D60040] 기타운전자산</t>
  </si>
  <si>
    <t>D60050</t>
  </si>
  <si>
    <t>[D60050] 매입채무</t>
  </si>
  <si>
    <t>D60060</t>
  </si>
  <si>
    <t>[D60060] 미지급비용</t>
  </si>
  <si>
    <t>D60070</t>
  </si>
  <si>
    <t>[D60070] 기타운전부채</t>
  </si>
  <si>
    <t>D60080</t>
  </si>
  <si>
    <t>[D60080] 당기순이익(손실)</t>
  </si>
  <si>
    <t>D60090</t>
  </si>
  <si>
    <t>[D60090] (매출채권+선급비용+기타)/당좌자산(%)</t>
  </si>
  <si>
    <t>D60100</t>
  </si>
  <si>
    <t>[D60100] 기타비유동자산/비유동자산(%)</t>
  </si>
  <si>
    <t>D60110</t>
  </si>
  <si>
    <t>[D60110] (매입채무+미지급비용+기타)/유동부채(%)</t>
  </si>
  <si>
    <t>D60120</t>
  </si>
  <si>
    <t>[D60120] (매입채무+미지급비용+기타)/부채총계(%)</t>
  </si>
  <si>
    <t>D60130</t>
  </si>
  <si>
    <t>[D60130] 대차대조표 추정</t>
  </si>
  <si>
    <t>D60140</t>
  </si>
  <si>
    <t>[D60140]  당좌자산(계)</t>
  </si>
  <si>
    <t>D60150</t>
  </si>
  <si>
    <t>[D60150]  재고자산(계)</t>
  </si>
  <si>
    <t>D60160</t>
  </si>
  <si>
    <t>[D60160] 유동자산(계)</t>
  </si>
  <si>
    <t>D60170</t>
  </si>
  <si>
    <t>[D60170]  투자자산(계)</t>
  </si>
  <si>
    <t>D60180</t>
  </si>
  <si>
    <t>[D60180]  유형자산(계)</t>
  </si>
  <si>
    <t>D60190</t>
  </si>
  <si>
    <t>[D60190]   토지</t>
  </si>
  <si>
    <t>D60200</t>
  </si>
  <si>
    <t>[D60200]   감가상각대상자산</t>
  </si>
  <si>
    <t>D60210</t>
  </si>
  <si>
    <t>[D60210]   감가상각비</t>
  </si>
  <si>
    <t>D60220</t>
  </si>
  <si>
    <t>[D60220]  무형자산(계)</t>
  </si>
  <si>
    <t>D60230</t>
  </si>
  <si>
    <t>[D60230]   무형자산상각비</t>
  </si>
  <si>
    <t>D60240</t>
  </si>
  <si>
    <t>[D60240]  기타비유동자산(계)</t>
  </si>
  <si>
    <t>D60250</t>
  </si>
  <si>
    <t>[D60250] 비유동자산(계)</t>
  </si>
  <si>
    <t>D60260</t>
  </si>
  <si>
    <t>[D60260] 자산총계</t>
  </si>
  <si>
    <t>D60270</t>
  </si>
  <si>
    <t>[D60270]  유동부채(계)</t>
  </si>
  <si>
    <t>D60280</t>
  </si>
  <si>
    <t>[D60280]  비유동부채(계)</t>
  </si>
  <si>
    <t>D60290</t>
  </si>
  <si>
    <t>[D60290] 부채총계</t>
  </si>
  <si>
    <t>D60300</t>
  </si>
  <si>
    <t>[D60300]  자본금</t>
  </si>
  <si>
    <t>D60310</t>
  </si>
  <si>
    <t>[D60310]  자본잉여금</t>
  </si>
  <si>
    <t>D60320</t>
  </si>
  <si>
    <t>[D60320]  자본조정</t>
  </si>
  <si>
    <t>D60330</t>
  </si>
  <si>
    <t>[D60330]  기타포괄손익누계액</t>
  </si>
  <si>
    <t>D60340</t>
  </si>
  <si>
    <t>[D60340]  이익잉여금</t>
  </si>
  <si>
    <t>D60350</t>
  </si>
  <si>
    <t>[D60350] 자본총계</t>
  </si>
  <si>
    <t>D60360</t>
  </si>
  <si>
    <t>[D60360] 부채와자본총계</t>
  </si>
  <si>
    <t>D61000</t>
  </si>
  <si>
    <t>[D61000] 대차대조표 계산비율</t>
  </si>
  <si>
    <t>D61010</t>
  </si>
  <si>
    <t>[D61010] (매출채권+선급비용+기타)/당좌자산(%)</t>
  </si>
  <si>
    <t>D61020</t>
  </si>
  <si>
    <t>[D61020] (매입채무+미지급비용+기타)/유동부채(%)</t>
  </si>
  <si>
    <t>D61030</t>
  </si>
  <si>
    <t>[D61030] (매입채무+미지급비용+기타)/부채총계(%)</t>
  </si>
  <si>
    <t>D61040</t>
  </si>
  <si>
    <t>[D61040] 기타비유동자산/비유동자산(%)</t>
  </si>
  <si>
    <t>D70000</t>
  </si>
  <si>
    <t>영업가치 추정을 위한 자료</t>
  </si>
  <si>
    <t>D70010</t>
  </si>
  <si>
    <t>D70020</t>
  </si>
  <si>
    <t>D70030</t>
  </si>
  <si>
    <t>Perpetual Growth Rate(%)</t>
  </si>
  <si>
    <t>D70050</t>
  </si>
  <si>
    <t>현금흐름할인법(Discounted Cash Flow)</t>
  </si>
  <si>
    <t>D70060</t>
  </si>
  <si>
    <t>당기순이익(손실)</t>
  </si>
  <si>
    <t>D70070</t>
  </si>
  <si>
    <t>이자비용</t>
  </si>
  <si>
    <t>D70080</t>
  </si>
  <si>
    <t>이자수익</t>
  </si>
  <si>
    <t>D70090</t>
  </si>
  <si>
    <t>법인세율(%)</t>
  </si>
  <si>
    <t>D70100</t>
  </si>
  <si>
    <t>세후순영업이익(NOPLAT)</t>
  </si>
  <si>
    <t>D70110</t>
  </si>
  <si>
    <t>유형자산</t>
  </si>
  <si>
    <t>D70120</t>
  </si>
  <si>
    <t>무형자산</t>
  </si>
  <si>
    <t>D70130</t>
  </si>
  <si>
    <t>유·무형자산</t>
  </si>
  <si>
    <t>D70140</t>
  </si>
  <si>
    <t>유·무형자산변동분(Capital Expenditure)</t>
  </si>
  <si>
    <t>D70190</t>
  </si>
  <si>
    <t>D70200</t>
  </si>
  <si>
    <t>D70210</t>
  </si>
  <si>
    <t>D70220</t>
  </si>
  <si>
    <t>D70230</t>
  </si>
  <si>
    <t>D71000</t>
  </si>
  <si>
    <t>[D71000] 보통주가치 추정을 위한 자료</t>
  </si>
  <si>
    <t>D71010</t>
  </si>
  <si>
    <t>[D71010] 단기금융상품</t>
  </si>
  <si>
    <t>D71020</t>
  </si>
  <si>
    <t>[D71020] 단기투자증권</t>
  </si>
  <si>
    <t>D71030</t>
  </si>
  <si>
    <t>[D71030] 장기금융상품</t>
  </si>
  <si>
    <t>D71040</t>
  </si>
  <si>
    <t>[D71040] 장기투자증권</t>
  </si>
  <si>
    <t>D71050</t>
  </si>
  <si>
    <t>[D71050] 지분법적용주식</t>
  </si>
  <si>
    <t>D71060</t>
  </si>
  <si>
    <t>[D71060] 투자부동산</t>
  </si>
  <si>
    <t>D71070</t>
  </si>
  <si>
    <t>[D71070] 회원권</t>
  </si>
  <si>
    <t>D71080</t>
  </si>
  <si>
    <t>[D71080] 기타비영업용자산</t>
  </si>
  <si>
    <t>D71090</t>
  </si>
  <si>
    <t>[D71090] 비영업용자산(계)</t>
  </si>
  <si>
    <t>D71100</t>
  </si>
  <si>
    <t>[D71100] 단기차입금</t>
  </si>
  <si>
    <t>D71110</t>
  </si>
  <si>
    <t>[D71110] 유동성장기부채</t>
  </si>
  <si>
    <t>D71120</t>
  </si>
  <si>
    <t>[D71120] 장기사채(계)</t>
  </si>
  <si>
    <t>D71130</t>
  </si>
  <si>
    <t>[D71130] 장기차입금(계)</t>
  </si>
  <si>
    <t>D71140</t>
  </si>
  <si>
    <t>[D71140] 금융리스부채</t>
  </si>
  <si>
    <t>D71150</t>
  </si>
  <si>
    <t>[D71150] 기타재무부채</t>
  </si>
  <si>
    <t>D71160</t>
  </si>
  <si>
    <t>[D71160] 현금및현금등가물</t>
  </si>
  <si>
    <t>D71170</t>
  </si>
  <si>
    <t>[D71170] 순부채(계)</t>
  </si>
  <si>
    <t>D71180</t>
  </si>
  <si>
    <t>[D71180] 우선주자본금</t>
  </si>
  <si>
    <t>D71190</t>
  </si>
  <si>
    <t>[D71190] 우선주자본잉여금등</t>
  </si>
  <si>
    <t>D71200</t>
  </si>
  <si>
    <t>[D71200] 우선주(계)</t>
  </si>
  <si>
    <t>29991231Z</t>
  </si>
  <si>
    <t>D72000</t>
  </si>
  <si>
    <t>[D72000] 결과(Summary)</t>
  </si>
  <si>
    <t>D72010</t>
  </si>
  <si>
    <t>[D72010] 영업가치(Value of Operations)</t>
  </si>
  <si>
    <t>D72020</t>
  </si>
  <si>
    <t>[D72020] 비영업용자산가치(Value of Non-Operating Assets)</t>
  </si>
  <si>
    <t>D72030</t>
  </si>
  <si>
    <t>[D72030] 기업가치(Enterprise Value)</t>
  </si>
  <si>
    <t>D72040</t>
  </si>
  <si>
    <t>[D72040] 순부채(Net Debt Value)</t>
  </si>
  <si>
    <t>D72050</t>
  </si>
  <si>
    <t>[D72050] 우선주가치(Preferred Shares)</t>
  </si>
  <si>
    <t>D72060</t>
  </si>
  <si>
    <t>[D72060] 보통주가치(Total Equity Value)</t>
  </si>
  <si>
    <t>D72070</t>
  </si>
  <si>
    <t>[D72070] 유통보통주식수(Common Shares Outstanding)</t>
  </si>
  <si>
    <t>D72080</t>
  </si>
  <si>
    <t>[D72080] 보통주주당가치(Value per Common Shares)</t>
  </si>
  <si>
    <t>D72090</t>
  </si>
  <si>
    <t>[D72090] 보통주주당순자산가치(NAV per Common Shares)</t>
  </si>
  <si>
    <t>D80000</t>
  </si>
  <si>
    <t>[D80000] 과거기업성장률</t>
  </si>
  <si>
    <t>D80010</t>
  </si>
  <si>
    <t>[D80010] 매출액</t>
  </si>
  <si>
    <t>D80020</t>
  </si>
  <si>
    <t>[D80020] 산업성장률(한은평균)(%)</t>
  </si>
  <si>
    <t>20181231K</t>
  </si>
  <si>
    <t>20191231K</t>
  </si>
  <si>
    <t>D81000</t>
  </si>
  <si>
    <t>[D81000] 성장률추정</t>
  </si>
  <si>
    <t>#0.000</t>
  </si>
  <si>
    <t>D81010</t>
  </si>
  <si>
    <t>[D81010] IMF 국내 경제성장률 예측치</t>
  </si>
  <si>
    <t>D81020</t>
  </si>
  <si>
    <t>[D81020] 추정 매출액증가율(%)</t>
  </si>
  <si>
    <t>20241231K</t>
  </si>
  <si>
    <t>20251231K</t>
  </si>
  <si>
    <t>20261231K</t>
  </si>
  <si>
    <t>20271231K</t>
  </si>
  <si>
    <t>20281231K</t>
  </si>
  <si>
    <t>20291231K</t>
  </si>
  <si>
    <t>DS0001</t>
  </si>
  <si>
    <t>[DS0001] 추정연장여부</t>
    <phoneticPr fontId="9" type="noConversion"/>
  </si>
  <si>
    <t>DS0002</t>
  </si>
  <si>
    <t>[DS0002] 연장기간</t>
    <phoneticPr fontId="9" type="noConversion"/>
  </si>
  <si>
    <t>DS0003</t>
  </si>
  <si>
    <t>[DS0003] TV사용여부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</si>
</sst>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176" formatCode="_(&quot;₩&quot;* #,##0_);_(&quot;₩&quot;* \(#,##0\);_(&quot;₩&quot;* &quot;-&quot;_);_(@_)"/>
    <numFmt numFmtId="177" formatCode="_(* #,##0_);_(* \(#,##0\);_(* &quot;-&quot;_);_(@_)"/>
    <numFmt numFmtId="178" formatCode="_(&quot;₩&quot;* #,##0.00_);_(&quot;₩&quot;* \(#,##0.00\);_(&quot;₩&quot;* &quot;-&quot;??_);_(@_)"/>
    <numFmt numFmtId="179" formatCode="_(* #,##0.00_);_(* \(#,##0.00\);_(* &quot;-&quot;??_);_(@_)"/>
    <numFmt numFmtId="180" formatCode="0.00_ "/>
    <numFmt numFmtId="181" formatCode="0_ "/>
    <numFmt numFmtId="182" formatCode="#,##0.0000;[Red]\-#,##0.0000"/>
    <numFmt numFmtId="183" formatCode="_-* #,##0.00_-;\-* #,##0.00_-;_-* &quot;-&quot;_-;_-@_-"/>
    <numFmt numFmtId="184" formatCode="#,##0_ "/>
    <numFmt numFmtId="185" formatCode="_-[$€-2]* #,##0.00_-;\-[$€-2]* #,##0.00_-;_-[$€-2]* &quot;-&quot;??_-"/>
    <numFmt numFmtId="186" formatCode="#,##0.000000_ ;[Red]\-#,##0.000000\ "/>
    <numFmt numFmtId="187" formatCode="#,##0.00_ ;[Red]\-#,##0.00\ "/>
    <numFmt numFmtId="188" formatCode="_-* #,##0.0000_-;\-* #,##0.0000_-;_-* &quot;-&quot;_-;_-@_-"/>
    <numFmt numFmtId="189" formatCode="0_ ;[Red]\-0\ "/>
    <numFmt numFmtId="190" formatCode="0.00_ ;[Red]\-0.00\ "/>
    <numFmt numFmtId="191" formatCode="#,##0_ ;[Red]\-#,##0\ "/>
    <numFmt numFmtId="192" formatCode="0.0%"/>
    <numFmt numFmtId="193" formatCode="0.00_);[Red]\(0.00\)"/>
    <numFmt numFmtId="194" formatCode="[Red]\△0.00%;[Blue]\▽0.00%"/>
    <numFmt numFmtId="195" formatCode="0;[Red]0"/>
    <numFmt numFmtId="196" formatCode="0.0000"/>
    <numFmt numFmtId="197" formatCode="#,##0.00_);[Red]\(#,##0.00\)"/>
    <numFmt numFmtId="198" formatCode="0_);[Red]\(0\)"/>
    <numFmt numFmtId="199" formatCode="#,##0.0000_);[Red]\(#,##0.0000\)"/>
    <numFmt numFmtId="200" formatCode="yyyy&quot;년&quot;\ m&quot;월&quot;\ d&quot;일&quot;;@"/>
    <numFmt numFmtId="201" formatCode="0&quot;년&quot;"/>
    <numFmt numFmtId="202" formatCode="0.000"/>
    <numFmt numFmtId="203" formatCode="0&quot;월&quot;"/>
    <numFmt numFmtId="204" formatCode="#,##0&quot;원&quot;"/>
    <numFmt numFmtId="205" formatCode="\(#,##0\)"/>
    <numFmt numFmtId="206" formatCode="#,##0;[Red]\-#,##0;"/>
    <numFmt numFmtId="207" formatCode="0&quot;%&quot;"/>
    <numFmt numFmtId="208" formatCode="#,##0_);[Red]\(#,##0\)"/>
    <numFmt numFmtId="209" formatCode="#,##0.0"/>
    <numFmt numFmtId="210" formatCode="#,##0.000"/>
  </numFmts>
  <fonts count="69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u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i/>
      <sz val="11"/>
      <color theme="0" tint="-0.249977111117893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</font>
    <font>
      <sz val="10"/>
      <name val="맑은 고딕"/>
      <family val="3"/>
      <charset val="129"/>
    </font>
    <font>
      <i/>
      <sz val="10"/>
      <color theme="0" tint="-0.3499862666707357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</font>
    <font>
      <i/>
      <sz val="9"/>
      <color theme="1"/>
      <name val="맑은 고딕"/>
      <family val="3"/>
      <charset val="129"/>
    </font>
    <font>
      <sz val="9"/>
      <color theme="1"/>
      <name val="Times New Roman"/>
      <family val="1"/>
    </font>
    <font>
      <sz val="9"/>
      <color rgb="FF000000"/>
      <name val="Arial Unicode MS"/>
      <family val="2"/>
    </font>
    <font>
      <sz val="9"/>
      <color rgb="FF000000"/>
      <name val="맑은 고딕"/>
      <family val="3"/>
      <charset val="129"/>
      <scheme val="minor"/>
    </font>
    <font>
      <vertAlign val="subscript"/>
      <sz val="9"/>
      <color rgb="FF000000"/>
      <name val="맑은 고딕"/>
      <family val="3"/>
      <charset val="129"/>
      <scheme val="minor"/>
    </font>
    <font>
      <sz val="9"/>
      <color theme="1"/>
      <name val="Arial Unicode MS"/>
      <family val="2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name val="맑은 고딕"/>
      <family val="3"/>
      <charset val="129"/>
      <scheme val="minor"/>
    </font>
    <font>
      <i/>
      <u/>
      <sz val="11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i/>
      <sz val="9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i/>
      <sz val="9"/>
      <name val="맑은 고딕"/>
      <family val="3"/>
      <charset val="129"/>
    </font>
    <font>
      <i/>
      <sz val="1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b/>
      <i/>
      <u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8"/>
      <color theme="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</font>
    <font>
      <sz val="18"/>
      <color theme="3"/>
      <name val="맑은 고딕"/>
      <family val="2"/>
      <charset val="129"/>
      <scheme val="major"/>
    </font>
  </fonts>
  <fills count="48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9FF99"/>
        <bgColor indexed="64"/>
      </patternFill>
    </fill>
    <fill>
      <patternFill patternType="lightDown"/>
    </fill>
    <fill>
      <patternFill patternType="lightDown">
        <bgColor rgb="FFFFFF00"/>
      </patternFill>
    </fill>
    <fill>
      <patternFill patternType="lightDown">
        <bgColor rgb="FF92D050"/>
      </patternFill>
    </fill>
    <fill>
      <patternFill patternType="solid">
        <fgColor rgb="FF6666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>
      <alignment vertical="center"/>
    </xf>
    <xf numFmtId="178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2" fillId="3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67" fillId="0" borderId="0">
      <alignment vertical="center"/>
    </xf>
    <xf numFmtId="9" fontId="67" fillId="0" borderId="0" applyFont="0" applyFill="0" applyBorder="0" applyAlignment="0" applyProtection="0">
      <alignment vertical="center"/>
    </xf>
  </cellStyleXfs>
  <cellXfs count="728">
    <xf numFmtId="0" fontId="0" fillId="0" borderId="0" xfId="0">
      <alignment vertical="center"/>
    </xf>
    <xf numFmtId="0" fontId="0" fillId="2" borderId="0" xfId="0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180" fontId="0" fillId="0" borderId="0" xfId="0" applyNumberFormat="1" applyProtection="1">
      <alignment vertical="center"/>
      <protection locked="0"/>
    </xf>
    <xf numFmtId="14" fontId="0" fillId="0" borderId="0" xfId="0" applyNumberFormat="1" applyProtection="1">
      <alignment vertical="center"/>
      <protection locked="0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5" fillId="7" borderId="0" xfId="0" applyFont="1" applyFill="1" applyProtection="1">
      <alignment vertical="center"/>
      <protection locked="0"/>
    </xf>
    <xf numFmtId="0" fontId="0" fillId="0" borderId="0" xfId="0" applyProtection="1">
      <alignment vertical="center"/>
    </xf>
    <xf numFmtId="0" fontId="0" fillId="0" borderId="0" xfId="0" applyFill="1" applyAlignment="1" applyProtection="1">
      <alignment horizontal="left" vertical="center"/>
      <protection locked="0"/>
    </xf>
    <xf numFmtId="181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3" borderId="0" xfId="0" applyNumberFormat="1" applyFill="1" applyProtection="1">
      <alignment vertical="center"/>
    </xf>
    <xf numFmtId="38" fontId="5" fillId="3" borderId="0" xfId="0" applyNumberFormat="1" applyFont="1" applyFill="1" applyProtection="1">
      <alignment vertical="center"/>
    </xf>
    <xf numFmtId="40" fontId="5" fillId="4" borderId="0" xfId="0" applyNumberFormat="1" applyFont="1" applyFill="1" applyProtection="1">
      <alignment vertical="center"/>
    </xf>
    <xf numFmtId="40" fontId="0" fillId="3" borderId="0" xfId="0" applyNumberFormat="1" applyFill="1" applyProtection="1">
      <alignment vertical="center"/>
    </xf>
    <xf numFmtId="40" fontId="5" fillId="0" borderId="0" xfId="0" applyNumberFormat="1" applyFont="1" applyFill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38" fontId="0" fillId="3" borderId="0" xfId="1" applyNumberFormat="1" applyFont="1" applyFill="1" applyBorder="1" applyAlignment="1" applyProtection="1">
      <alignment vertical="center"/>
    </xf>
    <xf numFmtId="40" fontId="0" fillId="6" borderId="0" xfId="0" applyNumberFormat="1" applyFill="1" applyProtection="1">
      <alignment vertical="center"/>
    </xf>
    <xf numFmtId="40" fontId="0" fillId="5" borderId="0" xfId="0" applyNumberFormat="1" applyFill="1" applyProtection="1">
      <alignment vertical="center"/>
    </xf>
    <xf numFmtId="38" fontId="5" fillId="0" borderId="0" xfId="0" applyNumberFormat="1" applyFont="1" applyProtection="1">
      <alignment vertical="center"/>
      <protection locked="0"/>
    </xf>
    <xf numFmtId="38" fontId="5" fillId="5" borderId="0" xfId="0" applyNumberFormat="1" applyFont="1" applyFill="1" applyProtection="1">
      <alignment vertical="center"/>
    </xf>
    <xf numFmtId="38" fontId="0" fillId="0" borderId="0" xfId="0" applyNumberFormat="1" applyProtection="1">
      <alignment vertical="center"/>
      <protection locked="0"/>
    </xf>
    <xf numFmtId="38" fontId="0" fillId="5" borderId="0" xfId="0" applyNumberFormat="1" applyFill="1" applyProtection="1">
      <alignment vertical="center"/>
    </xf>
    <xf numFmtId="38" fontId="6" fillId="6" borderId="0" xfId="0" applyNumberFormat="1" applyFont="1" applyFill="1" applyProtection="1">
      <alignment vertical="center"/>
    </xf>
    <xf numFmtId="38" fontId="0" fillId="5" borderId="0" xfId="1" applyNumberFormat="1" applyFont="1" applyFill="1" applyBorder="1" applyAlignment="1" applyProtection="1">
      <alignment vertical="center"/>
    </xf>
    <xf numFmtId="40" fontId="6" fillId="6" borderId="0" xfId="0" applyNumberFormat="1" applyFont="1" applyFill="1" applyProtection="1">
      <alignment vertical="center"/>
    </xf>
    <xf numFmtId="38" fontId="5" fillId="6" borderId="0" xfId="0" applyNumberFormat="1" applyFont="1" applyFill="1" applyProtection="1">
      <alignment vertical="center"/>
    </xf>
    <xf numFmtId="38" fontId="0" fillId="2" borderId="0" xfId="0" applyNumberFormat="1" applyFill="1" applyProtection="1">
      <alignment vertical="center"/>
      <protection locked="0"/>
    </xf>
    <xf numFmtId="40" fontId="5" fillId="6" borderId="0" xfId="0" applyNumberFormat="1" applyFont="1" applyFill="1" applyProtection="1">
      <alignment vertical="center"/>
    </xf>
    <xf numFmtId="38" fontId="6" fillId="5" borderId="0" xfId="0" applyNumberFormat="1" applyFont="1" applyFill="1" applyProtection="1">
      <alignment vertical="center"/>
    </xf>
    <xf numFmtId="38" fontId="5" fillId="8" borderId="0" xfId="0" applyNumberFormat="1" applyFont="1" applyFill="1" applyProtection="1">
      <alignment vertical="center"/>
    </xf>
    <xf numFmtId="38" fontId="7" fillId="8" borderId="0" xfId="0" applyNumberFormat="1" applyFont="1" applyFill="1" applyProtection="1">
      <alignment vertical="center"/>
    </xf>
    <xf numFmtId="38" fontId="6" fillId="0" borderId="0" xfId="0" applyNumberFormat="1" applyFont="1" applyProtection="1">
      <alignment vertical="center"/>
      <protection locked="0"/>
    </xf>
    <xf numFmtId="38" fontId="7" fillId="0" borderId="0" xfId="0" applyNumberFormat="1" applyFont="1" applyProtection="1">
      <alignment vertical="center"/>
      <protection locked="0"/>
    </xf>
    <xf numFmtId="40" fontId="0" fillId="0" borderId="0" xfId="0" applyNumberFormat="1" applyProtection="1">
      <alignment vertical="center"/>
      <protection locked="0"/>
    </xf>
    <xf numFmtId="38" fontId="8" fillId="5" borderId="0" xfId="0" applyNumberFormat="1" applyFont="1" applyFill="1" applyProtection="1">
      <alignment vertical="center"/>
    </xf>
    <xf numFmtId="40" fontId="0" fillId="0" borderId="0" xfId="0" applyNumberFormat="1" applyFill="1" applyProtection="1">
      <alignment vertical="center"/>
      <protection locked="0"/>
    </xf>
    <xf numFmtId="14" fontId="0" fillId="0" borderId="0" xfId="0" applyNumberFormat="1" applyFill="1" applyProtection="1">
      <alignment vertical="center"/>
      <protection locked="0"/>
    </xf>
    <xf numFmtId="180" fontId="0" fillId="0" borderId="0" xfId="0" applyNumberFormat="1" applyFill="1" applyProtection="1">
      <alignment vertical="center"/>
      <protection locked="0"/>
    </xf>
    <xf numFmtId="38" fontId="7" fillId="0" borderId="0" xfId="0" applyNumberFormat="1" applyFont="1" applyFill="1" applyProtection="1">
      <alignment vertical="center"/>
      <protection locked="0"/>
    </xf>
    <xf numFmtId="38" fontId="6" fillId="0" borderId="0" xfId="0" applyNumberFormat="1" applyFont="1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10" fillId="5" borderId="0" xfId="0" applyFont="1" applyFill="1" applyProtection="1">
      <alignment vertical="center"/>
    </xf>
    <xf numFmtId="180" fontId="5" fillId="5" borderId="0" xfId="0" applyNumberFormat="1" applyFont="1" applyFill="1" applyProtection="1">
      <alignment vertical="center"/>
    </xf>
    <xf numFmtId="38" fontId="5" fillId="0" borderId="0" xfId="0" applyNumberFormat="1" applyFont="1" applyFill="1" applyProtection="1">
      <alignment vertical="center"/>
      <protection locked="0"/>
    </xf>
    <xf numFmtId="38" fontId="0" fillId="0" borderId="0" xfId="0" applyNumberFormat="1" applyFont="1" applyFill="1" applyProtection="1">
      <alignment vertical="center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38" fontId="0" fillId="6" borderId="0" xfId="0" applyNumberFormat="1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0" fillId="0" borderId="0" xfId="0" applyNumberFormat="1" applyFill="1" applyAlignment="1" applyProtection="1">
      <alignment horizontal="left" vertical="center"/>
      <protection locked="0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38" fontId="8" fillId="6" borderId="0" xfId="0" applyNumberFormat="1" applyFont="1" applyFill="1" applyProtection="1">
      <alignment vertical="center"/>
    </xf>
    <xf numFmtId="182" fontId="5" fillId="4" borderId="0" xfId="0" applyNumberFormat="1" applyFont="1" applyFill="1" applyProtection="1">
      <alignment vertical="center"/>
    </xf>
    <xf numFmtId="38" fontId="0" fillId="5" borderId="0" xfId="0" applyNumberFormat="1" applyFont="1" applyFill="1" applyProtection="1">
      <alignment vertical="center"/>
    </xf>
    <xf numFmtId="38" fontId="7" fillId="5" borderId="0" xfId="0" applyNumberFormat="1" applyFont="1" applyFill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</xf>
    <xf numFmtId="40" fontId="0" fillId="0" borderId="0" xfId="0" applyNumberFormat="1" applyFont="1" applyFill="1" applyProtection="1">
      <alignment vertical="center"/>
      <protection locked="0"/>
    </xf>
    <xf numFmtId="40" fontId="7" fillId="6" borderId="0" xfId="3" applyNumberFormat="1" applyFont="1" applyFill="1" applyBorder="1" applyAlignment="1" applyProtection="1">
      <alignment vertical="center"/>
    </xf>
    <xf numFmtId="0" fontId="0" fillId="7" borderId="0" xfId="0" applyFill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quotePrefix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7" borderId="0" xfId="0" applyFont="1" applyFill="1" applyProtection="1">
      <alignment vertical="center"/>
      <protection locked="0"/>
    </xf>
    <xf numFmtId="180" fontId="0" fillId="5" borderId="0" xfId="0" applyNumberFormat="1" applyFill="1" applyProtection="1">
      <alignment vertical="center"/>
    </xf>
    <xf numFmtId="0" fontId="0" fillId="5" borderId="0" xfId="0" applyFont="1" applyFill="1" applyProtection="1">
      <alignment vertical="center"/>
    </xf>
    <xf numFmtId="40" fontId="0" fillId="13" borderId="0" xfId="0" applyNumberFormat="1" applyFill="1" applyProtection="1">
      <alignment vertical="center"/>
    </xf>
    <xf numFmtId="0" fontId="0" fillId="0" borderId="0" xfId="0" applyProtection="1">
      <alignment vertical="center"/>
      <protection locked="0"/>
    </xf>
    <xf numFmtId="40" fontId="0" fillId="5" borderId="0" xfId="0" applyNumberFormat="1" applyFill="1" applyProtection="1">
      <alignment vertical="center"/>
    </xf>
    <xf numFmtId="49" fontId="0" fillId="9" borderId="0" xfId="0" applyNumberFormat="1" applyFill="1" applyAlignment="1" applyProtection="1">
      <alignment horizontal="center" vertical="center"/>
      <protection locked="0"/>
    </xf>
    <xf numFmtId="38" fontId="5" fillId="5" borderId="0" xfId="0" applyNumberFormat="1" applyFont="1" applyFill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80" fontId="0" fillId="14" borderId="0" xfId="0" applyNumberFormat="1" applyFill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40" fontId="5" fillId="0" borderId="0" xfId="0" applyNumberFormat="1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2" fillId="0" borderId="0" xfId="0" applyFont="1" applyProtection="1">
      <alignment vertical="center"/>
      <protection locked="0"/>
    </xf>
    <xf numFmtId="38" fontId="5" fillId="0" borderId="0" xfId="0" applyNumberFormat="1" applyFont="1" applyFill="1" applyProtection="1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0" borderId="0" xfId="0" applyNumberFormat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0" applyNumberFormat="1" applyFont="1" applyFill="1" applyProtection="1">
      <alignment vertical="center"/>
    </xf>
    <xf numFmtId="38" fontId="0" fillId="5" borderId="0" xfId="0" applyNumberFormat="1" applyFill="1" applyProtection="1">
      <alignment vertical="center"/>
    </xf>
    <xf numFmtId="38" fontId="8" fillId="5" borderId="0" xfId="0" applyNumberFormat="1" applyFont="1" applyFill="1" applyProtection="1">
      <alignment vertical="center"/>
    </xf>
    <xf numFmtId="0" fontId="0" fillId="7" borderId="0" xfId="0" applyFill="1" applyProtection="1">
      <alignment vertical="center"/>
      <protection locked="0"/>
    </xf>
    <xf numFmtId="38" fontId="0" fillId="5" borderId="0" xfId="0" applyNumberFormat="1" applyFill="1" applyProtection="1">
      <alignment vertical="center"/>
      <protection locked="0"/>
    </xf>
    <xf numFmtId="0" fontId="5" fillId="16" borderId="9" xfId="0" applyFont="1" applyFill="1" applyBorder="1" applyAlignment="1" applyProtection="1">
      <alignment horizontal="center" vertical="center"/>
      <protection locked="0"/>
    </xf>
    <xf numFmtId="40" fontId="0" fillId="3" borderId="0" xfId="0" applyNumberFormat="1" applyFill="1" applyBorder="1" applyProtection="1">
      <alignment vertical="center"/>
    </xf>
    <xf numFmtId="38" fontId="0" fillId="3" borderId="0" xfId="0" applyNumberFormat="1" applyFill="1" applyBorder="1" applyProtection="1">
      <alignment vertical="center"/>
    </xf>
    <xf numFmtId="38" fontId="5" fillId="3" borderId="0" xfId="0" applyNumberFormat="1" applyFont="1" applyFill="1" applyBorder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0" fontId="5" fillId="7" borderId="0" xfId="0" applyFont="1" applyFill="1" applyAlignment="1" applyProtection="1">
      <alignment horizontal="center" vertical="center"/>
      <protection locked="0"/>
    </xf>
    <xf numFmtId="0" fontId="5" fillId="7" borderId="0" xfId="0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 applyProtection="1">
      <alignment horizontal="center" vertical="center"/>
      <protection locked="0"/>
    </xf>
    <xf numFmtId="40" fontId="0" fillId="5" borderId="0" xfId="0" applyNumberFormat="1" applyFill="1" applyBorder="1" applyProtection="1">
      <alignment vertical="center"/>
      <protection locked="0"/>
    </xf>
    <xf numFmtId="38" fontId="0" fillId="6" borderId="0" xfId="0" applyNumberFormat="1" applyFill="1" applyBorder="1" applyProtection="1">
      <alignment vertical="center"/>
      <protection locked="0"/>
    </xf>
    <xf numFmtId="38" fontId="5" fillId="5" borderId="0" xfId="0" applyNumberFormat="1" applyFont="1" applyFill="1" applyBorder="1" applyProtection="1">
      <alignment vertical="center"/>
      <protection locked="0"/>
    </xf>
    <xf numFmtId="0" fontId="0" fillId="2" borderId="0" xfId="0" applyFill="1" applyBorder="1" applyProtection="1">
      <alignment vertical="center"/>
      <protection locked="0"/>
    </xf>
    <xf numFmtId="0" fontId="5" fillId="11" borderId="0" xfId="0" applyFont="1" applyFill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0" fontId="5" fillId="15" borderId="3" xfId="0" applyFont="1" applyFill="1" applyBorder="1" applyAlignment="1" applyProtection="1">
      <alignment horizontal="center" vertical="center"/>
      <protection locked="0"/>
    </xf>
    <xf numFmtId="0" fontId="15" fillId="0" borderId="3" xfId="0" applyFont="1" applyBorder="1" applyAlignment="1" applyProtection="1">
      <alignment horizontal="center" vertical="center"/>
      <protection locked="0"/>
    </xf>
    <xf numFmtId="0" fontId="0" fillId="2" borderId="0" xfId="0" applyFill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right" vertical="center"/>
      <protection locked="0"/>
    </xf>
    <xf numFmtId="0" fontId="5" fillId="0" borderId="3" xfId="0" applyFont="1" applyBorder="1" applyAlignment="1" applyProtection="1">
      <alignment horizontal="center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177" fontId="0" fillId="0" borderId="9" xfId="1" applyNumberFormat="1" applyFont="1" applyFill="1" applyBorder="1" applyAlignment="1" applyProtection="1">
      <alignment vertical="center"/>
      <protection locked="0"/>
    </xf>
    <xf numFmtId="0" fontId="17" fillId="0" borderId="3" xfId="0" applyFont="1" applyBorder="1" applyAlignment="1" applyProtection="1">
      <alignment horizontal="center" vertical="center"/>
      <protection locked="0"/>
    </xf>
    <xf numFmtId="183" fontId="18" fillId="0" borderId="3" xfId="1" applyNumberFormat="1" applyFont="1" applyFill="1" applyBorder="1" applyAlignment="1" applyProtection="1">
      <alignment horizontal="right" vertical="center"/>
      <protection locked="0"/>
    </xf>
    <xf numFmtId="10" fontId="0" fillId="5" borderId="0" xfId="4" applyNumberFormat="1" applyFont="1" applyFill="1" applyBorder="1" applyAlignment="1" applyProtection="1">
      <alignment vertical="center"/>
      <protection locked="0"/>
    </xf>
    <xf numFmtId="185" fontId="16" fillId="11" borderId="21" xfId="7" applyNumberFormat="1" applyFont="1" applyFill="1" applyBorder="1" applyAlignment="1" applyProtection="1">
      <alignment horizontal="center" vertical="center"/>
    </xf>
    <xf numFmtId="185" fontId="16" fillId="11" borderId="22" xfId="7" applyNumberFormat="1" applyFont="1" applyFill="1" applyBorder="1" applyAlignment="1" applyProtection="1">
      <alignment horizontal="center" vertical="center"/>
    </xf>
    <xf numFmtId="185" fontId="16" fillId="11" borderId="25" xfId="7" applyNumberFormat="1" applyFont="1" applyFill="1" applyBorder="1" applyAlignment="1" applyProtection="1">
      <alignment horizontal="center" vertical="center"/>
    </xf>
    <xf numFmtId="185" fontId="16" fillId="11" borderId="28" xfId="7" applyNumberFormat="1" applyFont="1" applyFill="1" applyBorder="1" applyAlignment="1" applyProtection="1">
      <alignment horizontal="center" vertical="center"/>
    </xf>
    <xf numFmtId="0" fontId="13" fillId="15" borderId="9" xfId="7" applyNumberFormat="1" applyFont="1" applyFill="1" applyBorder="1" applyAlignment="1" applyProtection="1">
      <alignment horizontal="center" vertical="center"/>
    </xf>
    <xf numFmtId="186" fontId="0" fillId="2" borderId="0" xfId="0" applyNumberFormat="1" applyFill="1" applyProtection="1">
      <alignment vertical="center"/>
      <protection locked="0"/>
    </xf>
    <xf numFmtId="186" fontId="0" fillId="0" borderId="0" xfId="0" applyNumberFormat="1" applyProtection="1">
      <alignment vertical="center"/>
      <protection locked="0"/>
    </xf>
    <xf numFmtId="187" fontId="0" fillId="2" borderId="0" xfId="0" applyNumberFormat="1" applyFill="1" applyProtection="1">
      <alignment vertical="center"/>
      <protection locked="0"/>
    </xf>
    <xf numFmtId="187" fontId="0" fillId="0" borderId="0" xfId="0" applyNumberFormat="1" applyProtection="1">
      <alignment vertical="center"/>
      <protection locked="0"/>
    </xf>
    <xf numFmtId="38" fontId="5" fillId="6" borderId="0" xfId="0" applyNumberFormat="1" applyFont="1" applyFill="1" applyProtection="1">
      <alignment vertical="center"/>
      <protection locked="0"/>
    </xf>
    <xf numFmtId="0" fontId="5" fillId="21" borderId="0" xfId="0" applyFont="1" applyFill="1" applyAlignment="1" applyProtection="1">
      <alignment horizontal="center" vertical="center"/>
      <protection locked="0"/>
    </xf>
    <xf numFmtId="0" fontId="12" fillId="0" borderId="18" xfId="0" applyFont="1" applyBorder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177" fontId="0" fillId="3" borderId="0" xfId="1" applyNumberFormat="1" applyFont="1" applyFill="1" applyBorder="1" applyAlignment="1" applyProtection="1">
      <alignment vertical="center"/>
    </xf>
    <xf numFmtId="189" fontId="0" fillId="17" borderId="0" xfId="0" applyNumberFormat="1" applyFill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</xf>
    <xf numFmtId="188" fontId="5" fillId="0" borderId="0" xfId="1" applyNumberFormat="1" applyFont="1" applyFill="1" applyBorder="1" applyAlignment="1" applyProtection="1">
      <alignment vertical="center"/>
    </xf>
    <xf numFmtId="0" fontId="5" fillId="16" borderId="3" xfId="0" applyFont="1" applyFill="1" applyBorder="1" applyAlignment="1" applyProtection="1">
      <alignment horizontal="center" vertical="center"/>
      <protection locked="0"/>
    </xf>
    <xf numFmtId="0" fontId="5" fillId="16" borderId="3" xfId="0" applyFont="1" applyFill="1" applyBorder="1" applyAlignment="1" applyProtection="1">
      <alignment horizontal="center" vertical="center" shrinkToFit="1"/>
      <protection locked="0"/>
    </xf>
    <xf numFmtId="0" fontId="12" fillId="16" borderId="3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83" fontId="0" fillId="5" borderId="0" xfId="1" applyNumberFormat="1" applyFont="1" applyFill="1" applyBorder="1" applyAlignment="1" applyProtection="1">
      <alignment vertical="center"/>
      <protection locked="0"/>
    </xf>
    <xf numFmtId="183" fontId="5" fillId="19" borderId="0" xfId="1" applyNumberFormat="1" applyFont="1" applyFill="1" applyBorder="1" applyAlignment="1" applyProtection="1">
      <alignment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10" fontId="0" fillId="5" borderId="14" xfId="4" applyNumberFormat="1" applyFont="1" applyFill="1" applyBorder="1" applyAlignment="1" applyProtection="1">
      <alignment vertical="center"/>
      <protection locked="0"/>
    </xf>
    <xf numFmtId="0" fontId="19" fillId="18" borderId="11" xfId="0" applyFont="1" applyFill="1" applyBorder="1" applyAlignment="1" applyProtection="1">
      <alignment horizontal="center" vertical="center" shrinkToFit="1"/>
      <protection locked="0"/>
    </xf>
    <xf numFmtId="0" fontId="5" fillId="0" borderId="12" xfId="0" applyFont="1" applyBorder="1" applyAlignment="1" applyProtection="1">
      <alignment horizontal="center" vertical="center"/>
      <protection locked="0"/>
    </xf>
    <xf numFmtId="10" fontId="0" fillId="5" borderId="17" xfId="4" applyNumberFormat="1" applyFont="1" applyFill="1" applyBorder="1" applyAlignment="1" applyProtection="1">
      <alignment vertical="center"/>
      <protection locked="0"/>
    </xf>
    <xf numFmtId="0" fontId="19" fillId="18" borderId="13" xfId="0" applyFont="1" applyFill="1" applyBorder="1" applyAlignment="1" applyProtection="1">
      <alignment horizontal="center" vertical="center" shrinkToFit="1"/>
      <protection locked="0"/>
    </xf>
    <xf numFmtId="0" fontId="5" fillId="0" borderId="10" xfId="0" applyFont="1" applyFill="1" applyBorder="1" applyAlignment="1" applyProtection="1">
      <alignment horizontal="left" vertical="center"/>
      <protection locked="0"/>
    </xf>
    <xf numFmtId="0" fontId="5" fillId="0" borderId="15" xfId="0" applyFont="1" applyFill="1" applyBorder="1" applyAlignment="1" applyProtection="1">
      <alignment horizontal="left" vertical="center"/>
      <protection locked="0"/>
    </xf>
    <xf numFmtId="0" fontId="5" fillId="0" borderId="12" xfId="0" applyFont="1" applyFill="1" applyBorder="1" applyAlignment="1" applyProtection="1">
      <alignment horizontal="left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0" fillId="7" borderId="31" xfId="0" applyFill="1" applyBorder="1" applyAlignment="1" applyProtection="1">
      <alignment horizontal="center" vertical="center"/>
      <protection locked="0"/>
    </xf>
    <xf numFmtId="0" fontId="5" fillId="7" borderId="1" xfId="0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 applyProtection="1">
      <alignment horizontal="center" vertical="center"/>
      <protection locked="0"/>
    </xf>
    <xf numFmtId="0" fontId="0" fillId="0" borderId="32" xfId="0" applyBorder="1" applyProtection="1">
      <alignment vertical="center"/>
      <protection locked="0"/>
    </xf>
    <xf numFmtId="177" fontId="0" fillId="0" borderId="4" xfId="1" applyNumberFormat="1" applyFont="1" applyFill="1" applyBorder="1" applyAlignment="1" applyProtection="1">
      <alignment vertical="center"/>
      <protection locked="0"/>
    </xf>
    <xf numFmtId="0" fontId="0" fillId="0" borderId="33" xfId="0" applyBorder="1" applyProtection="1">
      <alignment vertical="center"/>
      <protection locked="0"/>
    </xf>
    <xf numFmtId="177" fontId="0" fillId="0" borderId="5" xfId="1" applyNumberFormat="1" applyFont="1" applyFill="1" applyBorder="1" applyAlignment="1" applyProtection="1">
      <alignment vertical="center"/>
      <protection locked="0"/>
    </xf>
    <xf numFmtId="177" fontId="0" fillId="0" borderId="6" xfId="1" applyNumberFormat="1" applyFont="1" applyFill="1" applyBorder="1" applyAlignment="1" applyProtection="1">
      <alignment vertical="center"/>
      <protection locked="0"/>
    </xf>
    <xf numFmtId="0" fontId="7" fillId="11" borderId="3" xfId="0" applyFont="1" applyFill="1" applyBorder="1" applyAlignment="1" applyProtection="1">
      <alignment horizontal="center" vertical="center"/>
      <protection locked="0"/>
    </xf>
    <xf numFmtId="180" fontId="6" fillId="0" borderId="3" xfId="0" applyNumberFormat="1" applyFont="1" applyBorder="1" applyAlignment="1" applyProtection="1">
      <alignment horizontal="center" vertical="center"/>
      <protection locked="0"/>
    </xf>
    <xf numFmtId="180" fontId="6" fillId="0" borderId="3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ill="1" applyProtection="1">
      <alignment vertical="center"/>
      <protection locked="0"/>
    </xf>
    <xf numFmtId="0" fontId="0" fillId="0" borderId="0" xfId="0" applyNumberFormat="1" applyProtection="1">
      <alignment vertical="center"/>
      <protection locked="0"/>
    </xf>
    <xf numFmtId="0" fontId="5" fillId="0" borderId="10" xfId="0" applyFont="1" applyFill="1" applyBorder="1" applyAlignment="1" applyProtection="1">
      <alignment horizontal="center" vertical="center"/>
      <protection locked="0"/>
    </xf>
    <xf numFmtId="0" fontId="5" fillId="0" borderId="15" xfId="0" applyFont="1" applyFill="1" applyBorder="1" applyAlignment="1" applyProtection="1">
      <alignment horizontal="center" vertical="center"/>
      <protection locked="0"/>
    </xf>
    <xf numFmtId="0" fontId="5" fillId="0" borderId="12" xfId="0" applyFont="1" applyFill="1" applyBorder="1" applyAlignment="1" applyProtection="1">
      <alignment horizontal="center" vertical="center"/>
      <protection locked="0"/>
    </xf>
    <xf numFmtId="38" fontId="6" fillId="6" borderId="0" xfId="0" applyNumberFormat="1" applyFont="1" applyFill="1" applyBorder="1" applyProtection="1">
      <alignment vertical="center"/>
    </xf>
    <xf numFmtId="191" fontId="0" fillId="5" borderId="0" xfId="1" applyNumberFormat="1" applyFont="1" applyFill="1" applyBorder="1" applyAlignment="1" applyProtection="1">
      <alignment vertical="center"/>
      <protection locked="0"/>
    </xf>
    <xf numFmtId="191" fontId="0" fillId="6" borderId="14" xfId="1" applyNumberFormat="1" applyFont="1" applyFill="1" applyBorder="1" applyAlignment="1" applyProtection="1">
      <alignment vertical="center"/>
      <protection locked="0"/>
    </xf>
    <xf numFmtId="191" fontId="0" fillId="6" borderId="11" xfId="1" applyNumberFormat="1" applyFont="1" applyFill="1" applyBorder="1" applyAlignment="1" applyProtection="1">
      <alignment vertical="center"/>
      <protection locked="0"/>
    </xf>
    <xf numFmtId="191" fontId="0" fillId="6" borderId="0" xfId="1" applyNumberFormat="1" applyFont="1" applyFill="1" applyBorder="1" applyAlignment="1" applyProtection="1">
      <alignment vertical="center"/>
      <protection locked="0"/>
    </xf>
    <xf numFmtId="191" fontId="0" fillId="6" borderId="16" xfId="1" applyNumberFormat="1" applyFont="1" applyFill="1" applyBorder="1" applyAlignment="1" applyProtection="1">
      <alignment vertical="center"/>
      <protection locked="0"/>
    </xf>
    <xf numFmtId="191" fontId="0" fillId="6" borderId="17" xfId="1" applyNumberFormat="1" applyFont="1" applyFill="1" applyBorder="1" applyAlignment="1" applyProtection="1">
      <alignment vertical="center"/>
      <protection locked="0"/>
    </xf>
    <xf numFmtId="191" fontId="0" fillId="6" borderId="13" xfId="1" applyNumberFormat="1" applyFont="1" applyFill="1" applyBorder="1" applyAlignment="1" applyProtection="1">
      <alignment vertical="center"/>
      <protection locked="0"/>
    </xf>
    <xf numFmtId="187" fontId="0" fillId="5" borderId="14" xfId="1" applyNumberFormat="1" applyFont="1" applyFill="1" applyBorder="1" applyAlignment="1" applyProtection="1">
      <alignment vertical="center"/>
      <protection locked="0"/>
    </xf>
    <xf numFmtId="187" fontId="0" fillId="5" borderId="11" xfId="1" applyNumberFormat="1" applyFont="1" applyFill="1" applyBorder="1" applyAlignment="1" applyProtection="1">
      <alignment vertical="center"/>
      <protection locked="0"/>
    </xf>
    <xf numFmtId="187" fontId="0" fillId="5" borderId="0" xfId="1" applyNumberFormat="1" applyFont="1" applyFill="1" applyBorder="1" applyAlignment="1" applyProtection="1">
      <alignment vertical="center"/>
      <protection locked="0"/>
    </xf>
    <xf numFmtId="187" fontId="0" fillId="5" borderId="16" xfId="1" applyNumberFormat="1" applyFont="1" applyFill="1" applyBorder="1" applyAlignment="1" applyProtection="1">
      <alignment vertical="center"/>
      <protection locked="0"/>
    </xf>
    <xf numFmtId="187" fontId="0" fillId="5" borderId="17" xfId="1" applyNumberFormat="1" applyFont="1" applyFill="1" applyBorder="1" applyAlignment="1" applyProtection="1">
      <alignment vertical="center"/>
      <protection locked="0"/>
    </xf>
    <xf numFmtId="177" fontId="0" fillId="6" borderId="0" xfId="1" applyNumberFormat="1" applyFont="1" applyFill="1" applyBorder="1" applyAlignment="1" applyProtection="1">
      <alignment vertical="center"/>
      <protection locked="0"/>
    </xf>
    <xf numFmtId="14" fontId="11" fillId="0" borderId="3" xfId="6" applyNumberFormat="1" applyFont="1" applyFill="1" applyBorder="1" applyAlignment="1" applyProtection="1">
      <alignment horizontal="center" vertical="center"/>
    </xf>
    <xf numFmtId="187" fontId="0" fillId="5" borderId="13" xfId="1" applyNumberFormat="1" applyFont="1" applyFill="1" applyBorder="1" applyAlignment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5" fillId="7" borderId="3" xfId="0" applyFont="1" applyFill="1" applyBorder="1" applyAlignment="1" applyProtection="1">
      <alignment horizontal="center" vertical="center"/>
      <protection locked="0"/>
    </xf>
    <xf numFmtId="191" fontId="0" fillId="17" borderId="0" xfId="1" applyNumberFormat="1" applyFont="1" applyFill="1" applyBorder="1" applyAlignment="1" applyProtection="1">
      <alignment vertical="center"/>
      <protection locked="0"/>
    </xf>
    <xf numFmtId="191" fontId="0" fillId="0" borderId="0" xfId="0" applyNumberFormat="1" applyProtection="1">
      <alignment vertical="center"/>
      <protection locked="0"/>
    </xf>
    <xf numFmtId="190" fontId="5" fillId="16" borderId="19" xfId="0" applyNumberFormat="1" applyFont="1" applyFill="1" applyBorder="1" applyProtection="1">
      <alignment vertical="center"/>
    </xf>
    <xf numFmtId="190" fontId="5" fillId="16" borderId="20" xfId="0" applyNumberFormat="1" applyFont="1" applyFill="1" applyBorder="1" applyProtection="1">
      <alignment vertical="center"/>
    </xf>
    <xf numFmtId="187" fontId="18" fillId="0" borderId="3" xfId="1" applyNumberFormat="1" applyFont="1" applyFill="1" applyBorder="1" applyAlignment="1" applyProtection="1">
      <alignment vertical="center"/>
      <protection locked="0"/>
    </xf>
    <xf numFmtId="187" fontId="18" fillId="0" borderId="9" xfId="1" applyNumberFormat="1" applyFont="1" applyFill="1" applyBorder="1" applyAlignment="1" applyProtection="1">
      <alignment vertical="center"/>
      <protection locked="0"/>
    </xf>
    <xf numFmtId="183" fontId="0" fillId="0" borderId="3" xfId="5" applyNumberFormat="1" applyFont="1" applyFill="1" applyBorder="1" applyAlignment="1" applyProtection="1">
      <alignment horizontal="center" vertical="center"/>
      <protection locked="0"/>
    </xf>
    <xf numFmtId="187" fontId="0" fillId="17" borderId="0" xfId="1" applyNumberFormat="1" applyFont="1" applyFill="1" applyBorder="1" applyAlignment="1" applyProtection="1">
      <alignment vertical="center"/>
      <protection locked="0"/>
    </xf>
    <xf numFmtId="38" fontId="20" fillId="18" borderId="0" xfId="0" applyNumberFormat="1" applyFont="1" applyFill="1" applyProtection="1">
      <alignment vertical="center"/>
      <protection locked="0"/>
    </xf>
    <xf numFmtId="38" fontId="19" fillId="18" borderId="0" xfId="0" applyNumberFormat="1" applyFont="1" applyFill="1" applyProtection="1">
      <alignment vertical="center"/>
    </xf>
    <xf numFmtId="38" fontId="20" fillId="18" borderId="0" xfId="0" applyNumberFormat="1" applyFont="1" applyFill="1" applyProtection="1">
      <alignment vertical="center"/>
    </xf>
    <xf numFmtId="191" fontId="19" fillId="18" borderId="0" xfId="1" applyNumberFormat="1" applyFont="1" applyFill="1" applyBorder="1" applyAlignment="1" applyProtection="1">
      <alignment vertical="center"/>
      <protection locked="0"/>
    </xf>
    <xf numFmtId="10" fontId="19" fillId="18" borderId="0" xfId="4" applyNumberFormat="1" applyFont="1" applyFill="1" applyBorder="1" applyAlignment="1" applyProtection="1">
      <alignment vertical="center"/>
      <protection locked="0"/>
    </xf>
    <xf numFmtId="0" fontId="19" fillId="18" borderId="0" xfId="0" applyFont="1" applyFill="1" applyBorder="1" applyAlignment="1" applyProtection="1">
      <alignment horizontal="center" vertical="center" shrinkToFit="1"/>
      <protection locked="0"/>
    </xf>
    <xf numFmtId="0" fontId="0" fillId="0" borderId="3" xfId="0" applyBorder="1" applyAlignment="1" applyProtection="1">
      <alignment horizontal="center" vertical="center" shrinkToFit="1"/>
      <protection locked="0"/>
    </xf>
    <xf numFmtId="184" fontId="0" fillId="0" borderId="3" xfId="5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 applyProtection="1">
      <alignment vertical="center"/>
    </xf>
    <xf numFmtId="0" fontId="5" fillId="0" borderId="0" xfId="0" applyFont="1" applyAlignment="1" applyProtection="1">
      <alignment horizontal="center" vertical="center"/>
      <protection locked="0"/>
    </xf>
    <xf numFmtId="10" fontId="15" fillId="0" borderId="0" xfId="4" applyNumberFormat="1" applyFont="1" applyFill="1" applyBorder="1" applyAlignment="1" applyProtection="1">
      <alignment vertical="center"/>
      <protection locked="0"/>
    </xf>
    <xf numFmtId="0" fontId="5" fillId="2" borderId="0" xfId="0" applyFont="1" applyFill="1" applyAlignment="1" applyProtection="1">
      <alignment horizontal="center" vertical="center" shrinkToFit="1"/>
      <protection locked="0"/>
    </xf>
    <xf numFmtId="177" fontId="4" fillId="19" borderId="0" xfId="1" applyNumberFormat="1" applyFont="1" applyFill="1" applyBorder="1" applyAlignment="1" applyProtection="1">
      <alignment vertical="center" shrinkToFit="1"/>
      <protection locked="0"/>
    </xf>
    <xf numFmtId="38" fontId="0" fillId="6" borderId="0" xfId="0" applyNumberFormat="1" applyFill="1" applyBorder="1" applyAlignment="1" applyProtection="1">
      <alignment horizontal="center" vertical="center" shrinkToFit="1"/>
      <protection locked="0"/>
    </xf>
    <xf numFmtId="4" fontId="15" fillId="0" borderId="0" xfId="0" applyNumberFormat="1" applyFont="1" applyFill="1" applyProtection="1">
      <alignment vertical="center"/>
      <protection locked="0"/>
    </xf>
    <xf numFmtId="0" fontId="11" fillId="0" borderId="0" xfId="0" applyFont="1" applyFill="1" applyAlignment="1" applyProtection="1">
      <alignment horizontal="center" vertical="center"/>
      <protection locked="0"/>
    </xf>
    <xf numFmtId="192" fontId="11" fillId="0" borderId="0" xfId="4" applyNumberFormat="1" applyFont="1" applyFill="1" applyBorder="1" applyAlignment="1" applyProtection="1">
      <alignment vertical="center"/>
      <protection locked="0"/>
    </xf>
    <xf numFmtId="38" fontId="15" fillId="0" borderId="0" xfId="0" applyNumberFormat="1" applyFont="1" applyFill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7" fontId="5" fillId="5" borderId="3" xfId="0" applyNumberFormat="1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16" borderId="34" xfId="0" applyFont="1" applyFill="1" applyBorder="1" applyAlignment="1" applyProtection="1">
      <alignment horizontal="center" vertical="center"/>
      <protection locked="0"/>
    </xf>
    <xf numFmtId="187" fontId="0" fillId="0" borderId="34" xfId="0" applyNumberFormat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right" vertical="center"/>
      <protection locked="0"/>
    </xf>
    <xf numFmtId="0" fontId="7" fillId="16" borderId="34" xfId="2" applyNumberFormat="1" applyFont="1" applyFill="1" applyBorder="1" applyAlignment="1" applyProtection="1">
      <alignment horizontal="center" vertical="center"/>
      <protection locked="0"/>
    </xf>
    <xf numFmtId="187" fontId="5" fillId="23" borderId="34" xfId="0" applyNumberFormat="1" applyFont="1" applyFill="1" applyBorder="1" applyAlignment="1" applyProtection="1">
      <alignment vertical="center"/>
      <protection locked="0"/>
    </xf>
    <xf numFmtId="0" fontId="5" fillId="16" borderId="35" xfId="0" applyFont="1" applyFill="1" applyBorder="1" applyAlignment="1" applyProtection="1">
      <alignment horizontal="center" vertical="center"/>
      <protection locked="0"/>
    </xf>
    <xf numFmtId="187" fontId="5" fillId="23" borderId="35" xfId="0" applyNumberFormat="1" applyFont="1" applyFill="1" applyBorder="1" applyAlignment="1" applyProtection="1">
      <alignment vertical="center"/>
      <protection locked="0"/>
    </xf>
    <xf numFmtId="187" fontId="0" fillId="0" borderId="35" xfId="0" applyNumberFormat="1" applyBorder="1" applyAlignment="1" applyProtection="1">
      <alignment vertical="center"/>
      <protection locked="0"/>
    </xf>
    <xf numFmtId="4" fontId="15" fillId="0" borderId="0" xfId="4" applyNumberFormat="1" applyFont="1" applyFill="1" applyBorder="1" applyAlignment="1" applyProtection="1">
      <alignment vertical="center"/>
      <protection locked="0"/>
    </xf>
    <xf numFmtId="192" fontId="13" fillId="11" borderId="36" xfId="4" applyNumberFormat="1" applyFont="1" applyFill="1" applyBorder="1" applyAlignment="1" applyProtection="1">
      <alignment vertical="center"/>
      <protection locked="0"/>
    </xf>
    <xf numFmtId="192" fontId="13" fillId="11" borderId="37" xfId="4" applyNumberFormat="1" applyFont="1" applyFill="1" applyBorder="1" applyAlignment="1" applyProtection="1">
      <alignment vertical="center"/>
      <protection locked="0"/>
    </xf>
    <xf numFmtId="40" fontId="6" fillId="0" borderId="0" xfId="0" applyNumberFormat="1" applyFont="1" applyFill="1" applyProtection="1">
      <alignment vertical="center"/>
    </xf>
    <xf numFmtId="191" fontId="11" fillId="0" borderId="3" xfId="6" applyNumberFormat="1" applyFont="1" applyFill="1" applyBorder="1" applyAlignment="1" applyProtection="1">
      <alignment vertical="center"/>
    </xf>
    <xf numFmtId="184" fontId="11" fillId="0" borderId="9" xfId="6" applyNumberFormat="1" applyFont="1" applyFill="1" applyBorder="1" applyAlignment="1" applyProtection="1">
      <alignment vertical="center"/>
    </xf>
    <xf numFmtId="184" fontId="11" fillId="0" borderId="3" xfId="6" applyNumberFormat="1" applyFont="1" applyFill="1" applyBorder="1" applyAlignment="1" applyProtection="1">
      <alignment vertical="center"/>
    </xf>
    <xf numFmtId="0" fontId="15" fillId="0" borderId="0" xfId="0" applyFont="1" applyAlignment="1" applyProtection="1">
      <alignment horizontal="right" vertical="center"/>
    </xf>
    <xf numFmtId="0" fontId="21" fillId="0" borderId="0" xfId="0" applyFont="1" applyAlignment="1" applyProtection="1">
      <alignment horizontal="center" vertical="center" shrinkToFit="1"/>
      <protection locked="0"/>
    </xf>
    <xf numFmtId="0" fontId="16" fillId="11" borderId="21" xfId="7" applyNumberFormat="1" applyFont="1" applyFill="1" applyBorder="1" applyAlignment="1" applyProtection="1">
      <alignment horizontal="center" vertical="center"/>
    </xf>
    <xf numFmtId="40" fontId="0" fillId="23" borderId="0" xfId="0" applyNumberFormat="1" applyFill="1" applyProtection="1">
      <alignment vertical="center"/>
      <protection locked="0"/>
    </xf>
    <xf numFmtId="40" fontId="0" fillId="23" borderId="0" xfId="0" applyNumberFormat="1" applyFill="1" applyProtection="1">
      <alignment vertical="center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8" fontId="7" fillId="24" borderId="0" xfId="0" applyNumberFormat="1" applyFont="1" applyFill="1" applyProtection="1">
      <alignment vertical="center"/>
      <protection locked="0"/>
    </xf>
    <xf numFmtId="38" fontId="5" fillId="25" borderId="0" xfId="0" applyNumberFormat="1" applyFont="1" applyFill="1" applyProtection="1">
      <alignment vertical="center"/>
    </xf>
    <xf numFmtId="38" fontId="0" fillId="26" borderId="0" xfId="0" applyNumberFormat="1" applyFill="1" applyProtection="1">
      <alignment vertical="center"/>
    </xf>
    <xf numFmtId="38" fontId="0" fillId="25" borderId="0" xfId="0" applyNumberFormat="1" applyFill="1" applyProtection="1">
      <alignment vertical="center"/>
    </xf>
    <xf numFmtId="38" fontId="0" fillId="24" borderId="0" xfId="0" applyNumberFormat="1" applyFill="1" applyProtection="1">
      <alignment vertical="center"/>
      <protection locked="0"/>
    </xf>
    <xf numFmtId="38" fontId="6" fillId="24" borderId="0" xfId="0" applyNumberFormat="1" applyFont="1" applyFill="1" applyProtection="1">
      <alignment vertical="center"/>
      <protection locked="0"/>
    </xf>
    <xf numFmtId="38" fontId="0" fillId="23" borderId="0" xfId="0" applyNumberFormat="1" applyFill="1" applyProtection="1">
      <alignment vertical="center"/>
    </xf>
    <xf numFmtId="4" fontId="0" fillId="0" borderId="0" xfId="0" applyNumberFormat="1" applyProtection="1">
      <alignment vertical="center"/>
      <protection locked="0"/>
    </xf>
    <xf numFmtId="38" fontId="5" fillId="23" borderId="0" xfId="0" applyNumberFormat="1" applyFont="1" applyFill="1" applyProtection="1">
      <alignment vertical="center"/>
    </xf>
    <xf numFmtId="14" fontId="8" fillId="28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 indent="1"/>
      <protection locked="0"/>
    </xf>
    <xf numFmtId="2" fontId="0" fillId="0" borderId="0" xfId="0" applyNumberFormat="1" applyProtection="1">
      <alignment vertical="center"/>
      <protection locked="0"/>
    </xf>
    <xf numFmtId="0" fontId="0" fillId="0" borderId="41" xfId="0" applyBorder="1" applyProtection="1">
      <alignment vertical="center"/>
      <protection locked="0"/>
    </xf>
    <xf numFmtId="0" fontId="0" fillId="0" borderId="41" xfId="0" applyBorder="1" applyAlignment="1" applyProtection="1">
      <alignment horizontal="left" vertical="center" indent="1"/>
      <protection locked="0"/>
    </xf>
    <xf numFmtId="2" fontId="0" fillId="0" borderId="41" xfId="0" applyNumberFormat="1" applyBorder="1" applyProtection="1">
      <alignment vertical="center"/>
      <protection locked="0"/>
    </xf>
    <xf numFmtId="0" fontId="15" fillId="0" borderId="10" xfId="0" applyFont="1" applyBorder="1" applyAlignment="1" applyProtection="1">
      <alignment horizontal="center" vertical="center" shrinkToFit="1"/>
      <protection locked="0"/>
    </xf>
    <xf numFmtId="2" fontId="0" fillId="0" borderId="11" xfId="0" applyNumberFormat="1" applyBorder="1" applyAlignment="1" applyProtection="1">
      <alignment vertical="center"/>
      <protection locked="0"/>
    </xf>
    <xf numFmtId="0" fontId="15" fillId="0" borderId="12" xfId="0" applyFont="1" applyBorder="1" applyAlignment="1" applyProtection="1">
      <alignment horizontal="center" vertical="center" shrinkToFit="1"/>
      <protection locked="0"/>
    </xf>
    <xf numFmtId="2" fontId="0" fillId="0" borderId="13" xfId="0" applyNumberFormat="1" applyBorder="1" applyAlignment="1" applyProtection="1">
      <alignment vertical="center"/>
      <protection locked="0"/>
    </xf>
    <xf numFmtId="0" fontId="22" fillId="16" borderId="3" xfId="0" applyFont="1" applyFill="1" applyBorder="1" applyAlignment="1" applyProtection="1">
      <alignment horizontal="center" vertical="center"/>
      <protection locked="0"/>
    </xf>
    <xf numFmtId="0" fontId="22" fillId="0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/>
      <protection locked="0"/>
    </xf>
    <xf numFmtId="14" fontId="23" fillId="0" borderId="3" xfId="0" applyNumberFormat="1" applyFont="1" applyFill="1" applyBorder="1" applyAlignment="1" applyProtection="1">
      <alignment horizontal="center" vertical="center"/>
      <protection locked="0"/>
    </xf>
    <xf numFmtId="184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2" fillId="5" borderId="3" xfId="0" applyNumberFormat="1" applyFont="1" applyFill="1" applyBorder="1" applyAlignment="1" applyProtection="1">
      <alignment horizontal="center" vertical="center"/>
      <protection locked="0"/>
    </xf>
    <xf numFmtId="187" fontId="7" fillId="10" borderId="39" xfId="0" applyNumberFormat="1" applyFont="1" applyFill="1" applyBorder="1" applyAlignment="1" applyProtection="1">
      <alignment horizontal="center" vertical="center"/>
      <protection locked="0"/>
    </xf>
    <xf numFmtId="14" fontId="25" fillId="0" borderId="3" xfId="0" applyNumberFormat="1" applyFont="1" applyBorder="1" applyAlignment="1" applyProtection="1">
      <alignment horizontal="center" vertical="center"/>
      <protection locked="0"/>
    </xf>
    <xf numFmtId="3" fontId="24" fillId="0" borderId="3" xfId="0" applyNumberFormat="1" applyFont="1" applyBorder="1" applyAlignment="1" applyProtection="1">
      <alignment horizontal="center" vertical="center"/>
      <protection locked="0"/>
    </xf>
    <xf numFmtId="0" fontId="25" fillId="0" borderId="3" xfId="0" applyFont="1" applyBorder="1" applyAlignment="1" applyProtection="1">
      <alignment horizontal="center" vertical="center" wrapText="1"/>
      <protection locked="0"/>
    </xf>
    <xf numFmtId="3" fontId="25" fillId="0" borderId="3" xfId="0" applyNumberFormat="1" applyFont="1" applyBorder="1" applyAlignment="1" applyProtection="1">
      <alignment horizontal="center" vertical="center"/>
      <protection locked="0"/>
    </xf>
    <xf numFmtId="40" fontId="0" fillId="0" borderId="0" xfId="0" applyNumberFormat="1">
      <alignment vertical="center"/>
    </xf>
    <xf numFmtId="0" fontId="17" fillId="0" borderId="0" xfId="0" applyFont="1" applyProtection="1">
      <alignment vertical="center"/>
      <protection locked="0"/>
    </xf>
    <xf numFmtId="14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0" xfId="0" applyFont="1" applyFill="1" applyBorder="1" applyAlignment="1" applyProtection="1">
      <alignment horizontal="left" vertical="center" indent="2"/>
      <protection locked="0"/>
    </xf>
    <xf numFmtId="183" fontId="5" fillId="0" borderId="0" xfId="0" applyNumberFormat="1" applyFont="1" applyFill="1" applyBorder="1" applyAlignment="1" applyProtection="1">
      <alignment horizontal="center" vertical="center"/>
      <protection locked="0"/>
    </xf>
    <xf numFmtId="183" fontId="5" fillId="0" borderId="0" xfId="0" applyNumberFormat="1" applyFont="1" applyFill="1" applyBorder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8" fillId="16" borderId="3" xfId="0" applyFont="1" applyFill="1" applyBorder="1" applyAlignment="1">
      <alignment horizontal="center" vertical="center"/>
    </xf>
    <xf numFmtId="0" fontId="15" fillId="0" borderId="3" xfId="0" applyFont="1" applyBorder="1" applyProtection="1">
      <alignment vertical="center"/>
      <protection locked="0"/>
    </xf>
    <xf numFmtId="14" fontId="0" fillId="5" borderId="0" xfId="0" applyNumberFormat="1" applyFill="1" applyProtection="1">
      <alignment vertical="center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28" fillId="0" borderId="3" xfId="0" applyFont="1" applyBorder="1" applyAlignment="1" applyProtection="1">
      <alignment horizontal="center" vertical="center"/>
      <protection locked="0"/>
    </xf>
    <xf numFmtId="0" fontId="15" fillId="0" borderId="0" xfId="0" applyFont="1" applyProtection="1">
      <alignment vertical="center"/>
      <protection locked="0"/>
    </xf>
    <xf numFmtId="0" fontId="28" fillId="0" borderId="0" xfId="0" applyFont="1" applyBorder="1" applyAlignment="1" applyProtection="1">
      <alignment horizontal="center" vertical="center"/>
      <protection locked="0"/>
    </xf>
    <xf numFmtId="0" fontId="30" fillId="0" borderId="3" xfId="0" applyFont="1" applyBorder="1" applyAlignment="1" applyProtection="1">
      <alignment horizontal="center" vertical="center" wrapText="1"/>
      <protection locked="0"/>
    </xf>
    <xf numFmtId="2" fontId="28" fillId="0" borderId="3" xfId="0" applyNumberFormat="1" applyFont="1" applyBorder="1" applyAlignment="1" applyProtection="1">
      <alignment horizontal="center" vertical="center"/>
      <protection locked="0"/>
    </xf>
    <xf numFmtId="2" fontId="28" fillId="0" borderId="3" xfId="0" applyNumberFormat="1" applyFont="1" applyBorder="1" applyAlignment="1" applyProtection="1">
      <alignment horizontal="right" vertical="center"/>
      <protection locked="0"/>
    </xf>
    <xf numFmtId="10" fontId="15" fillId="0" borderId="0" xfId="0" applyNumberFormat="1" applyFont="1" applyBorder="1" applyProtection="1">
      <alignment vertical="center"/>
      <protection locked="0"/>
    </xf>
    <xf numFmtId="0" fontId="15" fillId="0" borderId="0" xfId="0" applyFont="1" applyBorder="1" applyProtection="1">
      <alignment vertical="center"/>
      <protection locked="0"/>
    </xf>
    <xf numFmtId="10" fontId="30" fillId="0" borderId="3" xfId="0" applyNumberFormat="1" applyFont="1" applyBorder="1" applyAlignment="1" applyProtection="1">
      <alignment vertical="center" wrapText="1"/>
      <protection locked="0"/>
    </xf>
    <xf numFmtId="183" fontId="30" fillId="0" borderId="3" xfId="0" applyNumberFormat="1" applyFont="1" applyBorder="1" applyAlignment="1" applyProtection="1">
      <alignment horizontal="center" vertical="center" wrapText="1"/>
      <protection locked="0"/>
    </xf>
    <xf numFmtId="10" fontId="30" fillId="0" borderId="3" xfId="0" applyNumberFormat="1" applyFont="1" applyBorder="1" applyAlignment="1" applyProtection="1">
      <alignment horizontal="center" vertical="center" wrapText="1"/>
      <protection locked="0"/>
    </xf>
    <xf numFmtId="183" fontId="29" fillId="8" borderId="3" xfId="0" applyNumberFormat="1" applyFont="1" applyFill="1" applyBorder="1" applyAlignment="1" applyProtection="1">
      <alignment horizontal="center" vertical="center" wrapText="1"/>
      <protection locked="0"/>
    </xf>
    <xf numFmtId="177" fontId="28" fillId="0" borderId="3" xfId="0" applyNumberFormat="1" applyFont="1" applyBorder="1" applyProtection="1">
      <alignment vertical="center"/>
      <protection locked="0"/>
    </xf>
    <xf numFmtId="0" fontId="0" fillId="0" borderId="42" xfId="0" applyBorder="1" applyAlignment="1" applyProtection="1">
      <alignment horizontal="center" vertical="center"/>
      <protection locked="0"/>
    </xf>
    <xf numFmtId="193" fontId="8" fillId="0" borderId="43" xfId="0" applyNumberFormat="1" applyFont="1" applyBorder="1" applyAlignment="1" applyProtection="1">
      <alignment horizontal="center" vertical="center"/>
      <protection locked="0"/>
    </xf>
    <xf numFmtId="193" fontId="8" fillId="0" borderId="44" xfId="0" applyNumberFormat="1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3" fontId="0" fillId="0" borderId="0" xfId="0" applyNumberFormat="1" applyBorder="1" applyProtection="1">
      <alignment vertical="center"/>
      <protection locked="0"/>
    </xf>
    <xf numFmtId="3" fontId="0" fillId="0" borderId="46" xfId="0" applyNumberFormat="1" applyBorder="1" applyProtection="1">
      <alignment vertical="center"/>
      <protection locked="0"/>
    </xf>
    <xf numFmtId="0" fontId="5" fillId="0" borderId="47" xfId="0" applyFont="1" applyBorder="1" applyAlignment="1" applyProtection="1">
      <alignment horizontal="center" vertical="center"/>
      <protection locked="0"/>
    </xf>
    <xf numFmtId="3" fontId="0" fillId="0" borderId="41" xfId="0" applyNumberFormat="1" applyBorder="1" applyProtection="1">
      <alignment vertical="center"/>
      <protection locked="0"/>
    </xf>
    <xf numFmtId="3" fontId="0" fillId="0" borderId="48" xfId="0" applyNumberFormat="1" applyBorder="1" applyProtection="1">
      <alignment vertical="center"/>
      <protection locked="0"/>
    </xf>
    <xf numFmtId="192" fontId="13" fillId="11" borderId="38" xfId="0" applyNumberFormat="1" applyFont="1" applyFill="1" applyBorder="1" applyProtection="1">
      <alignment vertical="center"/>
      <protection locked="0"/>
    </xf>
    <xf numFmtId="183" fontId="15" fillId="0" borderId="3" xfId="0" applyNumberFormat="1" applyFont="1" applyBorder="1" applyProtection="1">
      <alignment vertical="center"/>
    </xf>
    <xf numFmtId="183" fontId="28" fillId="0" borderId="3" xfId="0" applyNumberFormat="1" applyFont="1" applyBorder="1" applyProtection="1">
      <alignment vertical="center"/>
    </xf>
    <xf numFmtId="14" fontId="15" fillId="0" borderId="0" xfId="0" applyNumberFormat="1" applyFont="1" applyAlignment="1" applyProtection="1">
      <alignment horizontal="center" vertical="center"/>
      <protection locked="0"/>
    </xf>
    <xf numFmtId="0" fontId="0" fillId="29" borderId="0" xfId="0" applyFill="1" applyAlignment="1" applyProtection="1">
      <alignment horizontal="center" vertical="center"/>
      <protection locked="0"/>
    </xf>
    <xf numFmtId="193" fontId="0" fillId="0" borderId="0" xfId="0" applyNumberFormat="1" applyProtection="1">
      <alignment vertical="center"/>
      <protection locked="0"/>
    </xf>
    <xf numFmtId="193" fontId="0" fillId="0" borderId="9" xfId="0" applyNumberFormat="1" applyBorder="1" applyProtection="1">
      <alignment vertical="center"/>
      <protection locked="0"/>
    </xf>
    <xf numFmtId="193" fontId="0" fillId="0" borderId="26" xfId="0" applyNumberFormat="1" applyBorder="1" applyProtection="1">
      <alignment vertical="center"/>
      <protection locked="0"/>
    </xf>
    <xf numFmtId="193" fontId="0" fillId="0" borderId="3" xfId="0" applyNumberFormat="1" applyBorder="1" applyProtection="1">
      <alignment vertical="center"/>
      <protection locked="0"/>
    </xf>
    <xf numFmtId="177" fontId="0" fillId="0" borderId="23" xfId="0" applyNumberFormat="1" applyFont="1" applyBorder="1" applyAlignment="1" applyProtection="1">
      <alignment vertical="center"/>
      <protection locked="0"/>
    </xf>
    <xf numFmtId="177" fontId="0" fillId="0" borderId="29" xfId="0" applyNumberFormat="1" applyFont="1" applyBorder="1" applyAlignment="1" applyProtection="1">
      <alignment vertical="center"/>
      <protection locked="0"/>
    </xf>
    <xf numFmtId="177" fontId="0" fillId="0" borderId="26" xfId="0" applyNumberFormat="1" applyFont="1" applyBorder="1" applyAlignment="1" applyProtection="1">
      <alignment vertical="center"/>
      <protection locked="0"/>
    </xf>
    <xf numFmtId="187" fontId="0" fillId="20" borderId="24" xfId="0" applyNumberFormat="1" applyFont="1" applyFill="1" applyBorder="1" applyProtection="1">
      <alignment vertical="center"/>
      <protection locked="0"/>
    </xf>
    <xf numFmtId="187" fontId="0" fillId="20" borderId="30" xfId="0" applyNumberFormat="1" applyFont="1" applyFill="1" applyBorder="1" applyProtection="1">
      <alignment vertical="center"/>
      <protection locked="0"/>
    </xf>
    <xf numFmtId="187" fontId="0" fillId="20" borderId="27" xfId="0" applyNumberFormat="1" applyFont="1" applyFill="1" applyBorder="1" applyProtection="1">
      <alignment vertical="center"/>
      <protection locked="0"/>
    </xf>
    <xf numFmtId="0" fontId="6" fillId="0" borderId="0" xfId="0" applyFont="1" applyBorder="1" applyAlignment="1" applyProtection="1">
      <alignment horizontal="left" vertical="center" wrapText="1"/>
      <protection locked="0"/>
    </xf>
    <xf numFmtId="187" fontId="7" fillId="23" borderId="34" xfId="0" applyNumberFormat="1" applyFont="1" applyFill="1" applyBorder="1" applyAlignment="1" applyProtection="1">
      <alignment vertical="center"/>
      <protection locked="0"/>
    </xf>
    <xf numFmtId="187" fontId="6" fillId="0" borderId="34" xfId="0" applyNumberFormat="1" applyFont="1" applyBorder="1" applyAlignment="1" applyProtection="1">
      <alignment vertical="center"/>
      <protection locked="0"/>
    </xf>
    <xf numFmtId="10" fontId="15" fillId="0" borderId="0" xfId="0" applyNumberFormat="1" applyFont="1" applyProtection="1">
      <alignment vertical="center"/>
      <protection locked="0"/>
    </xf>
    <xf numFmtId="194" fontId="15" fillId="0" borderId="0" xfId="0" applyNumberFormat="1" applyFont="1" applyProtection="1">
      <alignment vertical="center"/>
      <protection locked="0"/>
    </xf>
    <xf numFmtId="3" fontId="0" fillId="0" borderId="0" xfId="0" applyNumberFormat="1" applyProtection="1">
      <alignment vertical="center"/>
      <protection locked="0"/>
    </xf>
    <xf numFmtId="40" fontId="0" fillId="0" borderId="3" xfId="0" applyNumberFormat="1" applyFill="1" applyBorder="1" applyProtection="1">
      <alignment vertical="center"/>
      <protection locked="0"/>
    </xf>
    <xf numFmtId="38" fontId="0" fillId="0" borderId="49" xfId="0" applyNumberFormat="1" applyBorder="1" applyProtection="1">
      <alignment vertical="center"/>
      <protection locked="0"/>
    </xf>
    <xf numFmtId="0" fontId="5" fillId="0" borderId="7" xfId="0" applyFont="1" applyBorder="1" applyAlignment="1" applyProtection="1">
      <alignment horizontal="center" vertical="center"/>
      <protection locked="0"/>
    </xf>
    <xf numFmtId="9" fontId="0" fillId="32" borderId="8" xfId="0" applyNumberFormat="1" applyFill="1" applyBorder="1" applyAlignment="1" applyProtection="1">
      <alignment horizontal="center" vertical="center"/>
      <protection locked="0"/>
    </xf>
    <xf numFmtId="194" fontId="0" fillId="0" borderId="0" xfId="0" applyNumberFormat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</xf>
    <xf numFmtId="38" fontId="32" fillId="0" borderId="0" xfId="0" applyNumberFormat="1" applyFont="1" applyProtection="1">
      <alignment vertical="center"/>
      <protection locked="0"/>
    </xf>
    <xf numFmtId="40" fontId="0" fillId="5" borderId="0" xfId="0" applyNumberFormat="1" applyFill="1" applyBorder="1" applyProtection="1">
      <alignment vertical="center"/>
    </xf>
    <xf numFmtId="0" fontId="0" fillId="2" borderId="0" xfId="0" applyFill="1" applyBorder="1" applyAlignment="1" applyProtection="1">
      <alignment horizontal="center" vertical="center"/>
    </xf>
    <xf numFmtId="0" fontId="0" fillId="2" borderId="0" xfId="0" applyFill="1" applyAlignment="1" applyProtection="1">
      <alignment horizontal="center" vertical="center"/>
    </xf>
    <xf numFmtId="40" fontId="5" fillId="0" borderId="7" xfId="0" applyNumberFormat="1" applyFont="1" applyFill="1" applyBorder="1" applyProtection="1">
      <alignment vertical="center"/>
    </xf>
    <xf numFmtId="40" fontId="5" fillId="0" borderId="51" xfId="0" applyNumberFormat="1" applyFont="1" applyFill="1" applyBorder="1" applyProtection="1">
      <alignment vertical="center"/>
    </xf>
    <xf numFmtId="40" fontId="5" fillId="0" borderId="8" xfId="0" applyNumberFormat="1" applyFont="1" applyFill="1" applyBorder="1" applyProtection="1">
      <alignment vertical="center"/>
    </xf>
    <xf numFmtId="0" fontId="20" fillId="0" borderId="0" xfId="0" applyFont="1" applyProtection="1">
      <alignment vertical="center"/>
    </xf>
    <xf numFmtId="0" fontId="5" fillId="2" borderId="7" xfId="0" applyFont="1" applyFill="1" applyBorder="1" applyAlignment="1" applyProtection="1">
      <alignment horizontal="center" vertical="center"/>
    </xf>
    <xf numFmtId="40" fontId="5" fillId="18" borderId="51" xfId="0" applyNumberFormat="1" applyFont="1" applyFill="1" applyBorder="1" applyProtection="1">
      <alignment vertical="center"/>
    </xf>
    <xf numFmtId="40" fontId="5" fillId="18" borderId="8" xfId="0" applyNumberFormat="1" applyFont="1" applyFill="1" applyBorder="1" applyProtection="1">
      <alignment vertical="center"/>
    </xf>
    <xf numFmtId="0" fontId="0" fillId="2" borderId="0" xfId="0" applyFont="1" applyFill="1" applyBorder="1" applyAlignment="1" applyProtection="1">
      <alignment horizontal="center" vertical="center"/>
    </xf>
    <xf numFmtId="183" fontId="0" fillId="5" borderId="0" xfId="1" applyNumberFormat="1" applyFont="1" applyFill="1" applyBorder="1" applyAlignment="1" applyProtection="1">
      <alignment vertical="center"/>
    </xf>
    <xf numFmtId="4" fontId="15" fillId="0" borderId="0" xfId="4" applyNumberFormat="1" applyFont="1" applyFill="1" applyBorder="1" applyAlignment="1" applyProtection="1">
      <alignment vertical="center"/>
    </xf>
    <xf numFmtId="4" fontId="15" fillId="0" borderId="0" xfId="0" applyNumberFormat="1" applyFont="1" applyProtection="1">
      <alignment vertical="center"/>
    </xf>
    <xf numFmtId="0" fontId="0" fillId="2" borderId="0" xfId="0" applyFill="1" applyProtection="1">
      <alignment vertical="center"/>
    </xf>
    <xf numFmtId="40" fontId="5" fillId="0" borderId="0" xfId="0" applyNumberFormat="1" applyFont="1" applyFill="1" applyProtection="1">
      <alignment vertical="center"/>
    </xf>
    <xf numFmtId="38" fontId="33" fillId="27" borderId="52" xfId="8" applyNumberFormat="1" applyFont="1" applyFill="1" applyBorder="1" applyAlignment="1" applyProtection="1">
      <alignment vertical="center" wrapText="1" shrinkToFit="1"/>
    </xf>
    <xf numFmtId="38" fontId="33" fillId="27" borderId="53" xfId="8" applyNumberFormat="1" applyFont="1" applyFill="1" applyBorder="1" applyAlignment="1" applyProtection="1">
      <alignment horizontal="center" vertical="center" shrinkToFit="1"/>
    </xf>
    <xf numFmtId="195" fontId="33" fillId="27" borderId="53" xfId="8" applyNumberFormat="1" applyFont="1" applyFill="1" applyBorder="1" applyAlignment="1" applyProtection="1">
      <alignment horizontal="center" vertical="center" shrinkToFit="1"/>
    </xf>
    <xf numFmtId="0" fontId="23" fillId="0" borderId="0" xfId="0" applyFont="1">
      <alignment vertical="center"/>
    </xf>
    <xf numFmtId="181" fontId="23" fillId="0" borderId="0" xfId="0" applyNumberFormat="1" applyFont="1">
      <alignment vertical="center"/>
    </xf>
    <xf numFmtId="195" fontId="23" fillId="0" borderId="0" xfId="0" applyNumberFormat="1" applyFont="1">
      <alignment vertical="center"/>
    </xf>
    <xf numFmtId="3" fontId="23" fillId="0" borderId="0" xfId="0" applyNumberFormat="1" applyFont="1">
      <alignment vertical="center"/>
    </xf>
    <xf numFmtId="38" fontId="15" fillId="0" borderId="0" xfId="8" applyNumberFormat="1" applyFont="1" applyFill="1" applyBorder="1" applyAlignment="1" applyProtection="1"/>
    <xf numFmtId="40" fontId="0" fillId="22" borderId="49" xfId="0" applyNumberFormat="1" applyFill="1" applyBorder="1" applyProtection="1">
      <alignment vertical="center"/>
    </xf>
    <xf numFmtId="40" fontId="0" fillId="0" borderId="0" xfId="0" applyNumberFormat="1" applyAlignment="1" applyProtection="1">
      <alignment horizontal="center" vertical="center"/>
      <protection locked="0"/>
    </xf>
    <xf numFmtId="40" fontId="0" fillId="5" borderId="0" xfId="0" applyNumberFormat="1" applyFont="1" applyFill="1" applyProtection="1">
      <alignment vertical="center"/>
    </xf>
    <xf numFmtId="10" fontId="0" fillId="0" borderId="0" xfId="4" applyNumberFormat="1" applyFont="1" applyFill="1" applyBorder="1" applyAlignment="1" applyProtection="1">
      <alignment vertical="center"/>
    </xf>
    <xf numFmtId="0" fontId="27" fillId="0" borderId="0" xfId="0" applyFont="1" applyProtection="1">
      <alignment vertical="center"/>
      <protection locked="0"/>
    </xf>
    <xf numFmtId="10" fontId="23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14" fontId="1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6" fillId="36" borderId="53" xfId="0" applyFont="1" applyFill="1" applyBorder="1" applyAlignment="1">
      <alignment horizontal="center" vertical="center" wrapText="1"/>
    </xf>
    <xf numFmtId="0" fontId="37" fillId="36" borderId="53" xfId="0" applyFont="1" applyFill="1" applyBorder="1" applyAlignment="1">
      <alignment horizontal="center" vertical="center" wrapText="1"/>
    </xf>
    <xf numFmtId="0" fontId="36" fillId="37" borderId="53" xfId="0" applyFont="1" applyFill="1" applyBorder="1" applyAlignment="1">
      <alignment horizontal="center" vertical="center"/>
    </xf>
    <xf numFmtId="0" fontId="36" fillId="37" borderId="53" xfId="0" applyFont="1" applyFill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 wrapText="1"/>
    </xf>
    <xf numFmtId="38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 wrapText="1"/>
    </xf>
    <xf numFmtId="38" fontId="38" fillId="0" borderId="53" xfId="0" applyNumberFormat="1" applyFont="1" applyBorder="1" applyAlignment="1">
      <alignment horizontal="center" vertical="center" wrapText="1"/>
    </xf>
    <xf numFmtId="2" fontId="39" fillId="0" borderId="53" xfId="0" applyNumberFormat="1" applyFont="1" applyBorder="1" applyAlignment="1">
      <alignment horizontal="center" vertical="center" wrapText="1"/>
    </xf>
    <xf numFmtId="4" fontId="39" fillId="0" borderId="53" xfId="0" applyNumberFormat="1" applyFont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justify" vertical="center" wrapText="1"/>
    </xf>
    <xf numFmtId="3" fontId="39" fillId="0" borderId="53" xfId="0" applyNumberFormat="1" applyFont="1" applyBorder="1" applyAlignment="1">
      <alignment horizontal="right" vertical="center" wrapText="1"/>
    </xf>
    <xf numFmtId="0" fontId="36" fillId="38" borderId="53" xfId="0" applyFont="1" applyFill="1" applyBorder="1" applyAlignment="1">
      <alignment horizontal="center" vertical="center"/>
    </xf>
    <xf numFmtId="3" fontId="36" fillId="38" borderId="53" xfId="0" applyNumberFormat="1" applyFont="1" applyFill="1" applyBorder="1" applyAlignment="1">
      <alignment horizontal="center" vertical="center" wrapText="1"/>
    </xf>
    <xf numFmtId="0" fontId="40" fillId="38" borderId="53" xfId="0" applyFont="1" applyFill="1" applyBorder="1" applyAlignment="1">
      <alignment horizontal="center" vertical="center"/>
    </xf>
    <xf numFmtId="10" fontId="40" fillId="38" borderId="53" xfId="0" applyNumberFormat="1" applyFont="1" applyFill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left" vertical="center" wrapText="1" indent="1"/>
    </xf>
    <xf numFmtId="38" fontId="39" fillId="0" borderId="53" xfId="0" applyNumberFormat="1" applyFont="1" applyBorder="1" applyAlignment="1">
      <alignment horizontal="right" vertical="center" wrapText="1"/>
    </xf>
    <xf numFmtId="3" fontId="39" fillId="0" borderId="53" xfId="0" applyNumberFormat="1" applyFont="1" applyBorder="1" applyAlignment="1">
      <alignment horizontal="center" vertical="center" wrapText="1"/>
    </xf>
    <xf numFmtId="0" fontId="36" fillId="38" borderId="53" xfId="0" applyFont="1" applyFill="1" applyBorder="1" applyAlignment="1">
      <alignment horizontal="center" vertical="center" wrapText="1"/>
    </xf>
    <xf numFmtId="0" fontId="39" fillId="36" borderId="53" xfId="0" applyFont="1" applyFill="1" applyBorder="1" applyAlignment="1">
      <alignment horizontal="left" vertical="center" wrapText="1" indent="1"/>
    </xf>
    <xf numFmtId="0" fontId="39" fillId="36" borderId="53" xfId="0" applyFont="1" applyFill="1" applyBorder="1" applyAlignment="1">
      <alignment horizontal="justify" vertical="center" wrapText="1"/>
    </xf>
    <xf numFmtId="2" fontId="37" fillId="38" borderId="53" xfId="0" applyNumberFormat="1" applyFont="1" applyFill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 wrapText="1"/>
    </xf>
    <xf numFmtId="10" fontId="39" fillId="0" borderId="53" xfId="0" applyNumberFormat="1" applyFont="1" applyBorder="1" applyAlignment="1">
      <alignment horizontal="right" vertical="center" wrapText="1"/>
    </xf>
    <xf numFmtId="10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right" vertical="center" wrapText="1"/>
    </xf>
    <xf numFmtId="0" fontId="36" fillId="0" borderId="53" xfId="0" applyFont="1" applyBorder="1" applyAlignment="1">
      <alignment horizontal="center" vertical="center"/>
    </xf>
    <xf numFmtId="3" fontId="36" fillId="0" borderId="53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10" fontId="40" fillId="0" borderId="53" xfId="0" applyNumberFormat="1" applyFont="1" applyBorder="1" applyAlignment="1">
      <alignment horizontal="center" vertical="center"/>
    </xf>
    <xf numFmtId="0" fontId="38" fillId="0" borderId="0" xfId="0" applyFont="1" applyAlignment="1">
      <alignment horizontal="right" vertical="center" wrapText="1"/>
    </xf>
    <xf numFmtId="38" fontId="38" fillId="0" borderId="0" xfId="0" applyNumberFormat="1" applyFont="1" applyAlignment="1">
      <alignment horizontal="right" vertical="center" wrapText="1"/>
    </xf>
    <xf numFmtId="0" fontId="23" fillId="0" borderId="54" xfId="0" applyFont="1" applyBorder="1" applyAlignment="1" applyProtection="1">
      <alignment vertical="center"/>
      <protection locked="0"/>
    </xf>
    <xf numFmtId="0" fontId="45" fillId="36" borderId="53" xfId="0" applyFont="1" applyFill="1" applyBorder="1" applyAlignment="1">
      <alignment horizontal="justify" vertical="center" wrapText="1"/>
    </xf>
    <xf numFmtId="0" fontId="38" fillId="0" borderId="54" xfId="0" applyFont="1" applyBorder="1" applyAlignment="1">
      <alignment vertical="center"/>
    </xf>
    <xf numFmtId="0" fontId="39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/>
    </xf>
    <xf numFmtId="10" fontId="38" fillId="0" borderId="0" xfId="0" applyNumberFormat="1" applyFont="1" applyAlignment="1">
      <alignment horizontal="right" vertical="center" wrapText="1"/>
    </xf>
    <xf numFmtId="0" fontId="36" fillId="0" borderId="53" xfId="0" applyFont="1" applyBorder="1" applyAlignment="1">
      <alignment horizontal="center" vertical="center" wrapText="1"/>
    </xf>
    <xf numFmtId="3" fontId="36" fillId="0" borderId="53" xfId="0" applyNumberFormat="1" applyFont="1" applyBorder="1" applyAlignment="1">
      <alignment horizontal="center" vertical="center" wrapText="1"/>
    </xf>
    <xf numFmtId="38" fontId="36" fillId="0" borderId="53" xfId="0" applyNumberFormat="1" applyFont="1" applyBorder="1" applyAlignment="1">
      <alignment horizontal="center" vertical="center" wrapText="1"/>
    </xf>
    <xf numFmtId="40" fontId="37" fillId="0" borderId="53" xfId="0" applyNumberFormat="1" applyFont="1" applyBorder="1" applyAlignment="1">
      <alignment horizontal="center" vertical="center" wrapText="1"/>
    </xf>
    <xf numFmtId="0" fontId="46" fillId="37" borderId="53" xfId="0" applyFont="1" applyFill="1" applyBorder="1" applyAlignment="1">
      <alignment horizontal="center" vertical="center"/>
    </xf>
    <xf numFmtId="9" fontId="15" fillId="0" borderId="0" xfId="0" applyNumberFormat="1" applyFont="1" applyProtection="1">
      <alignment vertical="center"/>
      <protection locked="0"/>
    </xf>
    <xf numFmtId="38" fontId="0" fillId="30" borderId="0" xfId="0" applyNumberFormat="1" applyFill="1" applyProtection="1">
      <alignment vertical="center"/>
    </xf>
    <xf numFmtId="0" fontId="49" fillId="0" borderId="0" xfId="0" applyFont="1">
      <alignment vertical="center"/>
    </xf>
    <xf numFmtId="0" fontId="26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7" fillId="0" borderId="0" xfId="0" applyFont="1" applyProtection="1">
      <alignment vertical="center"/>
      <protection locked="0"/>
    </xf>
    <xf numFmtId="4" fontId="0" fillId="0" borderId="0" xfId="0" applyNumberFormat="1">
      <alignment vertical="center"/>
    </xf>
    <xf numFmtId="0" fontId="38" fillId="36" borderId="53" xfId="10" applyNumberFormat="1" applyFont="1" applyFill="1" applyBorder="1" applyAlignment="1" applyProtection="1">
      <alignment horizontal="center" vertical="center" wrapText="1"/>
    </xf>
    <xf numFmtId="14" fontId="36" fillId="36" borderId="53" xfId="10" applyNumberFormat="1" applyFont="1" applyFill="1" applyBorder="1" applyAlignment="1" applyProtection="1">
      <alignment horizontal="center" vertical="center" wrapText="1"/>
    </xf>
    <xf numFmtId="4" fontId="39" fillId="0" borderId="53" xfId="10" applyNumberFormat="1" applyFont="1" applyFill="1" applyBorder="1" applyAlignment="1" applyProtection="1">
      <alignment horizontal="right" vertical="center" wrapText="1"/>
    </xf>
    <xf numFmtId="0" fontId="38" fillId="36" borderId="53" xfId="10" applyNumberFormat="1" applyFont="1" applyFill="1" applyBorder="1" applyAlignment="1" applyProtection="1">
      <alignment horizontal="justify" vertical="center" wrapText="1"/>
    </xf>
    <xf numFmtId="0" fontId="4" fillId="0" borderId="0" xfId="10" applyNumberFormat="1" applyFont="1" applyFill="1" applyBorder="1" applyAlignment="1" applyProtection="1">
      <alignment vertical="center"/>
    </xf>
    <xf numFmtId="0" fontId="36" fillId="36" borderId="53" xfId="10" applyNumberFormat="1" applyFont="1" applyFill="1" applyBorder="1" applyAlignment="1" applyProtection="1">
      <alignment horizontal="center" vertical="center" wrapText="1"/>
    </xf>
    <xf numFmtId="3" fontId="39" fillId="0" borderId="53" xfId="10" applyNumberFormat="1" applyFont="1" applyFill="1" applyBorder="1" applyAlignment="1" applyProtection="1">
      <alignment horizontal="right" vertical="center" wrapText="1"/>
    </xf>
    <xf numFmtId="0" fontId="37" fillId="36" borderId="53" xfId="11" applyNumberFormat="1" applyFont="1" applyFill="1" applyBorder="1" applyAlignment="1" applyProtection="1">
      <alignment horizontal="center" vertical="center" wrapText="1"/>
    </xf>
    <xf numFmtId="38" fontId="39" fillId="0" borderId="53" xfId="11" applyNumberFormat="1" applyFont="1" applyFill="1" applyBorder="1" applyAlignment="1" applyProtection="1">
      <alignment horizontal="center" vertical="center" wrapText="1"/>
    </xf>
    <xf numFmtId="0" fontId="36" fillId="36" borderId="53" xfId="11" applyNumberFormat="1" applyFont="1" applyFill="1" applyBorder="1" applyAlignment="1" applyProtection="1">
      <alignment horizontal="center" vertical="center" wrapText="1"/>
    </xf>
    <xf numFmtId="0" fontId="37" fillId="0" borderId="53" xfId="11" applyNumberFormat="1" applyFont="1" applyFill="1" applyBorder="1" applyAlignment="1" applyProtection="1">
      <alignment horizontal="center" vertical="center" wrapText="1"/>
    </xf>
    <xf numFmtId="0" fontId="23" fillId="0" borderId="53" xfId="11" applyNumberFormat="1" applyFont="1" applyFill="1" applyBorder="1" applyAlignment="1" applyProtection="1">
      <alignment vertical="center"/>
    </xf>
    <xf numFmtId="0" fontId="43" fillId="0" borderId="53" xfId="11" applyNumberFormat="1" applyFont="1" applyFill="1" applyBorder="1" applyAlignment="1" applyProtection="1">
      <alignment vertical="center"/>
    </xf>
    <xf numFmtId="4" fontId="39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</xf>
    <xf numFmtId="3" fontId="23" fillId="0" borderId="0" xfId="10" applyNumberFormat="1" applyFont="1" applyFill="1" applyBorder="1" applyAlignment="1" applyProtection="1">
      <alignment horizontal="center" vertical="center"/>
    </xf>
    <xf numFmtId="0" fontId="23" fillId="0" borderId="0" xfId="10" applyNumberFormat="1" applyFont="1" applyFill="1" applyBorder="1" applyAlignment="1" applyProtection="1">
      <alignment horizontal="center" vertical="center"/>
    </xf>
    <xf numFmtId="0" fontId="38" fillId="36" borderId="53" xfId="10" applyNumberFormat="1" applyFont="1" applyFill="1" applyBorder="1" applyAlignment="1" applyProtection="1">
      <alignment horizontal="left" vertical="center" wrapText="1" indent="1"/>
    </xf>
    <xf numFmtId="38" fontId="23" fillId="0" borderId="0" xfId="8" applyNumberFormat="1" applyFont="1" applyFill="1" applyBorder="1" applyAlignment="1" applyProtection="1"/>
    <xf numFmtId="0" fontId="39" fillId="36" borderId="53" xfId="10" applyNumberFormat="1" applyFont="1" applyFill="1" applyBorder="1" applyAlignment="1" applyProtection="1">
      <alignment horizontal="left" vertical="center" wrapText="1" indent="1"/>
    </xf>
    <xf numFmtId="0" fontId="39" fillId="36" borderId="53" xfId="10" applyNumberFormat="1" applyFont="1" applyFill="1" applyBorder="1" applyAlignment="1" applyProtection="1">
      <alignment horizontal="justify" vertical="center" wrapText="1"/>
    </xf>
    <xf numFmtId="0" fontId="45" fillId="36" borderId="53" xfId="10" applyNumberFormat="1" applyFont="1" applyFill="1" applyBorder="1" applyAlignment="1" applyProtection="1">
      <alignment horizontal="justify" vertical="center" wrapText="1"/>
    </xf>
    <xf numFmtId="0" fontId="23" fillId="0" borderId="0" xfId="10" applyNumberFormat="1" applyFont="1" applyFill="1" applyBorder="1" applyAlignment="1" applyProtection="1">
      <alignment horizontal="left" vertical="center" indent="1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38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50" fillId="39" borderId="0" xfId="0" applyFont="1" applyFill="1">
      <alignment vertical="center"/>
    </xf>
    <xf numFmtId="0" fontId="23" fillId="39" borderId="0" xfId="0" applyFont="1" applyFill="1">
      <alignment vertical="center"/>
    </xf>
    <xf numFmtId="0" fontId="22" fillId="0" borderId="0" xfId="0" applyFont="1">
      <alignment vertical="center"/>
    </xf>
    <xf numFmtId="192" fontId="23" fillId="0" borderId="0" xfId="12" applyNumberFormat="1" applyFont="1" applyFill="1" applyBorder="1" applyAlignment="1" applyProtection="1">
      <alignment horizontal="center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9" fontId="23" fillId="0" borderId="0" xfId="12" applyNumberFormat="1" applyFont="1" applyFill="1" applyBorder="1" applyAlignment="1" applyProtection="1"/>
    <xf numFmtId="3" fontId="39" fillId="0" borderId="53" xfId="10" applyNumberFormat="1" applyFont="1" applyFill="1" applyBorder="1" applyAlignment="1" applyProtection="1">
      <alignment horizontal="right" vertical="center" wrapText="1"/>
    </xf>
    <xf numFmtId="38" fontId="39" fillId="0" borderId="53" xfId="10" applyNumberFormat="1" applyFont="1" applyFill="1" applyBorder="1" applyAlignment="1" applyProtection="1">
      <alignment horizontal="right" vertical="center" wrapText="1"/>
    </xf>
    <xf numFmtId="1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1" applyNumberFormat="1" applyFont="1" applyFill="1" applyBorder="1" applyAlignment="1" applyProtection="1">
      <alignment horizontal="center" vertical="center" wrapText="1"/>
    </xf>
    <xf numFmtId="10" fontId="39" fillId="0" borderId="53" xfId="11" applyNumberFormat="1" applyFont="1" applyFill="1" applyBorder="1" applyAlignment="1" applyProtection="1">
      <alignment horizontal="center" vertical="center" wrapText="1"/>
    </xf>
    <xf numFmtId="2" fontId="39" fillId="0" borderId="53" xfId="11" applyNumberFormat="1" applyFont="1" applyFill="1" applyBorder="1" applyAlignment="1" applyProtection="1">
      <alignment horizontal="center" vertical="center" wrapText="1"/>
    </xf>
    <xf numFmtId="4" fontId="39" fillId="0" borderId="53" xfId="11" applyNumberFormat="1" applyFont="1" applyFill="1" applyBorder="1" applyAlignment="1" applyProtection="1">
      <alignment horizontal="center" vertical="center" wrapText="1"/>
    </xf>
    <xf numFmtId="202" fontId="39" fillId="0" borderId="53" xfId="11" applyNumberFormat="1" applyFont="1" applyFill="1" applyBorder="1" applyAlignment="1" applyProtection="1">
      <alignment horizontal="center" vertical="center" wrapText="1"/>
    </xf>
    <xf numFmtId="0" fontId="36" fillId="12" borderId="53" xfId="11" applyNumberFormat="1" applyFont="1" applyFill="1" applyBorder="1" applyAlignment="1" applyProtection="1">
      <alignment horizontal="center" vertical="center" wrapText="1"/>
    </xf>
    <xf numFmtId="2" fontId="37" fillId="12" borderId="53" xfId="11" applyNumberFormat="1" applyFont="1" applyFill="1" applyBorder="1" applyAlignment="1" applyProtection="1">
      <alignment horizontal="center" vertical="center" wrapText="1"/>
    </xf>
    <xf numFmtId="4" fontId="39" fillId="5" borderId="53" xfId="10" applyNumberFormat="1" applyFont="1" applyFill="1" applyBorder="1" applyAlignment="1" applyProtection="1">
      <alignment horizontal="right" vertical="center" wrapText="1"/>
    </xf>
    <xf numFmtId="0" fontId="51" fillId="0" borderId="0" xfId="0" applyFont="1">
      <alignment vertical="center"/>
    </xf>
    <xf numFmtId="0" fontId="0" fillId="2" borderId="15" xfId="0" applyFill="1" applyBorder="1" applyProtection="1">
      <alignment vertical="center"/>
      <protection locked="0"/>
    </xf>
    <xf numFmtId="3" fontId="15" fillId="0" borderId="0" xfId="4" applyNumberFormat="1" applyFont="1" applyFill="1" applyBorder="1" applyAlignment="1" applyProtection="1">
      <alignment vertical="center"/>
    </xf>
    <xf numFmtId="0" fontId="27" fillId="0" borderId="0" xfId="0" applyFont="1" applyAlignment="1" applyProtection="1">
      <alignment horizontal="left" vertical="center"/>
      <protection locked="0"/>
    </xf>
    <xf numFmtId="38" fontId="0" fillId="10" borderId="0" xfId="0" applyNumberFormat="1" applyFill="1" applyProtection="1">
      <alignment vertical="center"/>
    </xf>
    <xf numFmtId="0" fontId="6" fillId="2" borderId="0" xfId="0" applyFont="1" applyFill="1" applyProtection="1">
      <alignment vertical="center"/>
    </xf>
    <xf numFmtId="0" fontId="5" fillId="0" borderId="0" xfId="0" applyFont="1" applyAlignment="1" applyProtection="1">
      <alignment horizontal="left" vertical="center" indent="1"/>
      <protection locked="0"/>
    </xf>
    <xf numFmtId="0" fontId="17" fillId="0" borderId="0" xfId="0" applyFont="1" applyAlignment="1" applyProtection="1">
      <alignment horizontal="left" vertical="center" indent="2"/>
      <protection locked="0"/>
    </xf>
    <xf numFmtId="38" fontId="0" fillId="5" borderId="0" xfId="0" applyNumberFormat="1" applyFill="1" applyProtection="1">
      <alignment vertical="center"/>
    </xf>
    <xf numFmtId="0" fontId="32" fillId="0" borderId="0" xfId="0" applyFont="1" applyProtection="1">
      <alignment vertical="center"/>
      <protection locked="0"/>
    </xf>
    <xf numFmtId="40" fontId="5" fillId="18" borderId="0" xfId="0" applyNumberFormat="1" applyFont="1" applyFill="1" applyProtection="1">
      <alignment vertical="center"/>
    </xf>
    <xf numFmtId="38" fontId="8" fillId="0" borderId="0" xfId="0" applyNumberFormat="1" applyFont="1" applyFill="1" applyProtection="1">
      <alignment vertical="center"/>
    </xf>
    <xf numFmtId="201" fontId="0" fillId="0" borderId="0" xfId="0" applyNumberFormat="1" applyAlignment="1" applyProtection="1">
      <alignment horizontal="center" vertical="center"/>
      <protection locked="0"/>
    </xf>
    <xf numFmtId="0" fontId="48" fillId="0" borderId="0" xfId="0" applyFont="1">
      <alignment vertical="center"/>
    </xf>
    <xf numFmtId="14" fontId="48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200" fontId="48" fillId="0" borderId="0" xfId="0" applyNumberFormat="1" applyFont="1" applyAlignment="1">
      <alignment horizontal="center" vertical="center"/>
    </xf>
    <xf numFmtId="38" fontId="11" fillId="0" borderId="0" xfId="8" applyNumberFormat="1" applyFont="1" applyFill="1" applyBorder="1" applyAlignment="1" applyProtection="1"/>
    <xf numFmtId="203" fontId="48" fillId="0" borderId="0" xfId="0" applyNumberFormat="1" applyFont="1" applyAlignment="1">
      <alignment horizontal="center" vertical="center"/>
    </xf>
    <xf numFmtId="3" fontId="48" fillId="0" borderId="0" xfId="0" applyNumberFormat="1" applyFont="1" applyAlignment="1">
      <alignment horizontal="center" vertical="center"/>
    </xf>
    <xf numFmtId="38" fontId="11" fillId="0" borderId="0" xfId="13" applyNumberFormat="1" applyFont="1" applyFill="1" applyAlignment="1"/>
    <xf numFmtId="10" fontId="54" fillId="38" borderId="53" xfId="0" applyNumberFormat="1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38" fontId="15" fillId="0" borderId="0" xfId="8" applyNumberFormat="1" applyFont="1" applyFill="1" applyBorder="1" applyAlignment="1" applyProtection="1">
      <protection locked="0"/>
    </xf>
    <xf numFmtId="38" fontId="15" fillId="0" borderId="0" xfId="8" applyNumberFormat="1" applyFont="1" applyFill="1" applyBorder="1" applyAlignment="1" applyProtection="1">
      <alignment horizontal="center"/>
      <protection locked="0"/>
    </xf>
    <xf numFmtId="196" fontId="15" fillId="0" borderId="0" xfId="8" applyNumberFormat="1" applyFont="1" applyFill="1" applyBorder="1" applyAlignment="1" applyProtection="1">
      <protection locked="0"/>
    </xf>
    <xf numFmtId="198" fontId="1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center"/>
      <protection locked="0"/>
    </xf>
    <xf numFmtId="196" fontId="52" fillId="0" borderId="0" xfId="8" applyNumberFormat="1" applyFont="1" applyFill="1" applyBorder="1" applyAlignment="1" applyProtection="1">
      <protection locked="0"/>
    </xf>
    <xf numFmtId="38" fontId="3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left"/>
      <protection locked="0"/>
    </xf>
    <xf numFmtId="38" fontId="28" fillId="0" borderId="0" xfId="8" applyNumberFormat="1" applyFont="1" applyFill="1" applyBorder="1" applyAlignment="1" applyProtection="1">
      <alignment horizontal="center"/>
      <protection locked="0"/>
    </xf>
    <xf numFmtId="38" fontId="28" fillId="0" borderId="0" xfId="8" applyNumberFormat="1" applyFont="1" applyFill="1" applyBorder="1" applyAlignment="1" applyProtection="1">
      <alignment horizontal="center" vertical="center"/>
      <protection locked="0"/>
    </xf>
    <xf numFmtId="38" fontId="53" fillId="0" borderId="55" xfId="8" applyNumberFormat="1" applyFont="1" applyFill="1" applyBorder="1" applyAlignment="1" applyProtection="1">
      <alignment horizontal="center"/>
      <protection locked="0"/>
    </xf>
    <xf numFmtId="3" fontId="39" fillId="0" borderId="53" xfId="0" applyNumberFormat="1" applyFont="1" applyFill="1" applyBorder="1" applyAlignment="1">
      <alignment horizontal="center" vertical="center" wrapText="1"/>
    </xf>
    <xf numFmtId="205" fontId="39" fillId="0" borderId="53" xfId="0" applyNumberFormat="1" applyFont="1" applyBorder="1" applyAlignment="1">
      <alignment horizontal="right" vertical="center" wrapText="1"/>
    </xf>
    <xf numFmtId="10" fontId="36" fillId="36" borderId="53" xfId="0" applyNumberFormat="1" applyFont="1" applyFill="1" applyBorder="1" applyAlignment="1">
      <alignment horizontal="center" vertical="center" wrapText="1"/>
    </xf>
    <xf numFmtId="0" fontId="47" fillId="0" borderId="53" xfId="0" applyFont="1" applyBorder="1" applyAlignment="1">
      <alignment horizontal="left" vertical="center"/>
    </xf>
    <xf numFmtId="0" fontId="0" fillId="0" borderId="0" xfId="0" applyAlignment="1">
      <alignment vertical="center"/>
    </xf>
    <xf numFmtId="31" fontId="47" fillId="0" borderId="53" xfId="0" applyNumberFormat="1" applyFont="1" applyBorder="1" applyAlignment="1">
      <alignment horizontal="left" vertical="center"/>
    </xf>
    <xf numFmtId="204" fontId="47" fillId="0" borderId="53" xfId="0" applyNumberFormat="1" applyFont="1" applyBorder="1" applyAlignment="1">
      <alignment horizontal="left" vertical="center"/>
    </xf>
    <xf numFmtId="0" fontId="36" fillId="36" borderId="53" xfId="0" applyFont="1" applyFill="1" applyBorder="1" applyAlignment="1">
      <alignment horizontal="center" vertical="center"/>
    </xf>
    <xf numFmtId="0" fontId="37" fillId="36" borderId="53" xfId="0" applyFont="1" applyFill="1" applyBorder="1" applyAlignment="1">
      <alignment horizontal="center" vertical="center"/>
    </xf>
    <xf numFmtId="38" fontId="39" fillId="0" borderId="53" xfId="0" applyNumberFormat="1" applyFont="1" applyBorder="1" applyAlignment="1">
      <alignment horizontal="center" vertical="center"/>
    </xf>
    <xf numFmtId="40" fontId="39" fillId="0" borderId="53" xfId="0" applyNumberFormat="1" applyFont="1" applyBorder="1" applyAlignment="1">
      <alignment horizontal="center" vertical="center"/>
    </xf>
    <xf numFmtId="3" fontId="39" fillId="0" borderId="53" xfId="0" applyNumberFormat="1" applyFont="1" applyBorder="1" applyAlignment="1">
      <alignment horizontal="center" vertical="center"/>
    </xf>
    <xf numFmtId="0" fontId="0" fillId="0" borderId="58" xfId="0" applyBorder="1" applyAlignment="1">
      <alignment vertical="center"/>
    </xf>
    <xf numFmtId="38" fontId="37" fillId="0" borderId="53" xfId="0" applyNumberFormat="1" applyFont="1" applyBorder="1" applyAlignment="1">
      <alignment horizontal="center" vertical="center"/>
    </xf>
    <xf numFmtId="181" fontId="38" fillId="0" borderId="53" xfId="0" applyNumberFormat="1" applyFont="1" applyBorder="1" applyAlignment="1">
      <alignment horizontal="center" vertical="center"/>
    </xf>
    <xf numFmtId="31" fontId="38" fillId="0" borderId="53" xfId="0" applyNumberFormat="1" applyFont="1" applyBorder="1" applyAlignment="1">
      <alignment horizontal="center" vertical="center"/>
    </xf>
    <xf numFmtId="203" fontId="38" fillId="0" borderId="53" xfId="0" applyNumberFormat="1" applyFont="1" applyBorder="1" applyAlignment="1">
      <alignment horizontal="center" vertical="center"/>
    </xf>
    <xf numFmtId="0" fontId="56" fillId="37" borderId="54" xfId="0" applyFont="1" applyFill="1" applyBorder="1" applyAlignment="1">
      <alignment horizontal="center" vertical="center"/>
    </xf>
    <xf numFmtId="0" fontId="36" fillId="37" borderId="54" xfId="0" applyFont="1" applyFill="1" applyBorder="1" applyAlignment="1">
      <alignment horizontal="center" vertical="center"/>
    </xf>
    <xf numFmtId="0" fontId="38" fillId="0" borderId="53" xfId="0" applyFont="1" applyBorder="1" applyAlignment="1">
      <alignment vertical="center" shrinkToFit="1"/>
    </xf>
    <xf numFmtId="0" fontId="36" fillId="0" borderId="53" xfId="0" applyFont="1" applyBorder="1" applyAlignment="1">
      <alignment vertical="center" shrinkToFit="1"/>
    </xf>
    <xf numFmtId="0" fontId="23" fillId="0" borderId="53" xfId="0" applyFont="1" applyBorder="1" applyAlignment="1">
      <alignment horizontal="center" vertical="center" shrinkToFit="1"/>
    </xf>
    <xf numFmtId="0" fontId="43" fillId="0" borderId="53" xfId="0" applyFont="1" applyBorder="1" applyAlignment="1">
      <alignment horizontal="center" vertical="center" shrinkToFit="1"/>
    </xf>
    <xf numFmtId="38" fontId="15" fillId="0" borderId="9" xfId="8" applyNumberFormat="1" applyFont="1" applyFill="1" applyBorder="1" applyAlignment="1" applyProtection="1">
      <alignment horizontal="center" wrapText="1"/>
      <protection locked="0"/>
    </xf>
    <xf numFmtId="38" fontId="22" fillId="0" borderId="9" xfId="8" applyNumberFormat="1" applyFont="1" applyFill="1" applyBorder="1" applyAlignment="1" applyProtection="1">
      <alignment horizontal="center" wrapText="1"/>
      <protection locked="0"/>
    </xf>
    <xf numFmtId="1" fontId="33" fillId="27" borderId="52" xfId="0" applyNumberFormat="1" applyFont="1" applyFill="1" applyBorder="1" applyAlignment="1">
      <alignment horizontal="center" vertical="center" wrapText="1" shrinkToFit="1"/>
    </xf>
    <xf numFmtId="0" fontId="57" fillId="40" borderId="3" xfId="0" applyFont="1" applyFill="1" applyBorder="1" applyAlignment="1">
      <alignment horizontal="center" vertical="center"/>
    </xf>
    <xf numFmtId="0" fontId="57" fillId="40" borderId="3" xfId="0" applyFont="1" applyFill="1" applyBorder="1" applyAlignment="1">
      <alignment horizontal="center" vertical="center" wrapText="1"/>
    </xf>
    <xf numFmtId="0" fontId="0" fillId="0" borderId="3" xfId="0" applyBorder="1" applyProtection="1">
      <alignment vertical="center"/>
      <protection locked="0"/>
    </xf>
    <xf numFmtId="14" fontId="13" fillId="41" borderId="3" xfId="6" applyNumberFormat="1" applyFont="1" applyFill="1" applyBorder="1" applyAlignment="1" applyProtection="1">
      <alignment horizontal="center" vertical="center"/>
    </xf>
    <xf numFmtId="191" fontId="13" fillId="41" borderId="3" xfId="6" applyNumberFormat="1" applyFont="1" applyFill="1" applyBorder="1" applyAlignment="1" applyProtection="1">
      <alignment vertical="center"/>
    </xf>
    <xf numFmtId="184" fontId="13" fillId="41" borderId="3" xfId="6" applyNumberFormat="1" applyFont="1" applyFill="1" applyBorder="1" applyAlignment="1" applyProtection="1">
      <alignment vertical="center"/>
    </xf>
    <xf numFmtId="187" fontId="13" fillId="41" borderId="3" xfId="1" applyNumberFormat="1" applyFont="1" applyFill="1" applyBorder="1" applyAlignment="1" applyProtection="1">
      <alignment vertical="center"/>
    </xf>
    <xf numFmtId="187" fontId="13" fillId="41" borderId="3" xfId="6" applyNumberFormat="1" applyFont="1" applyFill="1" applyBorder="1" applyAlignment="1" applyProtection="1">
      <alignment vertical="center"/>
    </xf>
    <xf numFmtId="0" fontId="0" fillId="41" borderId="3" xfId="0" applyFill="1" applyBorder="1" applyProtection="1">
      <alignment vertical="center"/>
      <protection locked="0"/>
    </xf>
    <xf numFmtId="14" fontId="25" fillId="41" borderId="3" xfId="0" applyNumberFormat="1" applyFont="1" applyFill="1" applyBorder="1" applyAlignment="1" applyProtection="1">
      <alignment horizontal="center" vertical="center"/>
      <protection locked="0"/>
    </xf>
    <xf numFmtId="3" fontId="24" fillId="41" borderId="3" xfId="0" applyNumberFormat="1" applyFont="1" applyFill="1" applyBorder="1" applyAlignment="1" applyProtection="1">
      <alignment horizontal="center" vertical="center"/>
      <protection locked="0"/>
    </xf>
    <xf numFmtId="0" fontId="25" fillId="41" borderId="3" xfId="0" applyFont="1" applyFill="1" applyBorder="1" applyAlignment="1" applyProtection="1">
      <alignment horizontal="center" vertical="center" wrapText="1"/>
      <protection locked="0"/>
    </xf>
    <xf numFmtId="3" fontId="25" fillId="41" borderId="3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applyNumberFormat="1" applyFont="1" applyAlignment="1">
      <alignment horizontal="fill" vertical="center"/>
    </xf>
    <xf numFmtId="0" fontId="0" fillId="2" borderId="15" xfId="0" applyFill="1" applyBorder="1" applyProtection="1">
      <alignment vertical="center"/>
    </xf>
    <xf numFmtId="0" fontId="0" fillId="42" borderId="0" xfId="0" applyFill="1">
      <alignment vertical="center"/>
    </xf>
    <xf numFmtId="0" fontId="8" fillId="7" borderId="0" xfId="0" applyFont="1" applyFill="1">
      <alignment vertical="center"/>
    </xf>
    <xf numFmtId="0" fontId="0" fillId="7" borderId="0" xfId="0" applyFill="1">
      <alignment vertical="center"/>
    </xf>
    <xf numFmtId="206" fontId="0" fillId="0" borderId="0" xfId="0" applyNumberFormat="1" applyProtection="1">
      <alignment vertical="center"/>
      <protection locked="0"/>
    </xf>
    <xf numFmtId="206" fontId="5" fillId="0" borderId="0" xfId="0" applyNumberFormat="1" applyFont="1" applyFill="1" applyProtection="1">
      <alignment vertical="center"/>
    </xf>
    <xf numFmtId="207" fontId="0" fillId="0" borderId="0" xfId="0" applyNumberFormat="1">
      <alignment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5" fillId="9" borderId="0" xfId="0" applyFont="1" applyFill="1" applyAlignment="1" applyProtection="1">
      <alignment horizontal="center" vertical="center"/>
      <protection locked="0"/>
    </xf>
    <xf numFmtId="38" fontId="5" fillId="6" borderId="0" xfId="0" applyNumberFormat="1" applyFont="1" applyFill="1" applyAlignment="1" applyProtection="1">
      <alignment horizontal="center" vertical="center"/>
      <protection locked="0"/>
    </xf>
    <xf numFmtId="0" fontId="19" fillId="43" borderId="0" xfId="0" applyFont="1" applyFill="1" applyAlignment="1" applyProtection="1">
      <alignment horizontal="center" vertical="center"/>
      <protection locked="0"/>
    </xf>
    <xf numFmtId="0" fontId="58" fillId="0" borderId="0" xfId="0" quotePrefix="1" applyFont="1" applyProtection="1">
      <alignment vertical="center"/>
      <protection locked="0"/>
    </xf>
    <xf numFmtId="3" fontId="0" fillId="0" borderId="3" xfId="0" applyNumberFormat="1" applyFont="1" applyBorder="1" applyProtection="1">
      <alignment vertical="center"/>
      <protection locked="0"/>
    </xf>
    <xf numFmtId="3" fontId="0" fillId="0" borderId="4" xfId="0" applyNumberFormat="1" applyFont="1" applyBorder="1" applyProtection="1">
      <alignment vertical="center"/>
      <protection locked="0"/>
    </xf>
    <xf numFmtId="3" fontId="0" fillId="0" borderId="5" xfId="0" applyNumberFormat="1" applyFont="1" applyBorder="1" applyProtection="1">
      <alignment vertical="center"/>
      <protection locked="0"/>
    </xf>
    <xf numFmtId="3" fontId="0" fillId="0" borderId="6" xfId="0" applyNumberFormat="1" applyFont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0" fontId="0" fillId="45" borderId="0" xfId="0" applyFill="1" applyProtection="1">
      <alignment vertical="center"/>
      <protection locked="0"/>
    </xf>
    <xf numFmtId="0" fontId="5" fillId="45" borderId="0" xfId="0" quotePrefix="1" applyFont="1" applyFill="1" applyProtection="1">
      <alignment vertical="center"/>
      <protection locked="0"/>
    </xf>
    <xf numFmtId="0" fontId="59" fillId="0" borderId="0" xfId="0" applyFont="1" applyAlignment="1" applyProtection="1">
      <alignment horizontal="center" vertical="center"/>
      <protection locked="0"/>
    </xf>
    <xf numFmtId="3" fontId="5" fillId="0" borderId="0" xfId="0" applyNumberFormat="1" applyFont="1" applyProtection="1">
      <alignment vertical="center"/>
      <protection locked="0"/>
    </xf>
    <xf numFmtId="0" fontId="5" fillId="0" borderId="27" xfId="0" applyFont="1" applyBorder="1" applyAlignment="1" applyProtection="1">
      <alignment horizontal="center" vertical="center"/>
      <protection locked="0"/>
    </xf>
    <xf numFmtId="0" fontId="5" fillId="46" borderId="0" xfId="0" applyFont="1" applyFill="1" applyBorder="1" applyAlignment="1" applyProtection="1">
      <alignment horizontal="center" vertical="center"/>
      <protection locked="0"/>
    </xf>
    <xf numFmtId="4" fontId="5" fillId="46" borderId="0" xfId="0" applyNumberFormat="1" applyFont="1" applyFill="1" applyBorder="1" applyAlignment="1" applyProtection="1">
      <alignment horizontal="center" vertical="center"/>
      <protection locked="0"/>
    </xf>
    <xf numFmtId="3" fontId="0" fillId="46" borderId="0" xfId="0" applyNumberFormat="1" applyFill="1" applyBorder="1" applyProtection="1">
      <alignment vertical="center"/>
      <protection locked="0"/>
    </xf>
    <xf numFmtId="0" fontId="0" fillId="46" borderId="0" xfId="0" applyFill="1" applyBorder="1" applyAlignment="1" applyProtection="1">
      <alignment horizontal="center" vertical="center"/>
      <protection locked="0"/>
    </xf>
    <xf numFmtId="0" fontId="5" fillId="29" borderId="0" xfId="0" applyFont="1" applyFill="1" applyAlignment="1" applyProtection="1">
      <alignment horizontal="center" vertical="center"/>
      <protection locked="0"/>
    </xf>
    <xf numFmtId="14" fontId="0" fillId="29" borderId="0" xfId="0" applyNumberFormat="1" applyFill="1" applyProtection="1">
      <alignment vertical="center"/>
      <protection locked="0"/>
    </xf>
    <xf numFmtId="0" fontId="5" fillId="44" borderId="0" xfId="0" applyFont="1" applyFill="1" applyAlignment="1" applyProtection="1">
      <alignment horizontal="center" vertical="center"/>
      <protection locked="0"/>
    </xf>
    <xf numFmtId="4" fontId="0" fillId="44" borderId="0" xfId="0" applyNumberFormat="1" applyFill="1" applyProtection="1">
      <alignment vertical="center"/>
      <protection locked="0"/>
    </xf>
    <xf numFmtId="4" fontId="0" fillId="11" borderId="0" xfId="0" applyNumberFormat="1" applyFill="1" applyProtection="1">
      <alignment vertical="center"/>
      <protection locked="0"/>
    </xf>
    <xf numFmtId="0" fontId="8" fillId="41" borderId="0" xfId="0" applyFont="1" applyFill="1" applyAlignment="1" applyProtection="1">
      <alignment horizontal="center" vertical="center"/>
      <protection locked="0"/>
    </xf>
    <xf numFmtId="0" fontId="0" fillId="47" borderId="0" xfId="0" applyFill="1" applyProtection="1">
      <alignment vertical="center"/>
      <protection locked="0"/>
    </xf>
    <xf numFmtId="4" fontId="0" fillId="41" borderId="0" xfId="0" applyNumberFormat="1" applyFont="1" applyFill="1" applyAlignment="1" applyProtection="1">
      <alignment horizontal="center" vertical="center"/>
      <protection locked="0"/>
    </xf>
    <xf numFmtId="2" fontId="0" fillId="47" borderId="0" xfId="0" applyNumberFormat="1" applyFill="1" applyProtection="1">
      <alignment vertical="center"/>
      <protection locked="0"/>
    </xf>
    <xf numFmtId="0" fontId="5" fillId="47" borderId="0" xfId="0" applyFont="1" applyFill="1" applyAlignment="1" applyProtection="1">
      <alignment horizontal="center" vertical="center"/>
      <protection locked="0"/>
    </xf>
    <xf numFmtId="49" fontId="5" fillId="9" borderId="0" xfId="0" applyNumberFormat="1" applyFont="1" applyFill="1" applyAlignment="1" applyProtection="1">
      <alignment horizontal="center" vertical="center"/>
      <protection locked="0"/>
    </xf>
    <xf numFmtId="38" fontId="0" fillId="9" borderId="0" xfId="0" applyNumberFormat="1" applyFill="1" applyProtection="1">
      <alignment vertical="center"/>
      <protection locked="0"/>
    </xf>
    <xf numFmtId="0" fontId="0" fillId="38" borderId="0" xfId="0" applyFont="1" applyFill="1" applyAlignment="1" applyProtection="1">
      <alignment horizontal="center" vertical="center"/>
      <protection locked="0"/>
    </xf>
    <xf numFmtId="4" fontId="0" fillId="41" borderId="0" xfId="0" applyNumberFormat="1" applyFill="1" applyAlignment="1" applyProtection="1">
      <alignment horizontal="center" vertical="center"/>
      <protection locked="0"/>
    </xf>
    <xf numFmtId="3" fontId="0" fillId="38" borderId="0" xfId="0" applyNumberFormat="1" applyFill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0" fontId="0" fillId="0" borderId="27" xfId="0" applyFill="1" applyBorder="1" applyAlignment="1" applyProtection="1">
      <alignment horizontal="center" vertical="center"/>
      <protection locked="0"/>
    </xf>
    <xf numFmtId="10" fontId="7" fillId="0" borderId="27" xfId="0" applyNumberFormat="1" applyFont="1" applyFill="1" applyBorder="1" applyAlignment="1" applyProtection="1">
      <alignment horizontal="center" vertical="center"/>
      <protection locked="0"/>
    </xf>
    <xf numFmtId="0" fontId="5" fillId="20" borderId="0" xfId="0" applyFont="1" applyFill="1" applyAlignment="1" applyProtection="1">
      <alignment horizontal="center" vertical="center"/>
      <protection locked="0"/>
    </xf>
    <xf numFmtId="4" fontId="0" fillId="20" borderId="0" xfId="0" applyNumberFormat="1" applyFill="1" applyBorder="1" applyAlignment="1" applyProtection="1">
      <alignment horizontal="center" vertical="center"/>
      <protection locked="0"/>
    </xf>
    <xf numFmtId="3" fontId="0" fillId="20" borderId="0" xfId="0" applyNumberFormat="1" applyFill="1" applyBorder="1" applyProtection="1">
      <alignment vertical="center"/>
      <protection locked="0"/>
    </xf>
    <xf numFmtId="0" fontId="0" fillId="20" borderId="0" xfId="0" applyFill="1" applyProtection="1">
      <alignment vertical="center"/>
      <protection locked="0"/>
    </xf>
    <xf numFmtId="4" fontId="0" fillId="21" borderId="0" xfId="0" applyNumberFormat="1" applyFont="1" applyFill="1" applyBorder="1" applyAlignment="1" applyProtection="1">
      <alignment horizontal="center" vertical="center"/>
      <protection locked="0"/>
    </xf>
    <xf numFmtId="3" fontId="0" fillId="21" borderId="0" xfId="0" applyNumberFormat="1" applyFill="1" applyBorder="1" applyProtection="1">
      <alignment vertical="center"/>
      <protection locked="0"/>
    </xf>
    <xf numFmtId="0" fontId="0" fillId="21" borderId="0" xfId="0" applyFill="1" applyAlignment="1" applyProtection="1">
      <alignment horizontal="center"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4" fontId="0" fillId="38" borderId="0" xfId="0" applyNumberFormat="1" applyFont="1" applyFill="1" applyBorder="1" applyAlignment="1" applyProtection="1">
      <alignment horizontal="center" vertical="center"/>
      <protection locked="0"/>
    </xf>
    <xf numFmtId="3" fontId="0" fillId="38" borderId="0" xfId="0" applyNumberFormat="1" applyFill="1" applyBorder="1" applyProtection="1">
      <alignment vertical="center"/>
      <protection locked="0"/>
    </xf>
    <xf numFmtId="0" fontId="0" fillId="47" borderId="0" xfId="0" applyFill="1" applyAlignment="1" applyProtection="1">
      <alignment horizontal="center" vertical="center"/>
      <protection locked="0"/>
    </xf>
    <xf numFmtId="4" fontId="0" fillId="47" borderId="0" xfId="0" applyNumberFormat="1" applyFont="1" applyFill="1" applyBorder="1" applyAlignment="1" applyProtection="1">
      <alignment horizontal="center" vertical="center"/>
      <protection locked="0"/>
    </xf>
    <xf numFmtId="3" fontId="0" fillId="47" borderId="0" xfId="0" applyNumberFormat="1" applyFill="1" applyBorder="1" applyProtection="1">
      <alignment vertical="center"/>
      <protection locked="0"/>
    </xf>
    <xf numFmtId="4" fontId="19" fillId="27" borderId="40" xfId="0" applyNumberFormat="1" applyFont="1" applyFill="1" applyBorder="1" applyAlignment="1" applyProtection="1">
      <alignment horizontal="center" vertical="center"/>
      <protection locked="0"/>
    </xf>
    <xf numFmtId="3" fontId="0" fillId="0" borderId="5" xfId="0" applyNumberFormat="1" applyFont="1" applyFill="1" applyBorder="1" applyProtection="1">
      <alignment vertical="center"/>
      <protection locked="0"/>
    </xf>
    <xf numFmtId="0" fontId="0" fillId="45" borderId="0" xfId="0" applyFill="1">
      <alignment vertical="center"/>
    </xf>
    <xf numFmtId="0" fontId="0" fillId="0" borderId="27" xfId="0" applyBorder="1" applyProtection="1">
      <alignment vertical="center"/>
      <protection locked="0"/>
    </xf>
    <xf numFmtId="0" fontId="5" fillId="45" borderId="0" xfId="0" applyFont="1" applyFill="1" applyAlignment="1" applyProtection="1">
      <alignment horizontal="center" vertical="center"/>
      <protection locked="0"/>
    </xf>
    <xf numFmtId="0" fontId="5" fillId="45" borderId="0" xfId="0" applyFont="1" applyFill="1" applyAlignment="1">
      <alignment horizontal="center" vertical="center"/>
    </xf>
    <xf numFmtId="0" fontId="27" fillId="45" borderId="0" xfId="0" applyFont="1" applyFill="1" applyProtection="1">
      <alignment vertical="center"/>
      <protection locked="0"/>
    </xf>
    <xf numFmtId="49" fontId="5" fillId="0" borderId="31" xfId="0" applyNumberFormat="1" applyFont="1" applyBorder="1" applyAlignment="1" applyProtection="1">
      <alignment horizontal="center" vertical="center" wrapText="1"/>
      <protection locked="0"/>
    </xf>
    <xf numFmtId="4" fontId="5" fillId="0" borderId="1" xfId="0" applyNumberFormat="1" applyFont="1" applyBorder="1" applyAlignment="1" applyProtection="1">
      <alignment horizontal="center" vertical="center"/>
      <protection locked="0"/>
    </xf>
    <xf numFmtId="4" fontId="5" fillId="0" borderId="2" xfId="0" applyNumberFormat="1" applyFont="1" applyBorder="1" applyAlignment="1" applyProtection="1">
      <alignment horizontal="center" vertical="center"/>
      <protection locked="0"/>
    </xf>
    <xf numFmtId="10" fontId="5" fillId="0" borderId="32" xfId="0" applyNumberFormat="1" applyFont="1" applyBorder="1" applyAlignment="1" applyProtection="1">
      <alignment horizontal="center" vertical="center"/>
      <protection locked="0"/>
    </xf>
    <xf numFmtId="10" fontId="5" fillId="0" borderId="33" xfId="0" applyNumberFormat="1" applyFont="1" applyBorder="1" applyAlignment="1" applyProtection="1">
      <alignment horizontal="center" vertical="center"/>
      <protection locked="0"/>
    </xf>
    <xf numFmtId="49" fontId="5" fillId="42" borderId="1" xfId="0" applyNumberFormat="1" applyFont="1" applyFill="1" applyBorder="1" applyAlignment="1" applyProtection="1">
      <alignment horizontal="center" vertical="center"/>
      <protection locked="0"/>
    </xf>
    <xf numFmtId="49" fontId="5" fillId="42" borderId="2" xfId="0" applyNumberFormat="1" applyFont="1" applyFill="1" applyBorder="1" applyAlignment="1" applyProtection="1">
      <alignment horizontal="center" vertical="center"/>
      <protection locked="0"/>
    </xf>
    <xf numFmtId="49" fontId="5" fillId="42" borderId="32" xfId="0" applyNumberFormat="1" applyFont="1" applyFill="1" applyBorder="1" applyAlignment="1" applyProtection="1">
      <alignment horizontal="center" vertical="center"/>
      <protection locked="0"/>
    </xf>
    <xf numFmtId="49" fontId="5" fillId="42" borderId="33" xfId="0" applyNumberFormat="1" applyFont="1" applyFill="1" applyBorder="1" applyAlignment="1" applyProtection="1">
      <alignment horizontal="center" vertical="center"/>
      <protection locked="0"/>
    </xf>
    <xf numFmtId="209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>
      <alignment vertical="center"/>
    </xf>
    <xf numFmtId="0" fontId="0" fillId="0" borderId="45" xfId="0" applyBorder="1" applyAlignment="1" applyProtection="1">
      <alignment horizontal="center" vertical="center"/>
      <protection locked="0"/>
    </xf>
    <xf numFmtId="0" fontId="19" fillId="31" borderId="0" xfId="0" applyFont="1" applyFill="1" applyBorder="1" applyAlignment="1" applyProtection="1">
      <alignment horizontal="center" vertical="center"/>
      <protection locked="0"/>
    </xf>
    <xf numFmtId="0" fontId="19" fillId="31" borderId="50" xfId="0" applyFont="1" applyFill="1" applyBorder="1" applyAlignment="1" applyProtection="1">
      <alignment horizontal="center" vertical="center"/>
      <protection locked="0"/>
    </xf>
    <xf numFmtId="0" fontId="19" fillId="31" borderId="45" xfId="0" applyFont="1" applyFill="1" applyBorder="1" applyAlignment="1" applyProtection="1">
      <alignment horizontal="center" vertical="center"/>
      <protection locked="0"/>
    </xf>
    <xf numFmtId="209" fontId="0" fillId="0" borderId="0" xfId="0" applyNumberFormat="1" applyBorder="1">
      <alignment vertical="center"/>
    </xf>
    <xf numFmtId="0" fontId="0" fillId="0" borderId="3" xfId="0" applyBorder="1" applyAlignment="1" applyProtection="1">
      <alignment horizontal="center" vertical="center"/>
      <protection locked="0"/>
    </xf>
    <xf numFmtId="0" fontId="64" fillId="31" borderId="3" xfId="0" applyFont="1" applyFill="1" applyBorder="1" applyAlignment="1" applyProtection="1">
      <alignment horizontal="center" vertical="center"/>
      <protection locked="0"/>
    </xf>
    <xf numFmtId="3" fontId="31" fillId="0" borderId="3" xfId="0" applyNumberFormat="1" applyFont="1" applyBorder="1">
      <alignment vertical="center"/>
    </xf>
    <xf numFmtId="209" fontId="31" fillId="0" borderId="3" xfId="0" applyNumberFormat="1" applyFont="1" applyBorder="1">
      <alignment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 applyProtection="1">
      <alignment horizontal="center" vertical="center"/>
      <protection locked="0"/>
    </xf>
    <xf numFmtId="0" fontId="23" fillId="0" borderId="0" xfId="0" applyFont="1" applyProtection="1">
      <alignment vertical="center"/>
      <protection locked="0"/>
    </xf>
    <xf numFmtId="10" fontId="0" fillId="46" borderId="0" xfId="0" applyNumberFormat="1" applyFill="1" applyBorder="1" applyProtection="1">
      <alignment vertical="center"/>
      <protection locked="0"/>
    </xf>
    <xf numFmtId="4" fontId="0" fillId="0" borderId="0" xfId="14" applyNumberFormat="1" applyFont="1" applyProtection="1">
      <alignment vertical="center"/>
      <protection locked="0"/>
    </xf>
    <xf numFmtId="208" fontId="33" fillId="27" borderId="52" xfId="0" applyNumberFormat="1" applyFont="1" applyFill="1" applyBorder="1" applyAlignment="1">
      <alignment vertical="center" wrapText="1" shrinkToFit="1"/>
    </xf>
    <xf numFmtId="0" fontId="26" fillId="0" borderId="0" xfId="0" applyFont="1" applyAlignment="1">
      <alignment horizontal="center" vertical="center"/>
    </xf>
    <xf numFmtId="0" fontId="2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>
      <alignment vertical="center"/>
    </xf>
    <xf numFmtId="0" fontId="65" fillId="0" borderId="0" xfId="2" applyNumberFormat="1" applyFont="1" applyFill="1" applyBorder="1" applyAlignment="1" applyProtection="1">
      <alignment horizontal="center" vertical="center"/>
    </xf>
    <xf numFmtId="0" fontId="65" fillId="0" borderId="0" xfId="0" applyFont="1" applyAlignment="1">
      <alignment horizontal="center" vertical="center"/>
    </xf>
    <xf numFmtId="0" fontId="15" fillId="0" borderId="0" xfId="2" applyNumberFormat="1" applyFont="1" applyFill="1" applyBorder="1" applyAlignment="1" applyProtection="1">
      <alignment horizontal="center" vertical="center"/>
    </xf>
    <xf numFmtId="0" fontId="34" fillId="0" borderId="0" xfId="2" applyNumberFormat="1" applyFont="1" applyFill="1" applyBorder="1" applyAlignment="1" applyProtection="1">
      <alignment horizontal="center" vertical="center"/>
    </xf>
    <xf numFmtId="0" fontId="15" fillId="0" borderId="0" xfId="2" applyNumberFormat="1" applyFont="1" applyFill="1" applyBorder="1" applyAlignment="1" applyProtection="1">
      <alignment vertical="center"/>
    </xf>
    <xf numFmtId="14" fontId="1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7" fillId="0" borderId="0" xfId="0" quotePrefix="1" applyFont="1" applyAlignment="1" applyProtection="1">
      <alignment horizontal="left" vertical="center" indent="1"/>
      <protection locked="0"/>
    </xf>
    <xf numFmtId="187" fontId="10" fillId="0" borderId="3" xfId="1" applyNumberFormat="1" applyFont="1" applyFill="1" applyBorder="1" applyAlignment="1" applyProtection="1">
      <alignment vertical="center"/>
    </xf>
    <xf numFmtId="187" fontId="10" fillId="0" borderId="3" xfId="6" applyNumberFormat="1" applyFont="1" applyFill="1" applyBorder="1" applyAlignment="1" applyProtection="1">
      <alignment vertical="center"/>
    </xf>
    <xf numFmtId="3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3" fontId="25" fillId="5" borderId="56" xfId="8" applyNumberFormat="1" applyFont="1" applyFill="1" applyBorder="1" applyAlignment="1" applyProtection="1">
      <alignment horizontal="center" vertical="center" shrinkToFit="1"/>
      <protection locked="0"/>
    </xf>
    <xf numFmtId="199" fontId="34" fillId="0" borderId="56" xfId="8" applyNumberFormat="1" applyFont="1" applyFill="1" applyBorder="1" applyAlignment="1" applyProtection="1">
      <alignment vertical="center" shrinkToFit="1"/>
      <protection locked="0"/>
    </xf>
    <xf numFmtId="182" fontId="34" fillId="1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8" fontId="15" fillId="0" borderId="8" xfId="8" applyNumberFormat="1" applyFont="1" applyFill="1" applyBorder="1" applyAlignment="1" applyProtection="1">
      <protection locked="0"/>
    </xf>
    <xf numFmtId="38" fontId="13" fillId="0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0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50" fillId="34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3" fontId="50" fillId="35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3" xfId="8" applyNumberFormat="1" applyFont="1" applyFill="1" applyBorder="1" applyAlignment="1" applyProtection="1">
      <alignment horizontal="center" vertical="center" shrinkToFit="1"/>
      <protection locked="0"/>
    </xf>
    <xf numFmtId="0" fontId="56" fillId="36" borderId="53" xfId="0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10" fontId="54" fillId="0" borderId="53" xfId="0" applyNumberFormat="1" applyFont="1" applyBorder="1" applyAlignment="1">
      <alignment horizontal="center" vertical="center"/>
    </xf>
    <xf numFmtId="38" fontId="0" fillId="0" borderId="0" xfId="0" applyNumberFormat="1">
      <alignment vertical="center"/>
    </xf>
    <xf numFmtId="0" fontId="5" fillId="0" borderId="0" xfId="0" quotePrefix="1" applyFont="1">
      <alignment vertical="center"/>
    </xf>
    <xf numFmtId="0" fontId="58" fillId="0" borderId="0" xfId="0" applyFont="1">
      <alignment vertical="center"/>
    </xf>
    <xf numFmtId="10" fontId="0" fillId="0" borderId="0" xfId="0" applyNumberFormat="1">
      <alignment vertical="center"/>
    </xf>
    <xf numFmtId="202" fontId="0" fillId="0" borderId="0" xfId="0" applyNumberFormat="1">
      <alignment vertical="center"/>
    </xf>
    <xf numFmtId="38" fontId="13" fillId="0" borderId="9" xfId="8" applyNumberFormat="1" applyFont="1" applyFill="1" applyBorder="1" applyAlignment="1" applyProtection="1">
      <alignment horizontal="center" vertical="center" shrinkToFit="1"/>
      <protection locked="0"/>
    </xf>
    <xf numFmtId="10" fontId="50" fillId="35" borderId="9" xfId="9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9" xfId="8" applyNumberFormat="1" applyFont="1" applyFill="1" applyBorder="1" applyAlignment="1" applyProtection="1">
      <alignment horizontal="center" vertical="center" shrinkToFit="1"/>
      <protection locked="0"/>
    </xf>
    <xf numFmtId="198" fontId="33" fillId="27" borderId="52" xfId="0" applyNumberFormat="1" applyFont="1" applyFill="1" applyBorder="1" applyAlignment="1">
      <alignment horizontal="center" vertical="center" wrapText="1" shrinkToFit="1"/>
    </xf>
    <xf numFmtId="198" fontId="23" fillId="0" borderId="0" xfId="0" applyNumberFormat="1" applyFont="1">
      <alignment vertical="center"/>
    </xf>
    <xf numFmtId="192" fontId="23" fillId="0" borderId="0" xfId="0" applyNumberFormat="1" applyFont="1">
      <alignment vertical="center"/>
    </xf>
    <xf numFmtId="192" fontId="33" fillId="27" borderId="52" xfId="0" applyNumberFormat="1" applyFont="1" applyFill="1" applyBorder="1" applyAlignment="1">
      <alignment horizontal="center" vertical="center" wrapText="1" shrinkToFit="1"/>
    </xf>
    <xf numFmtId="192" fontId="0" fillId="0" borderId="0" xfId="0" applyNumberFormat="1">
      <alignment vertical="center"/>
    </xf>
    <xf numFmtId="198" fontId="0" fillId="0" borderId="0" xfId="0" applyNumberFormat="1">
      <alignment vertical="center"/>
    </xf>
    <xf numFmtId="3" fontId="33" fillId="27" borderId="53" xfId="8" applyNumberFormat="1" applyFont="1" applyFill="1" applyBorder="1" applyAlignment="1" applyProtection="1">
      <alignment horizontal="center" vertical="center" shrinkToFit="1"/>
    </xf>
    <xf numFmtId="3" fontId="33" fillId="27" borderId="52" xfId="8" applyNumberFormat="1" applyFont="1" applyFill="1" applyBorder="1" applyAlignment="1" applyProtection="1">
      <alignment vertical="center" wrapText="1" shrinkToFit="1"/>
    </xf>
    <xf numFmtId="202" fontId="33" fillId="27" borderId="52" xfId="8" applyNumberFormat="1" applyFont="1" applyFill="1" applyBorder="1" applyAlignment="1" applyProtection="1">
      <alignment vertical="center" wrapText="1" shrinkToFit="1"/>
    </xf>
    <xf numFmtId="202" fontId="23" fillId="0" borderId="0" xfId="0" applyNumberFormat="1" applyFont="1">
      <alignment vertical="center"/>
    </xf>
    <xf numFmtId="196" fontId="13" fillId="13" borderId="59" xfId="8" applyNumberFormat="1" applyFont="1" applyFill="1" applyBorder="1" applyAlignment="1" applyProtection="1">
      <alignment horizontal="center" vertical="center" wrapText="1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13" fillId="13" borderId="35" xfId="8" applyNumberFormat="1" applyFont="1" applyFill="1" applyBorder="1" applyAlignment="1" applyProtection="1">
      <alignment horizontal="center" vertical="center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210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2" fontId="35" fillId="0" borderId="0" xfId="8" applyNumberFormat="1" applyFont="1" applyFill="1" applyBorder="1" applyAlignment="1" applyProtection="1">
      <protection locked="0"/>
    </xf>
    <xf numFmtId="192" fontId="15" fillId="0" borderId="0" xfId="8" applyNumberFormat="1" applyFont="1" applyFill="1" applyBorder="1" applyAlignment="1" applyProtection="1">
      <alignment horizontal="center"/>
      <protection locked="0"/>
    </xf>
    <xf numFmtId="192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19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192" fontId="0" fillId="0" borderId="0" xfId="0" applyNumberFormat="1" applyProtection="1">
      <alignment vertical="center"/>
      <protection locked="0"/>
    </xf>
    <xf numFmtId="192" fontId="15" fillId="0" borderId="0" xfId="8" applyNumberFormat="1" applyFont="1" applyFill="1" applyBorder="1" applyAlignment="1" applyProtection="1">
      <protection locked="0"/>
    </xf>
    <xf numFmtId="10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4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2" fontId="33" fillId="27" borderId="52" xfId="0" applyNumberFormat="1" applyFont="1" applyFill="1" applyBorder="1" applyAlignment="1">
      <alignment horizontal="center" vertical="center" wrapText="1" shrinkToFit="1"/>
    </xf>
    <xf numFmtId="2" fontId="23" fillId="0" borderId="0" xfId="0" applyNumberFormat="1" applyFont="1">
      <alignment vertical="center"/>
    </xf>
    <xf numFmtId="2" fontId="0" fillId="0" borderId="0" xfId="0" applyNumberFormat="1">
      <alignment vertical="center"/>
    </xf>
    <xf numFmtId="10" fontId="33" fillId="27" borderId="52" xfId="0" applyNumberFormat="1" applyFont="1" applyFill="1" applyBorder="1" applyAlignment="1">
      <alignment vertical="center" wrapText="1" shrinkToFit="1"/>
    </xf>
    <xf numFmtId="201" fontId="48" fillId="0" borderId="0" xfId="0" quotePrefix="1" applyNumberFormat="1" applyFont="1" applyAlignment="1">
      <alignment horizontal="center" vertical="center"/>
    </xf>
    <xf numFmtId="0" fontId="5" fillId="2" borderId="0" xfId="0" applyFont="1" applyFill="1" applyProtection="1">
      <alignment vertical="center"/>
      <protection locked="0"/>
    </xf>
    <xf numFmtId="0" fontId="5" fillId="2" borderId="0" xfId="0" quotePrefix="1" applyFont="1" applyFill="1" applyProtection="1">
      <alignment vertical="center"/>
      <protection locked="0"/>
    </xf>
  </cellXfs>
  <cellStyles count="12">
    <cellStyle name="40% - 강조색3 2" xfId="13"/>
    <cellStyle name="백분율" xfId="14" builtinId="5"/>
    <cellStyle name="백분율 2 2 2" xfId="18"/>
    <cellStyle name="쉼표" xfId="3" builtinId="3"/>
    <cellStyle name="쉼표 [0]" xfId="2" builtinId="6"/>
    <cellStyle name="제목" xfId="4" builtinId="15"/>
    <cellStyle name="통화" xfId="1" builtinId="4"/>
    <cellStyle name="통화 [0]" xfId="5" builtinId="7"/>
    <cellStyle name="표준" xfId="0" builtinId="0"/>
    <cellStyle name="표준 2 2" xfId="16"/>
    <cellStyle name="표준 2 2 2 2" xfId="17"/>
    <cellStyle name="표준 4" xfId="15"/>
  </cellStyles>
  <dxfs count="470">
    <dxf>
      <font>
        <b/>
        <i val="0"/>
      </font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  <protection locked="0" hidden="0"/>
    </dxf>
    <dxf>
      <numFmt numFmtId="3" formatCode="#,##0"/>
    </dxf>
    <dxf>
      <numFmt numFmtId="209" formatCode="#,##0.0"/>
    </dxf>
    <dxf>
      <numFmt numFmtId="3" formatCode="#,##0"/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b/>
        <i val="0"/>
      </font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3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2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8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02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;[Red]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208" formatCode="#,##0_);[Red]\(#,##0\)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666699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BS추정!$D$48</c:f>
              <c:strCache>
                <c:ptCount val="1"/>
                <c:pt idx="0">
                  <c:v>[D60220]  무형자산(계)</c:v>
                </c:pt>
              </c:strCache>
            </c:strRef>
          </c:tx>
          <c:invertIfNegative val="0"/>
          <c:val>
            <c:numRef>
              <c:f>BS추정!$E$48:$I$48</c:f>
              <c:numCache>
                <c:formatCode>#,##0_ ;[Red]\-#,##0\ </c:formatCode>
                <c:ptCount val="5"/>
                <c:pt idx="0">
                  <c:v>0</c:v>
                </c:pt>
                <c:pt idx="1">
                  <c:v>1121</c:v>
                </c:pt>
                <c:pt idx="2">
                  <c:v>1388</c:v>
                </c:pt>
                <c:pt idx="3">
                  <c:v>1824</c:v>
                </c:pt>
                <c:pt idx="4">
                  <c:v>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1-4D63-A841-E2B2F70B51A0}"/>
            </c:ext>
          </c:extLst>
        </c:ser>
        <c:ser>
          <c:idx val="1"/>
          <c:order val="1"/>
          <c:tx>
            <c:strRef>
              <c:f>BS추정!$D$49</c:f>
              <c:strCache>
                <c:ptCount val="1"/>
                <c:pt idx="0">
                  <c:v>[D60180]  유형자산(계)</c:v>
                </c:pt>
              </c:strCache>
            </c:strRef>
          </c:tx>
          <c:invertIfNegative val="0"/>
          <c:val>
            <c:numRef>
              <c:f>BS추정!$E$49:$I$49</c:f>
              <c:numCache>
                <c:formatCode>#,##0_ ;[Red]\-#,##0\ </c:formatCode>
                <c:ptCount val="5"/>
                <c:pt idx="0">
                  <c:v>7444</c:v>
                </c:pt>
                <c:pt idx="1">
                  <c:v>8361</c:v>
                </c:pt>
                <c:pt idx="2">
                  <c:v>9000</c:v>
                </c:pt>
                <c:pt idx="3">
                  <c:v>8684</c:v>
                </c:pt>
                <c:pt idx="4">
                  <c:v>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1-4D63-A841-E2B2F70B51A0}"/>
            </c:ext>
          </c:extLst>
        </c:ser>
        <c:ser>
          <c:idx val="2"/>
          <c:order val="2"/>
          <c:tx>
            <c:strRef>
              <c:f>BS추정!$D$50</c:f>
              <c:strCache>
                <c:ptCount val="1"/>
                <c:pt idx="0">
                  <c:v>[D60170]  투자자산(계)</c:v>
                </c:pt>
              </c:strCache>
            </c:strRef>
          </c:tx>
          <c:invertIfNegative val="0"/>
          <c:val>
            <c:numRef>
              <c:f>BS추정!$E$50:$I$50</c:f>
              <c:numCache>
                <c:formatCode>#,##0_ ;[Red]\-#,##0\ </c:formatCode>
                <c:ptCount val="5"/>
                <c:pt idx="0">
                  <c:v>148</c:v>
                </c:pt>
                <c:pt idx="1">
                  <c:v>316</c:v>
                </c:pt>
                <c:pt idx="2">
                  <c:v>295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1-4D63-A841-E2B2F70B51A0}"/>
            </c:ext>
          </c:extLst>
        </c:ser>
        <c:ser>
          <c:idx val="3"/>
          <c:order val="3"/>
          <c:tx>
            <c:strRef>
              <c:f>BS추정!$D$51</c:f>
              <c:strCache>
                <c:ptCount val="1"/>
                <c:pt idx="0">
                  <c:v>[D60150]  재고자산(계)</c:v>
                </c:pt>
              </c:strCache>
            </c:strRef>
          </c:tx>
          <c:invertIfNegative val="0"/>
          <c:val>
            <c:numRef>
              <c:f>BS추정!$E$51:$I$51</c:f>
              <c:numCache>
                <c:formatCode>#,##0_ ;[Red]\-#,##0\ </c:formatCode>
                <c:ptCount val="5"/>
                <c:pt idx="0">
                  <c:v>2173</c:v>
                </c:pt>
                <c:pt idx="1">
                  <c:v>3688</c:v>
                </c:pt>
                <c:pt idx="2">
                  <c:v>10124</c:v>
                </c:pt>
                <c:pt idx="3">
                  <c:v>9101</c:v>
                </c:pt>
                <c:pt idx="4">
                  <c:v>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1-4D63-A841-E2B2F70B51A0}"/>
            </c:ext>
          </c:extLst>
        </c:ser>
        <c:ser>
          <c:idx val="4"/>
          <c:order val="4"/>
          <c:tx>
            <c:strRef>
              <c:f>BS추정!$D$52</c:f>
              <c:strCache>
                <c:ptCount val="1"/>
                <c:pt idx="0">
                  <c:v>[D60140]  당좌자산(계)</c:v>
                </c:pt>
              </c:strCache>
            </c:strRef>
          </c:tx>
          <c:invertIfNegative val="0"/>
          <c:val>
            <c:numRef>
              <c:f>BS추정!$E$52:$I$52</c:f>
              <c:numCache>
                <c:formatCode>#,##0_ ;[Red]\-#,##0\ </c:formatCode>
                <c:ptCount val="5"/>
                <c:pt idx="0">
                  <c:v>15809</c:v>
                </c:pt>
                <c:pt idx="1">
                  <c:v>27762</c:v>
                </c:pt>
                <c:pt idx="2">
                  <c:v>14889</c:v>
                </c:pt>
                <c:pt idx="3">
                  <c:v>12159</c:v>
                </c:pt>
                <c:pt idx="4">
                  <c:v>12159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B1-4D63-A841-E2B2F70B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845504"/>
        <c:axId val="215863680"/>
      </c:barChart>
      <c:catAx>
        <c:axId val="21584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863680"/>
        <c:crosses val="autoZero"/>
        <c:auto val="1"/>
        <c:lblAlgn val="ctr"/>
        <c:lblOffset val="100"/>
        <c:noMultiLvlLbl val="0"/>
      </c:catAx>
      <c:valAx>
        <c:axId val="215863680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5845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BS추정!$D$60</c:f>
              <c:strCache>
                <c:ptCount val="1"/>
                <c:pt idx="0">
                  <c:v>[D60340]  이익잉여금</c:v>
                </c:pt>
              </c:strCache>
            </c:strRef>
          </c:tx>
          <c:invertIfNegative val="0"/>
          <c:val>
            <c:numRef>
              <c:f>BS추정!$E$60:$I$60</c:f>
              <c:numCache>
                <c:formatCode>#,##0_ ;[Red]\-#,##0\ </c:formatCode>
                <c:ptCount val="5"/>
                <c:pt idx="0">
                  <c:v>20765</c:v>
                </c:pt>
                <c:pt idx="1">
                  <c:v>27849</c:v>
                </c:pt>
                <c:pt idx="2">
                  <c:v>17365</c:v>
                </c:pt>
                <c:pt idx="3">
                  <c:v>14532</c:v>
                </c:pt>
                <c:pt idx="4">
                  <c:v>14532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6F0-91F8-0846C1BE66C6}"/>
            </c:ext>
          </c:extLst>
        </c:ser>
        <c:ser>
          <c:idx val="1"/>
          <c:order val="1"/>
          <c:tx>
            <c:strRef>
              <c:f>BS추정!$D$61</c:f>
              <c:strCache>
                <c:ptCount val="1"/>
                <c:pt idx="0">
                  <c:v>[D60310]  자본잉여금</c:v>
                </c:pt>
              </c:strCache>
            </c:strRef>
          </c:tx>
          <c:invertIfNegative val="0"/>
          <c:val>
            <c:numRef>
              <c:f>BS추정!$E$61:$I$61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1-46F0-91F8-0846C1BE66C6}"/>
            </c:ext>
          </c:extLst>
        </c:ser>
        <c:ser>
          <c:idx val="2"/>
          <c:order val="2"/>
          <c:tx>
            <c:strRef>
              <c:f>BS추정!$D$62</c:f>
              <c:strCache>
                <c:ptCount val="1"/>
                <c:pt idx="0">
                  <c:v>[D60300]  자본금</c:v>
                </c:pt>
              </c:strCache>
            </c:strRef>
          </c:tx>
          <c:invertIfNegative val="0"/>
          <c:val>
            <c:numRef>
              <c:f>BS추정!$E$62:$I$62</c:f>
              <c:numCache>
                <c:formatCode>#,##0_ ;[Red]\-#,##0\ </c:formatCode>
                <c:ptCount val="5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1-46F0-91F8-0846C1BE66C6}"/>
            </c:ext>
          </c:extLst>
        </c:ser>
        <c:ser>
          <c:idx val="3"/>
          <c:order val="3"/>
          <c:tx>
            <c:strRef>
              <c:f>BS추정!$D$63</c:f>
              <c:strCache>
                <c:ptCount val="1"/>
                <c:pt idx="0">
                  <c:v>[D60280]  비유동부채(계)</c:v>
                </c:pt>
              </c:strCache>
            </c:strRef>
          </c:tx>
          <c:invertIfNegative val="0"/>
          <c:val>
            <c:numRef>
              <c:f>BS추정!$E$63:$I$63</c:f>
              <c:numCache>
                <c:formatCode>#,##0_ ;[Red]\-#,##0\ </c:formatCode>
                <c:ptCount val="5"/>
                <c:pt idx="0">
                  <c:v>664</c:v>
                </c:pt>
                <c:pt idx="1">
                  <c:v>98</c:v>
                </c:pt>
                <c:pt idx="2">
                  <c:v>115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1-46F0-91F8-0846C1BE66C6}"/>
            </c:ext>
          </c:extLst>
        </c:ser>
        <c:ser>
          <c:idx val="4"/>
          <c:order val="4"/>
          <c:tx>
            <c:strRef>
              <c:f>BS추정!$D$64</c:f>
              <c:strCache>
                <c:ptCount val="1"/>
                <c:pt idx="0">
                  <c:v>[D60270]  유동부채(계)</c:v>
                </c:pt>
              </c:strCache>
            </c:strRef>
          </c:tx>
          <c:invertIfNegative val="0"/>
          <c:val>
            <c:numRef>
              <c:f>BS추정!$E$64:$I$64</c:f>
              <c:numCache>
                <c:formatCode>#,##0_ ;[Red]\-#,##0\ </c:formatCode>
                <c:ptCount val="5"/>
                <c:pt idx="0">
                  <c:v>5650</c:v>
                </c:pt>
                <c:pt idx="1">
                  <c:v>14916</c:v>
                </c:pt>
                <c:pt idx="2">
                  <c:v>20268</c:v>
                </c:pt>
                <c:pt idx="3">
                  <c:v>18446</c:v>
                </c:pt>
                <c:pt idx="4">
                  <c:v>18446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21-46F0-91F8-0846C1BE6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85632"/>
        <c:axId val="216087168"/>
      </c:barChart>
      <c:catAx>
        <c:axId val="21608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087168"/>
        <c:crosses val="autoZero"/>
        <c:auto val="1"/>
        <c:lblAlgn val="ctr"/>
        <c:lblOffset val="100"/>
        <c:noMultiLvlLbl val="0"/>
      </c:catAx>
      <c:valAx>
        <c:axId val="216087168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608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pin" dx="22" fmlaLink="영구g" max="1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694764</xdr:colOff>
      <xdr:row>45</xdr:row>
      <xdr:rowOff>179294</xdr:rowOff>
    </xdr:from>
    <xdr:to>
      <xdr:col>15</xdr:col>
      <xdr:colOff>549087</xdr:colOff>
      <xdr:row>58</xdr:row>
      <xdr:rowOff>134470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683559</xdr:colOff>
      <xdr:row>59</xdr:row>
      <xdr:rowOff>134470</xdr:rowOff>
    </xdr:from>
    <xdr:to>
      <xdr:col>15</xdr:col>
      <xdr:colOff>537882</xdr:colOff>
      <xdr:row>72</xdr:row>
      <xdr:rowOff>100854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28575</xdr:colOff>
          <xdr:row>3</xdr:row>
          <xdr:rowOff>0</xdr:rowOff>
        </xdr:from>
        <xdr:to>
          <xdr:col>13</xdr:col>
          <xdr:colOff>238125</xdr:colOff>
          <xdr:row>4</xdr:row>
          <xdr:rowOff>0</xdr:rowOff>
        </xdr:to>
        <xdr:sp macro="" textlink="">
          <xdr:nvSpPr>
            <xdr:cNvPr id="5122" name="Spinner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C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테이블" displayName="테이블" ref="A1:AH2600" totalsRowShown="0" headerRowDxfId="54" dataDxfId="52" headerRowBorderDxfId="53">
  <autoFilter ref="A1:AH2600"/>
  <tableColumns count="34">
    <tableColumn id="1" name="Ticker" dataDxfId="51"/>
    <tableColumn id="2" name="Symbol" dataDxfId="50"/>
    <tableColumn id="3" name="종목명(Eng)" dataDxfId="49"/>
    <tableColumn id="4" name="법인번호" dataDxfId="48"/>
    <tableColumn id="5" name="종목명" dataDxfId="47"/>
    <tableColumn id="6" name="10차표준(세분류)" dataDxfId="46"/>
    <tableColumn id="7" name="10차표준(세세분류)" dataDxfId="45"/>
    <tableColumn id="8" name="거래소 업종" dataDxfId="44"/>
    <tableColumn id="9" name="거래소(시장)" dataDxfId="43"/>
    <tableColumn id="10" name="매출액(직전4분기)" dataDxfId="42"/>
    <tableColumn id="11" name="영업이익" dataDxfId="41"/>
    <tableColumn id="12" name="세전이익" dataDxfId="40"/>
    <tableColumn id="13" name="자본총계" dataDxfId="39"/>
    <tableColumn id="14" name="베타" dataDxfId="38"/>
    <tableColumn id="15" name="차입금/시총" dataDxfId="37"/>
    <tableColumn id="16" name="거래정지" dataDxfId="36"/>
    <tableColumn id="17" name="관리종목" dataDxfId="35"/>
    <tableColumn id="18" name="상장일자" dataDxfId="34"/>
    <tableColumn id="19" name="주요상품" dataDxfId="33"/>
    <tableColumn id="20" name="한계세율" dataDxfId="32"/>
    <tableColumn id="21" name="홈페이지" dataDxfId="31"/>
    <tableColumn id="22" name="EV/EBITDA" dataDxfId="30"/>
    <tableColumn id="23" name="PBR" dataDxfId="29"/>
    <tableColumn id="24" name="PSR" dataDxfId="28"/>
    <tableColumn id="25" name="PER" dataDxfId="27"/>
    <tableColumn id="26" name="3개년(2023~2026) CAGR" dataDxfId="26"/>
    <tableColumn id="27" name="2,020 " dataDxfId="25"/>
    <tableColumn id="28" name="2,021 " dataDxfId="24"/>
    <tableColumn id="29" name="2,022 " dataDxfId="23"/>
    <tableColumn id="30" name="2,023 " dataDxfId="22"/>
    <tableColumn id="31" name="2,024 " dataDxfId="21"/>
    <tableColumn id="32" name="2,025 " dataDxfId="20"/>
    <tableColumn id="33" name="2,026 " dataDxfId="19"/>
    <tableColumn id="34" name="2,027 " dataDxfId="18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법인세" displayName="법인세" ref="I11:L15" totalsRowShown="0" tableBorderDxfId="5">
  <autoFilter ref="I11:L15"/>
  <tableColumns count="4">
    <tableColumn id="1" name="과세표준" dataDxfId="4"/>
    <tableColumn id="2" name="세율(*)" dataDxfId="3"/>
    <tableColumn id="3" name="누진공제" dataDxfId="2"/>
    <tableColumn id="4" name="기준" dataDxfId="1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28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F28" sqref="F28"/>
    </sheetView>
  </sheetViews>
  <sheetFormatPr defaultColWidth="9" defaultRowHeight="16.5"/>
  <cols>
    <col min="1" max="1" width="7.875" style="2" hidden="1" customWidth="1"/>
    <col min="2" max="2" width="13.875" style="2" hidden="1" customWidth="1"/>
    <col min="3" max="3" width="7.875" style="2" bestFit="1" customWidth="1"/>
    <col min="4" max="4" width="17.875" style="2" customWidth="1"/>
    <col min="5" max="5" width="46.875" style="2" customWidth="1"/>
    <col min="6" max="6" width="23.625" style="2" bestFit="1" customWidth="1"/>
    <col min="7" max="7" width="29.375" style="2" bestFit="1" customWidth="1"/>
    <col min="8" max="8" width="45.5" style="2" bestFit="1" customWidth="1"/>
    <col min="9" max="9" width="7.875" style="2" bestFit="1" customWidth="1"/>
    <col min="10" max="10" width="135.125" style="2" bestFit="1" customWidth="1"/>
    <col min="11" max="11" width="9" style="2"/>
    <col min="12" max="12" width="10" style="2" bestFit="1" customWidth="1"/>
    <col min="13" max="16384" width="9" style="2"/>
  </cols>
  <sheetData>
    <row r="1" spans="1:7">
      <c r="A1" s="1">
        <v>13</v>
      </c>
      <c r="B1" s="1"/>
      <c r="C1" s="1" t="s">
        <v>16235</v>
      </c>
      <c r="D1" s="1" t="s">
        <v>16236</v>
      </c>
      <c r="E1" s="6" t="s">
        <v>16237</v>
      </c>
      <c r="G1" s="269" t="s">
        <v>136</v>
      </c>
    </row>
    <row r="2" spans="1:7">
      <c r="A2" s="1" t="s">
        <v>14</v>
      </c>
      <c r="B2" s="1"/>
      <c r="C2" s="1" t="s">
        <v>16238</v>
      </c>
      <c r="D2" s="2" t="s">
        <v>357</v>
      </c>
      <c r="E2" s="58" t="s">
        <v>16239</v>
      </c>
      <c r="G2" s="301" t="str">
        <f>MID(COMPANY!E1,1,10)</f>
        <v>2024-05-31</v>
      </c>
    </row>
    <row r="3" spans="1:7">
      <c r="A3" s="1" t="s">
        <v>14</v>
      </c>
      <c r="B3" s="1"/>
      <c r="C3" s="1" t="s">
        <v>16240</v>
      </c>
      <c r="D3" s="2" t="s">
        <v>358</v>
      </c>
      <c r="E3" s="15" t="s">
        <v>16241</v>
      </c>
    </row>
    <row r="4" spans="1:7">
      <c r="A4" s="1" t="s">
        <v>14</v>
      </c>
      <c r="B4" s="1"/>
      <c r="C4" s="1" t="s">
        <v>16242</v>
      </c>
      <c r="D4" s="2" t="s">
        <v>368</v>
      </c>
      <c r="E4" s="59">
        <v>41791</v>
      </c>
      <c r="G4" s="205" t="s">
        <v>143</v>
      </c>
    </row>
    <row r="5" spans="1:7">
      <c r="A5" s="1" t="s">
        <v>14</v>
      </c>
      <c r="B5" s="1"/>
      <c r="C5" s="1" t="s">
        <v>16243</v>
      </c>
      <c r="D5" s="2" t="s">
        <v>367</v>
      </c>
      <c r="E5" s="16" t="s">
        <v>16244</v>
      </c>
      <c r="G5" s="205" t="s">
        <v>138</v>
      </c>
    </row>
    <row r="6" spans="1:7">
      <c r="A6" s="1" t="s">
        <v>14</v>
      </c>
      <c r="B6" s="1"/>
      <c r="C6" s="1" t="s">
        <v>16245</v>
      </c>
      <c r="D6" s="2" t="s">
        <v>374</v>
      </c>
      <c r="E6" s="15">
        <v>12</v>
      </c>
      <c r="G6" s="205" t="s">
        <v>139</v>
      </c>
    </row>
    <row r="7" spans="1:7">
      <c r="A7" s="1" t="s">
        <v>14</v>
      </c>
      <c r="B7" s="1" t="s">
        <v>2</v>
      </c>
      <c r="C7" s="1" t="s">
        <v>16246</v>
      </c>
      <c r="D7" s="2" t="s">
        <v>16247</v>
      </c>
      <c r="E7" s="15">
        <v>5000</v>
      </c>
      <c r="G7" s="205" t="s">
        <v>140</v>
      </c>
    </row>
    <row r="8" spans="1:7">
      <c r="A8" s="1" t="s">
        <v>14</v>
      </c>
      <c r="B8" s="1"/>
      <c r="C8" s="1" t="s">
        <v>16248</v>
      </c>
      <c r="D8" s="2" t="s">
        <v>373</v>
      </c>
      <c r="E8" s="15"/>
      <c r="G8" s="205" t="s">
        <v>141</v>
      </c>
    </row>
    <row r="9" spans="1:7">
      <c r="A9" s="1" t="s">
        <v>14</v>
      </c>
      <c r="B9" s="1" t="s">
        <v>2</v>
      </c>
      <c r="C9" s="1" t="s">
        <v>16249</v>
      </c>
      <c r="D9" s="2" t="s">
        <v>16250</v>
      </c>
      <c r="E9" s="15">
        <v>61</v>
      </c>
      <c r="G9" s="205" t="s">
        <v>142</v>
      </c>
    </row>
    <row r="10" spans="1:7">
      <c r="A10" s="1" t="s">
        <v>14</v>
      </c>
      <c r="B10" s="1"/>
      <c r="C10" s="1" t="s">
        <v>16251</v>
      </c>
      <c r="D10" s="2" t="s">
        <v>16252</v>
      </c>
      <c r="E10" s="15" t="s">
        <v>16253</v>
      </c>
      <c r="G10" s="205" t="s">
        <v>204</v>
      </c>
    </row>
    <row r="11" spans="1:7">
      <c r="A11" s="1" t="s">
        <v>14</v>
      </c>
      <c r="B11" s="1"/>
      <c r="C11" s="1" t="s">
        <v>16254</v>
      </c>
      <c r="D11" s="2" t="s">
        <v>388</v>
      </c>
      <c r="E11" s="15" t="s">
        <v>16255</v>
      </c>
      <c r="G11" s="205" t="s">
        <v>137</v>
      </c>
    </row>
    <row r="12" spans="1:7">
      <c r="A12" s="1" t="s">
        <v>14</v>
      </c>
      <c r="B12" s="1"/>
      <c r="C12" s="1" t="s">
        <v>16256</v>
      </c>
      <c r="D12" s="2" t="s">
        <v>16257</v>
      </c>
      <c r="E12" s="17" t="s">
        <v>16258</v>
      </c>
      <c r="G12" s="205" t="s">
        <v>144</v>
      </c>
    </row>
    <row r="13" spans="1:7">
      <c r="A13" s="2" t="s">
        <v>14</v>
      </c>
      <c r="C13" s="1" t="s">
        <v>16259</v>
      </c>
      <c r="D13" s="2" t="s">
        <v>16260</v>
      </c>
      <c r="E13" s="15" t="s">
        <v>16261</v>
      </c>
      <c r="G13" s="205"/>
    </row>
    <row r="14" spans="1:7">
      <c r="A14" s="2" t="s">
        <v>14</v>
      </c>
      <c r="C14" s="1" t="s">
        <v>16262</v>
      </c>
      <c r="D14" s="2" t="s">
        <v>93</v>
      </c>
      <c r="E14" s="2" t="s">
        <v>16263</v>
      </c>
      <c r="G14" s="2" t="str">
        <f>"DCF_"&amp;SUBSTITUTE(TRIM(COMPANY!E2),"(주)","")&amp;"("&amp;평가기준일&amp;")"&amp;".xlsm"</f>
        <v>DCF_루메나(2024-05-31).xlsm</v>
      </c>
    </row>
    <row r="20" spans="5:5">
      <c r="E20" s="205"/>
    </row>
    <row r="21" spans="5:5">
      <c r="E21" s="205"/>
    </row>
    <row r="22" spans="5:5">
      <c r="E22" s="205"/>
    </row>
    <row r="23" spans="5:5">
      <c r="E23" s="205"/>
    </row>
    <row r="24" spans="5:5">
      <c r="E24" s="205"/>
    </row>
    <row r="25" spans="5:5">
      <c r="E25" s="205"/>
    </row>
    <row r="26" spans="5:5">
      <c r="E26" s="205"/>
    </row>
    <row r="27" spans="5:5">
      <c r="E27" s="205"/>
    </row>
    <row r="28" spans="5:5">
      <c r="E28" s="20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9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0" sqref="J10"/>
    </sheetView>
  </sheetViews>
  <sheetFormatPr defaultColWidth="9" defaultRowHeight="16.5"/>
  <cols>
    <col min="1" max="2" width="0" style="2" hidden="1" customWidth="1"/>
    <col min="3" max="3" width="7.875" style="2" bestFit="1" customWidth="1"/>
    <col min="4" max="4" width="22.5" style="2" bestFit="1" customWidth="1"/>
    <col min="5" max="5" width="11.125" style="2" bestFit="1" customWidth="1"/>
    <col min="6" max="6" width="9" style="4"/>
    <col min="7" max="16384" width="9" style="2"/>
  </cols>
  <sheetData>
    <row r="1" spans="1:9">
      <c r="A1" s="1">
        <v>8</v>
      </c>
      <c r="B1" s="1"/>
      <c r="C1" s="1" t="s">
        <v>16264</v>
      </c>
      <c r="D1" s="1" t="s">
        <v>16265</v>
      </c>
      <c r="E1" s="1" t="s">
        <v>16276</v>
      </c>
      <c r="F1" s="7" t="s">
        <v>16277</v>
      </c>
      <c r="I1" s="2" t="s">
        <v>145</v>
      </c>
    </row>
    <row r="2" spans="1:9">
      <c r="A2" s="1" t="s">
        <v>14</v>
      </c>
      <c r="B2" s="1" t="s">
        <v>3</v>
      </c>
      <c r="C2" s="1" t="s">
        <v>16267</v>
      </c>
      <c r="D2" s="2" t="s">
        <v>16268</v>
      </c>
      <c r="E2" s="47"/>
      <c r="I2" s="5" t="str">
        <f>평가기준일</f>
        <v>2024-05-31</v>
      </c>
    </row>
    <row r="3" spans="1:9">
      <c r="A3" s="1" t="s">
        <v>14</v>
      </c>
      <c r="B3" s="1" t="s">
        <v>3</v>
      </c>
      <c r="C3" s="1" t="s">
        <v>16269</v>
      </c>
      <c r="D3" s="2" t="s">
        <v>460</v>
      </c>
      <c r="E3" s="5">
        <v>45412</v>
      </c>
      <c r="F3" s="4">
        <v>1.91</v>
      </c>
    </row>
    <row r="4" spans="1:9">
      <c r="A4" s="1" t="s">
        <v>14</v>
      </c>
      <c r="B4" s="1" t="s">
        <v>3</v>
      </c>
      <c r="C4" s="1" t="s">
        <v>16270</v>
      </c>
      <c r="D4" s="2" t="s">
        <v>461</v>
      </c>
      <c r="E4" s="5">
        <v>45412</v>
      </c>
      <c r="F4" s="4">
        <v>0.71</v>
      </c>
    </row>
    <row r="5" spans="1:9">
      <c r="A5" s="1" t="s">
        <v>14</v>
      </c>
      <c r="B5" s="1" t="s">
        <v>3</v>
      </c>
      <c r="C5" s="1" t="s">
        <v>16271</v>
      </c>
      <c r="D5" s="2" t="s">
        <v>462</v>
      </c>
      <c r="E5" s="5">
        <v>45412</v>
      </c>
      <c r="F5" s="4">
        <v>1.91</v>
      </c>
    </row>
    <row r="6" spans="1:9">
      <c r="A6" s="1" t="s">
        <v>14</v>
      </c>
      <c r="B6" s="1" t="s">
        <v>3</v>
      </c>
      <c r="C6" s="1" t="s">
        <v>16272</v>
      </c>
      <c r="D6" s="2" t="s">
        <v>772</v>
      </c>
      <c r="E6" s="5"/>
    </row>
    <row r="7" spans="1:9">
      <c r="A7" s="1" t="s">
        <v>14</v>
      </c>
      <c r="B7" s="1" t="s">
        <v>3</v>
      </c>
      <c r="C7" s="1" t="s">
        <v>16273</v>
      </c>
      <c r="D7" s="2" t="s">
        <v>449</v>
      </c>
      <c r="E7" s="5">
        <v>45412</v>
      </c>
      <c r="F7" s="4">
        <v>3.65</v>
      </c>
    </row>
    <row r="8" spans="1:9">
      <c r="A8" s="1" t="s">
        <v>14</v>
      </c>
      <c r="B8" s="1" t="s">
        <v>3</v>
      </c>
      <c r="C8" s="1" t="s">
        <v>16274</v>
      </c>
      <c r="D8" s="2" t="s">
        <v>450</v>
      </c>
      <c r="E8" s="5">
        <v>45412</v>
      </c>
      <c r="F8" s="4">
        <v>11.4</v>
      </c>
    </row>
    <row r="9" spans="1:9">
      <c r="A9" s="1" t="s">
        <v>14</v>
      </c>
      <c r="B9" s="1" t="s">
        <v>3</v>
      </c>
      <c r="C9" s="1" t="s">
        <v>16275</v>
      </c>
      <c r="D9" s="3" t="s">
        <v>463</v>
      </c>
      <c r="E9" s="47">
        <v>45412</v>
      </c>
      <c r="F9" s="48">
        <v>1.56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3"/>
  <sheetViews>
    <sheetView showGridLines="0" zoomScale="85" zoomScaleNormal="85" workbookViewId="0">
      <pane ySplit="1" topLeftCell="A2" activePane="bottomLeft" state="frozen"/>
      <selection pane="bottomLeft" activeCell="L24" sqref="L24"/>
    </sheetView>
  </sheetViews>
  <sheetFormatPr defaultColWidth="9" defaultRowHeight="16.5"/>
  <cols>
    <col min="1" max="1" width="11.125" style="2" bestFit="1" customWidth="1"/>
    <col min="2" max="2" width="7.125" style="2" bestFit="1" customWidth="1"/>
    <col min="3" max="3" width="5.5" style="183" customWidth="1"/>
    <col min="4" max="4" width="15.125" style="2" bestFit="1" customWidth="1"/>
    <col min="5" max="6" width="10" style="140" bestFit="1" customWidth="1"/>
    <col min="7" max="7" width="10.125" style="142" customWidth="1"/>
    <col min="8" max="8" width="5.25" style="2" bestFit="1" customWidth="1"/>
    <col min="9" max="9" width="9" style="2"/>
    <col min="10" max="10" width="11.25" style="2" customWidth="1"/>
    <col min="11" max="16384" width="9" style="2"/>
  </cols>
  <sheetData>
    <row r="1" spans="1:12">
      <c r="A1" s="1" t="s">
        <v>16278</v>
      </c>
      <c r="B1" s="1" t="s">
        <v>16279</v>
      </c>
      <c r="C1" s="182" t="s">
        <v>16280</v>
      </c>
      <c r="D1" s="1" t="s">
        <v>16281</v>
      </c>
      <c r="E1" s="139" t="s">
        <v>222</v>
      </c>
      <c r="F1" s="139" t="s">
        <v>16282</v>
      </c>
      <c r="G1" s="141" t="s">
        <v>16283</v>
      </c>
      <c r="H1" s="1" t="s">
        <v>16284</v>
      </c>
      <c r="J1" s="56" t="s">
        <v>0</v>
      </c>
    </row>
    <row r="2" spans="1:12">
      <c r="A2" s="5">
        <v>44227</v>
      </c>
      <c r="B2" s="5" t="s">
        <v>16285</v>
      </c>
      <c r="C2" s="183">
        <v>5</v>
      </c>
      <c r="D2" s="5" t="s">
        <v>16286</v>
      </c>
      <c r="E2" s="140">
        <v>0.71567099999999995</v>
      </c>
      <c r="F2" s="140">
        <v>0.73179399999999994</v>
      </c>
      <c r="H2" s="2">
        <v>0</v>
      </c>
      <c r="J2" s="57" t="e">
        <f>#REF!</f>
        <v>#REF!</v>
      </c>
      <c r="L2" s="2" t="s">
        <v>212</v>
      </c>
    </row>
    <row r="3" spans="1:12">
      <c r="A3" s="5">
        <v>44227</v>
      </c>
      <c r="B3" s="5" t="s">
        <v>16285</v>
      </c>
      <c r="C3" s="183">
        <v>6</v>
      </c>
      <c r="D3" s="5" t="s">
        <v>16287</v>
      </c>
      <c r="E3" s="140">
        <v>0.93872500000000003</v>
      </c>
      <c r="F3" s="140">
        <v>0.70623199999999997</v>
      </c>
      <c r="H3" s="2">
        <v>0</v>
      </c>
    </row>
    <row r="4" spans="1:12">
      <c r="A4" s="5">
        <v>44227</v>
      </c>
      <c r="B4" s="5" t="s">
        <v>16285</v>
      </c>
      <c r="C4" s="183">
        <v>7</v>
      </c>
      <c r="D4" s="5" t="s">
        <v>16288</v>
      </c>
      <c r="E4" s="140">
        <v>0.80708899999999995</v>
      </c>
      <c r="F4" s="140">
        <v>0.59453999999999996</v>
      </c>
      <c r="H4" s="2">
        <v>0</v>
      </c>
    </row>
    <row r="5" spans="1:12">
      <c r="A5" s="5">
        <v>44227</v>
      </c>
      <c r="B5" s="5" t="s">
        <v>16285</v>
      </c>
      <c r="C5" s="183">
        <v>8</v>
      </c>
      <c r="D5" s="5" t="s">
        <v>16289</v>
      </c>
      <c r="E5" s="140">
        <v>1.1172820000000001</v>
      </c>
      <c r="F5" s="140">
        <v>0.88213299999999994</v>
      </c>
      <c r="H5" s="2">
        <v>0</v>
      </c>
    </row>
    <row r="6" spans="1:12">
      <c r="A6" s="5">
        <v>44227</v>
      </c>
      <c r="B6" s="5" t="s">
        <v>16285</v>
      </c>
      <c r="C6" s="183">
        <v>9</v>
      </c>
      <c r="D6" s="5" t="s">
        <v>1355</v>
      </c>
      <c r="E6" s="140">
        <v>0.79291599999999995</v>
      </c>
      <c r="F6" s="140">
        <v>0.55085899999999999</v>
      </c>
      <c r="H6" s="2">
        <v>0</v>
      </c>
    </row>
    <row r="7" spans="1:12">
      <c r="A7" s="5">
        <v>44227</v>
      </c>
      <c r="B7" s="5" t="s">
        <v>16285</v>
      </c>
      <c r="C7" s="183">
        <v>10</v>
      </c>
      <c r="D7" s="5" t="s">
        <v>16290</v>
      </c>
      <c r="E7" s="140">
        <v>1.014024</v>
      </c>
      <c r="F7" s="140">
        <v>0.76219499999999996</v>
      </c>
      <c r="H7" s="2">
        <v>0</v>
      </c>
    </row>
    <row r="8" spans="1:12">
      <c r="A8" s="5">
        <v>44227</v>
      </c>
      <c r="B8" s="5" t="s">
        <v>16285</v>
      </c>
      <c r="C8" s="183">
        <v>11</v>
      </c>
      <c r="D8" s="5" t="s">
        <v>16291</v>
      </c>
      <c r="E8" s="140">
        <v>1.0344629999999999</v>
      </c>
      <c r="F8" s="140">
        <v>0.82722300000000004</v>
      </c>
      <c r="H8" s="2">
        <v>0</v>
      </c>
    </row>
    <row r="9" spans="1:12">
      <c r="A9" s="5">
        <v>44227</v>
      </c>
      <c r="B9" s="5" t="s">
        <v>16285</v>
      </c>
      <c r="C9" s="183">
        <v>12</v>
      </c>
      <c r="D9" s="5" t="s">
        <v>16292</v>
      </c>
      <c r="E9" s="140">
        <v>1.0099370000000001</v>
      </c>
      <c r="F9" s="140">
        <v>0.77013900000000002</v>
      </c>
      <c r="H9" s="2">
        <v>0</v>
      </c>
    </row>
    <row r="10" spans="1:12">
      <c r="A10" s="5">
        <v>44227</v>
      </c>
      <c r="B10" s="5" t="s">
        <v>16285</v>
      </c>
      <c r="C10" s="183">
        <v>13</v>
      </c>
      <c r="D10" s="5" t="s">
        <v>16293</v>
      </c>
      <c r="E10" s="140">
        <v>1.10361</v>
      </c>
      <c r="F10" s="140">
        <v>0.888131</v>
      </c>
      <c r="H10" s="2">
        <v>0</v>
      </c>
    </row>
    <row r="11" spans="1:12">
      <c r="A11" s="5">
        <v>44227</v>
      </c>
      <c r="B11" s="5" t="s">
        <v>16285</v>
      </c>
      <c r="C11" s="183">
        <v>14</v>
      </c>
      <c r="D11" s="5" t="s">
        <v>16294</v>
      </c>
      <c r="E11" s="140">
        <v>1.1319349999999999</v>
      </c>
      <c r="F11" s="140">
        <v>0.72609199999999996</v>
      </c>
      <c r="H11" s="2">
        <v>0</v>
      </c>
    </row>
    <row r="12" spans="1:12">
      <c r="A12" s="5">
        <v>44227</v>
      </c>
      <c r="B12" s="5" t="s">
        <v>16285</v>
      </c>
      <c r="C12" s="183">
        <v>15</v>
      </c>
      <c r="D12" s="5" t="s">
        <v>16295</v>
      </c>
      <c r="E12" s="140">
        <v>1.219106</v>
      </c>
      <c r="F12" s="140">
        <v>0.81629600000000002</v>
      </c>
      <c r="H12" s="99">
        <v>0</v>
      </c>
    </row>
    <row r="13" spans="1:12">
      <c r="A13" s="5">
        <v>44227</v>
      </c>
      <c r="B13" s="5" t="s">
        <v>16285</v>
      </c>
      <c r="C13" s="183">
        <v>16</v>
      </c>
      <c r="D13" s="5" t="s">
        <v>16296</v>
      </c>
      <c r="E13" s="140">
        <v>0.97072899999999995</v>
      </c>
      <c r="F13" s="140">
        <v>0.86388699999999996</v>
      </c>
      <c r="H13" s="99">
        <v>0</v>
      </c>
    </row>
    <row r="14" spans="1:12">
      <c r="A14" s="5">
        <v>44227</v>
      </c>
      <c r="B14" s="5" t="s">
        <v>16285</v>
      </c>
      <c r="C14" s="183">
        <v>17</v>
      </c>
      <c r="D14" s="5" t="s">
        <v>16297</v>
      </c>
      <c r="E14" s="140">
        <v>0.68863399999999997</v>
      </c>
      <c r="F14" s="140">
        <v>0.54321699999999995</v>
      </c>
      <c r="H14" s="99">
        <v>0</v>
      </c>
    </row>
    <row r="15" spans="1:12">
      <c r="A15" s="5">
        <v>44227</v>
      </c>
      <c r="B15" s="5" t="s">
        <v>16285</v>
      </c>
      <c r="C15" s="183">
        <v>18</v>
      </c>
      <c r="D15" s="5" t="s">
        <v>16298</v>
      </c>
      <c r="E15" s="140">
        <v>1.131945</v>
      </c>
      <c r="F15" s="140">
        <v>0.81999900000000003</v>
      </c>
      <c r="H15" s="99">
        <v>0</v>
      </c>
    </row>
    <row r="16" spans="1:12">
      <c r="A16" s="5">
        <v>44227</v>
      </c>
      <c r="B16" s="5" t="s">
        <v>16285</v>
      </c>
      <c r="C16" s="183">
        <v>19</v>
      </c>
      <c r="D16" s="5" t="s">
        <v>16299</v>
      </c>
      <c r="E16" s="140">
        <v>0.98737799999999998</v>
      </c>
      <c r="F16" s="140">
        <v>0.71490100000000001</v>
      </c>
      <c r="H16" s="99">
        <v>0</v>
      </c>
    </row>
    <row r="17" spans="1:8">
      <c r="A17" s="5">
        <v>44227</v>
      </c>
      <c r="B17" s="5" t="s">
        <v>16285</v>
      </c>
      <c r="C17" s="183">
        <v>20</v>
      </c>
      <c r="D17" s="5" t="s">
        <v>16300</v>
      </c>
      <c r="E17" s="140">
        <v>0.58899199999999996</v>
      </c>
      <c r="F17" s="140">
        <v>0.63037699999999997</v>
      </c>
      <c r="H17" s="99">
        <v>0</v>
      </c>
    </row>
    <row r="18" spans="1:8">
      <c r="A18" s="5">
        <v>44227</v>
      </c>
      <c r="B18" s="5" t="s">
        <v>16285</v>
      </c>
      <c r="C18" s="183">
        <v>21</v>
      </c>
      <c r="D18" s="5" t="s">
        <v>16301</v>
      </c>
      <c r="E18" s="140">
        <v>1.04095</v>
      </c>
      <c r="F18" s="140">
        <v>0.87731099999999995</v>
      </c>
      <c r="H18" s="99">
        <v>0</v>
      </c>
    </row>
    <row r="19" spans="1:8">
      <c r="A19" s="5">
        <v>44227</v>
      </c>
      <c r="B19" s="5" t="s">
        <v>16285</v>
      </c>
      <c r="C19" s="183">
        <v>22</v>
      </c>
      <c r="D19" s="5" t="s">
        <v>16302</v>
      </c>
      <c r="E19" s="140">
        <v>1.052778</v>
      </c>
      <c r="F19" s="140">
        <v>0.75544599999999995</v>
      </c>
      <c r="H19" s="99">
        <v>0</v>
      </c>
    </row>
    <row r="20" spans="1:8">
      <c r="A20" s="5">
        <v>44227</v>
      </c>
      <c r="B20" s="5" t="s">
        <v>16285</v>
      </c>
      <c r="C20" s="183">
        <v>24</v>
      </c>
      <c r="D20" s="5" t="s">
        <v>16303</v>
      </c>
      <c r="E20" s="140">
        <v>1.2731399999999999</v>
      </c>
      <c r="F20" s="140">
        <v>0.84729699999999997</v>
      </c>
      <c r="H20" s="99">
        <v>0</v>
      </c>
    </row>
    <row r="21" spans="1:8">
      <c r="A21" s="5">
        <v>44227</v>
      </c>
      <c r="B21" s="5" t="s">
        <v>16285</v>
      </c>
      <c r="C21" s="183">
        <v>25</v>
      </c>
      <c r="D21" s="5" t="s">
        <v>16304</v>
      </c>
      <c r="E21" s="140">
        <v>0.90593999999999997</v>
      </c>
      <c r="F21" s="140">
        <v>0.68502600000000002</v>
      </c>
      <c r="H21" s="99">
        <v>0</v>
      </c>
    </row>
    <row r="22" spans="1:8">
      <c r="A22" s="5">
        <v>44227</v>
      </c>
      <c r="B22" s="5" t="s">
        <v>16285</v>
      </c>
      <c r="C22" s="183">
        <v>26</v>
      </c>
      <c r="D22" s="5" t="s">
        <v>16305</v>
      </c>
      <c r="E22" s="140">
        <v>0.76199300000000003</v>
      </c>
      <c r="F22" s="140">
        <v>0.76465000000000005</v>
      </c>
      <c r="H22" s="99">
        <v>0</v>
      </c>
    </row>
    <row r="23" spans="1:8">
      <c r="A23" s="5">
        <v>44227</v>
      </c>
      <c r="B23" s="5" t="s">
        <v>16285</v>
      </c>
      <c r="C23" s="183">
        <v>27</v>
      </c>
      <c r="D23" s="5" t="s">
        <v>16306</v>
      </c>
      <c r="E23" s="140">
        <v>1.0499080000000001</v>
      </c>
      <c r="F23" s="140">
        <v>0.98670199999999997</v>
      </c>
      <c r="H23" s="99">
        <v>0</v>
      </c>
    </row>
    <row r="24" spans="1:8">
      <c r="A24" s="5">
        <v>44227</v>
      </c>
      <c r="B24" s="5" t="s">
        <v>16285</v>
      </c>
      <c r="C24" s="183">
        <v>99</v>
      </c>
      <c r="D24" s="5" t="s">
        <v>16307</v>
      </c>
      <c r="H24" s="2">
        <v>0</v>
      </c>
    </row>
    <row r="25" spans="1:8">
      <c r="A25" s="5">
        <v>44227</v>
      </c>
      <c r="B25" s="5" t="s">
        <v>869</v>
      </c>
      <c r="C25" s="183">
        <v>6</v>
      </c>
      <c r="D25" s="5" t="s">
        <v>16308</v>
      </c>
      <c r="H25" s="2">
        <v>0</v>
      </c>
    </row>
    <row r="26" spans="1:8">
      <c r="A26" s="5">
        <v>44227</v>
      </c>
      <c r="B26" s="5" t="s">
        <v>869</v>
      </c>
      <c r="C26" s="183">
        <v>12</v>
      </c>
      <c r="D26" s="5" t="s">
        <v>16309</v>
      </c>
      <c r="E26" s="140">
        <v>1.0912649999999999</v>
      </c>
      <c r="F26" s="140">
        <v>0.86354500000000001</v>
      </c>
      <c r="H26" s="2">
        <v>0</v>
      </c>
    </row>
    <row r="27" spans="1:8">
      <c r="A27" s="5">
        <v>44227</v>
      </c>
      <c r="B27" s="5" t="s">
        <v>869</v>
      </c>
      <c r="C27" s="183">
        <v>14</v>
      </c>
      <c r="D27" s="5" t="s">
        <v>16310</v>
      </c>
      <c r="H27" s="2">
        <v>0</v>
      </c>
    </row>
    <row r="28" spans="1:8">
      <c r="A28" s="5">
        <v>44227</v>
      </c>
      <c r="B28" s="5" t="s">
        <v>869</v>
      </c>
      <c r="C28" s="183">
        <v>15</v>
      </c>
      <c r="D28" s="5" t="s">
        <v>16311</v>
      </c>
      <c r="E28" s="140">
        <v>1.000005</v>
      </c>
      <c r="F28" s="140">
        <v>0.95601000000000003</v>
      </c>
      <c r="H28" s="2">
        <v>0</v>
      </c>
    </row>
    <row r="29" spans="1:8">
      <c r="A29" s="5">
        <v>44227</v>
      </c>
      <c r="B29" s="5" t="s">
        <v>869</v>
      </c>
      <c r="C29" s="183">
        <v>16</v>
      </c>
      <c r="D29" s="5" t="s">
        <v>16312</v>
      </c>
      <c r="H29" s="2">
        <v>0</v>
      </c>
    </row>
    <row r="30" spans="1:8">
      <c r="A30" s="5">
        <v>44227</v>
      </c>
      <c r="B30" s="5" t="s">
        <v>869</v>
      </c>
      <c r="C30" s="183">
        <v>24</v>
      </c>
      <c r="D30" s="5" t="s">
        <v>16313</v>
      </c>
      <c r="E30" s="140">
        <v>0.99883999999999995</v>
      </c>
      <c r="F30" s="140">
        <v>0.98412999999999995</v>
      </c>
      <c r="H30" s="2">
        <v>0</v>
      </c>
    </row>
    <row r="31" spans="1:8">
      <c r="A31" s="5">
        <v>44227</v>
      </c>
      <c r="B31" s="5" t="s">
        <v>869</v>
      </c>
      <c r="C31" s="183">
        <v>26</v>
      </c>
      <c r="D31" s="5" t="s">
        <v>16314</v>
      </c>
      <c r="E31" s="140">
        <v>0.75994399999999995</v>
      </c>
      <c r="F31" s="140">
        <v>0.79212499999999997</v>
      </c>
      <c r="H31" s="2">
        <v>0</v>
      </c>
    </row>
    <row r="32" spans="1:8">
      <c r="A32" s="5">
        <v>44227</v>
      </c>
      <c r="B32" s="5" t="s">
        <v>869</v>
      </c>
      <c r="C32" s="183">
        <v>27</v>
      </c>
      <c r="D32" s="5" t="s">
        <v>16315</v>
      </c>
      <c r="E32" s="140">
        <v>0.94811900000000005</v>
      </c>
      <c r="F32" s="140">
        <v>0.71742799999999995</v>
      </c>
      <c r="H32" s="2">
        <v>0</v>
      </c>
    </row>
    <row r="33" spans="1:8">
      <c r="A33" s="5">
        <v>44227</v>
      </c>
      <c r="B33" s="5" t="s">
        <v>869</v>
      </c>
      <c r="C33" s="183">
        <v>28</v>
      </c>
      <c r="D33" s="5" t="s">
        <v>16316</v>
      </c>
      <c r="H33" s="2">
        <v>0</v>
      </c>
    </row>
    <row r="34" spans="1:8">
      <c r="A34" s="5">
        <v>44227</v>
      </c>
      <c r="B34" s="5" t="s">
        <v>869</v>
      </c>
      <c r="C34" s="183">
        <v>29</v>
      </c>
      <c r="D34" s="5" t="s">
        <v>13273</v>
      </c>
      <c r="E34" s="140">
        <v>0.85184400000000005</v>
      </c>
      <c r="F34" s="140">
        <v>0.68889500000000004</v>
      </c>
      <c r="H34" s="2">
        <v>0</v>
      </c>
    </row>
    <row r="35" spans="1:8">
      <c r="A35" s="5">
        <v>44227</v>
      </c>
      <c r="B35" s="5" t="s">
        <v>869</v>
      </c>
      <c r="C35" s="183">
        <v>31</v>
      </c>
      <c r="D35" s="5" t="s">
        <v>16317</v>
      </c>
      <c r="E35" s="140">
        <v>0.91972600000000004</v>
      </c>
      <c r="F35" s="140">
        <v>0.87422299999999997</v>
      </c>
      <c r="H35" s="2">
        <v>0</v>
      </c>
    </row>
    <row r="36" spans="1:8">
      <c r="A36" s="5">
        <v>44227</v>
      </c>
      <c r="B36" s="5" t="s">
        <v>869</v>
      </c>
      <c r="C36" s="183">
        <v>37</v>
      </c>
      <c r="D36" s="5" t="s">
        <v>16318</v>
      </c>
      <c r="E36" s="140">
        <v>0.93199500000000002</v>
      </c>
      <c r="F36" s="140">
        <v>0.78732100000000005</v>
      </c>
      <c r="H36" s="2">
        <v>0</v>
      </c>
    </row>
    <row r="37" spans="1:8">
      <c r="A37" s="5">
        <v>44227</v>
      </c>
      <c r="B37" s="5" t="s">
        <v>869</v>
      </c>
      <c r="C37" s="183">
        <v>41</v>
      </c>
      <c r="D37" s="5" t="s">
        <v>16319</v>
      </c>
      <c r="E37" s="140">
        <v>0.833789</v>
      </c>
      <c r="F37" s="140">
        <v>0.77223200000000003</v>
      </c>
      <c r="H37" s="2">
        <v>0</v>
      </c>
    </row>
    <row r="38" spans="1:8">
      <c r="A38" s="5">
        <v>44227</v>
      </c>
      <c r="B38" s="5" t="s">
        <v>869</v>
      </c>
      <c r="C38" s="183">
        <v>42</v>
      </c>
      <c r="D38" s="5" t="s">
        <v>16320</v>
      </c>
      <c r="E38" s="140">
        <v>0.91225599999999996</v>
      </c>
      <c r="F38" s="140">
        <v>0.91651099999999996</v>
      </c>
      <c r="H38" s="2">
        <v>0</v>
      </c>
    </row>
    <row r="39" spans="1:8">
      <c r="A39" s="5">
        <v>44227</v>
      </c>
      <c r="B39" s="5" t="s">
        <v>869</v>
      </c>
      <c r="C39" s="183">
        <v>43</v>
      </c>
      <c r="D39" s="5" t="s">
        <v>16321</v>
      </c>
      <c r="E39" s="140">
        <v>1.0602990000000001</v>
      </c>
      <c r="F39" s="140">
        <v>0.92957000000000001</v>
      </c>
      <c r="H39" s="2">
        <v>0</v>
      </c>
    </row>
    <row r="40" spans="1:8">
      <c r="A40" s="5">
        <v>44227</v>
      </c>
      <c r="B40" s="5" t="s">
        <v>869</v>
      </c>
      <c r="C40" s="183">
        <v>50</v>
      </c>
      <c r="D40" s="5" t="s">
        <v>16322</v>
      </c>
      <c r="H40" s="2">
        <v>0</v>
      </c>
    </row>
    <row r="41" spans="1:8">
      <c r="A41" s="5">
        <v>44227</v>
      </c>
      <c r="B41" s="5" t="s">
        <v>869</v>
      </c>
      <c r="C41" s="183">
        <v>56</v>
      </c>
      <c r="D41" s="5" t="s">
        <v>16323</v>
      </c>
      <c r="E41" s="140">
        <v>0.92226200000000003</v>
      </c>
      <c r="F41" s="140">
        <v>0.858653</v>
      </c>
      <c r="H41" s="2">
        <v>0</v>
      </c>
    </row>
    <row r="42" spans="1:8">
      <c r="A42" s="5">
        <v>44227</v>
      </c>
      <c r="B42" s="5" t="s">
        <v>869</v>
      </c>
      <c r="C42" s="183">
        <v>58</v>
      </c>
      <c r="D42" s="5" t="s">
        <v>16324</v>
      </c>
      <c r="E42" s="140">
        <v>0.80562100000000003</v>
      </c>
      <c r="F42" s="140">
        <v>0.70436299999999996</v>
      </c>
      <c r="H42" s="2">
        <v>0</v>
      </c>
    </row>
    <row r="43" spans="1:8">
      <c r="A43" s="5">
        <v>44227</v>
      </c>
      <c r="B43" s="5" t="s">
        <v>869</v>
      </c>
      <c r="C43" s="183">
        <v>62</v>
      </c>
      <c r="D43" s="5" t="s">
        <v>16325</v>
      </c>
      <c r="E43" s="140">
        <v>0.94954300000000003</v>
      </c>
      <c r="F43" s="140">
        <v>0.60139799999999999</v>
      </c>
      <c r="H43" s="2">
        <v>0</v>
      </c>
    </row>
    <row r="44" spans="1:8">
      <c r="A44" s="5">
        <v>44227</v>
      </c>
      <c r="B44" s="5" t="s">
        <v>869</v>
      </c>
      <c r="C44" s="183">
        <v>63</v>
      </c>
      <c r="D44" s="5" t="s">
        <v>16326</v>
      </c>
      <c r="E44" s="140">
        <v>0.87709099999999995</v>
      </c>
      <c r="F44" s="140">
        <v>0.75782099999999997</v>
      </c>
      <c r="H44" s="2">
        <v>0</v>
      </c>
    </row>
    <row r="45" spans="1:8">
      <c r="A45" s="5">
        <v>44227</v>
      </c>
      <c r="B45" s="5" t="s">
        <v>869</v>
      </c>
      <c r="C45" s="183">
        <v>65</v>
      </c>
      <c r="D45" s="5" t="s">
        <v>16289</v>
      </c>
      <c r="E45" s="140">
        <v>1.013989</v>
      </c>
      <c r="F45" s="140">
        <v>0.90278400000000003</v>
      </c>
      <c r="H45" s="2">
        <v>0</v>
      </c>
    </row>
    <row r="46" spans="1:8">
      <c r="A46" s="5">
        <v>44227</v>
      </c>
      <c r="B46" s="5" t="s">
        <v>869</v>
      </c>
      <c r="C46" s="183">
        <v>66</v>
      </c>
      <c r="D46" s="5" t="s">
        <v>16327</v>
      </c>
      <c r="E46" s="140">
        <v>0.99116599999999999</v>
      </c>
      <c r="F46" s="140">
        <v>0.85893699999999995</v>
      </c>
      <c r="H46" s="2">
        <v>0</v>
      </c>
    </row>
    <row r="47" spans="1:8">
      <c r="A47" s="5">
        <v>44227</v>
      </c>
      <c r="B47" s="5" t="s">
        <v>869</v>
      </c>
      <c r="C47" s="183">
        <v>67</v>
      </c>
      <c r="D47" s="5" t="s">
        <v>16328</v>
      </c>
      <c r="E47" s="140">
        <v>1.1064940000000001</v>
      </c>
      <c r="F47" s="140">
        <v>0.84878600000000004</v>
      </c>
      <c r="H47" s="2">
        <v>0</v>
      </c>
    </row>
    <row r="48" spans="1:8">
      <c r="A48" s="5">
        <v>44227</v>
      </c>
      <c r="B48" s="5" t="s">
        <v>869</v>
      </c>
      <c r="C48" s="183">
        <v>68</v>
      </c>
      <c r="D48" s="5" t="s">
        <v>16329</v>
      </c>
      <c r="E48" s="140">
        <v>0.95977699999999999</v>
      </c>
      <c r="F48" s="140">
        <v>0.85651699999999997</v>
      </c>
      <c r="H48" s="2">
        <v>0</v>
      </c>
    </row>
    <row r="49" spans="1:8">
      <c r="A49" s="5">
        <v>44227</v>
      </c>
      <c r="B49" s="5" t="s">
        <v>869</v>
      </c>
      <c r="C49" s="183">
        <v>70</v>
      </c>
      <c r="D49" s="5" t="s">
        <v>16330</v>
      </c>
      <c r="E49" s="140">
        <v>1.0694619999999999</v>
      </c>
      <c r="F49" s="140">
        <v>0.91642299999999999</v>
      </c>
      <c r="H49" s="2">
        <v>0</v>
      </c>
    </row>
    <row r="50" spans="1:8">
      <c r="A50" s="5">
        <v>44227</v>
      </c>
      <c r="B50" s="5" t="s">
        <v>869</v>
      </c>
      <c r="C50" s="183">
        <v>72</v>
      </c>
      <c r="D50" s="5" t="s">
        <v>16331</v>
      </c>
      <c r="E50" s="140">
        <v>1.048192</v>
      </c>
      <c r="F50" s="140">
        <v>0.87351400000000001</v>
      </c>
      <c r="H50" s="2">
        <v>0</v>
      </c>
    </row>
    <row r="51" spans="1:8">
      <c r="A51" s="5">
        <v>44227</v>
      </c>
      <c r="B51" s="5" t="s">
        <v>869</v>
      </c>
      <c r="C51" s="183">
        <v>74</v>
      </c>
      <c r="D51" s="5" t="s">
        <v>16332</v>
      </c>
      <c r="E51" s="140">
        <v>0.98389199999999999</v>
      </c>
      <c r="F51" s="140">
        <v>0.90667500000000001</v>
      </c>
      <c r="H51" s="2">
        <v>0</v>
      </c>
    </row>
    <row r="52" spans="1:8">
      <c r="A52" s="5">
        <v>44227</v>
      </c>
      <c r="B52" s="5" t="s">
        <v>869</v>
      </c>
      <c r="C52" s="183">
        <v>75</v>
      </c>
      <c r="D52" s="5" t="s">
        <v>16333</v>
      </c>
      <c r="E52" s="140">
        <v>0.99178500000000003</v>
      </c>
      <c r="F52" s="140">
        <v>0.62787599999999999</v>
      </c>
      <c r="H52" s="2">
        <v>0</v>
      </c>
    </row>
    <row r="53" spans="1:8">
      <c r="A53" s="5">
        <v>44227</v>
      </c>
      <c r="B53" s="5" t="s">
        <v>869</v>
      </c>
      <c r="C53" s="183">
        <v>77</v>
      </c>
      <c r="D53" s="5" t="s">
        <v>16334</v>
      </c>
      <c r="E53" s="140">
        <v>0.73133800000000004</v>
      </c>
      <c r="F53" s="140">
        <v>0.64168899999999995</v>
      </c>
      <c r="H53" s="2">
        <v>0</v>
      </c>
    </row>
    <row r="54" spans="1:8">
      <c r="A54" s="5">
        <v>44227</v>
      </c>
      <c r="B54" s="5" t="s">
        <v>869</v>
      </c>
      <c r="C54" s="183">
        <v>151</v>
      </c>
      <c r="D54" s="5" t="s">
        <v>16335</v>
      </c>
      <c r="E54" s="140">
        <v>0.80472500000000002</v>
      </c>
      <c r="F54" s="140">
        <v>0.78273499999999996</v>
      </c>
      <c r="H54" s="2">
        <v>0</v>
      </c>
    </row>
    <row r="55" spans="1:8">
      <c r="A55" s="5">
        <v>44227</v>
      </c>
      <c r="B55" s="5" t="s">
        <v>869</v>
      </c>
      <c r="C55" s="183">
        <v>152</v>
      </c>
      <c r="D55" s="5" t="s">
        <v>16336</v>
      </c>
      <c r="E55" s="140">
        <v>0.84362999999999999</v>
      </c>
      <c r="F55" s="140">
        <v>0.70850800000000003</v>
      </c>
      <c r="H55" s="2">
        <v>0</v>
      </c>
    </row>
    <row r="56" spans="1:8">
      <c r="A56" s="5">
        <v>44227</v>
      </c>
      <c r="B56" s="5" t="s">
        <v>869</v>
      </c>
      <c r="C56" s="183">
        <v>153</v>
      </c>
      <c r="D56" s="5" t="s">
        <v>16337</v>
      </c>
      <c r="E56" s="140">
        <v>0.86443000000000003</v>
      </c>
      <c r="F56" s="140">
        <v>0.746529</v>
      </c>
      <c r="H56" s="2">
        <v>0</v>
      </c>
    </row>
    <row r="57" spans="1:8">
      <c r="A57" s="5">
        <v>44227</v>
      </c>
      <c r="B57" s="5" t="s">
        <v>869</v>
      </c>
      <c r="C57" s="183">
        <v>154</v>
      </c>
      <c r="D57" s="5" t="s">
        <v>16338</v>
      </c>
      <c r="E57" s="140">
        <v>0.885849</v>
      </c>
      <c r="F57" s="140">
        <v>0.81365100000000001</v>
      </c>
      <c r="H57" s="2">
        <v>0</v>
      </c>
    </row>
    <row r="58" spans="1:8">
      <c r="A58" s="5">
        <v>44227</v>
      </c>
      <c r="B58" s="5" t="s">
        <v>869</v>
      </c>
      <c r="C58" s="183">
        <v>155</v>
      </c>
      <c r="D58" s="5" t="s">
        <v>16339</v>
      </c>
      <c r="E58" s="140">
        <v>0.94774000000000003</v>
      </c>
      <c r="F58" s="140">
        <v>0.90307499999999996</v>
      </c>
      <c r="H58" s="2">
        <v>0</v>
      </c>
    </row>
    <row r="59" spans="1:8">
      <c r="A59" s="5">
        <v>44227</v>
      </c>
      <c r="B59" s="5" t="s">
        <v>869</v>
      </c>
      <c r="C59" s="183">
        <v>156</v>
      </c>
      <c r="D59" s="5" t="s">
        <v>16340</v>
      </c>
      <c r="E59" s="140">
        <v>0.91606799999999999</v>
      </c>
      <c r="F59" s="140">
        <v>0.77116499999999999</v>
      </c>
      <c r="H59" s="2">
        <v>0</v>
      </c>
    </row>
    <row r="60" spans="1:8">
      <c r="A60" s="5">
        <v>44227</v>
      </c>
      <c r="B60" s="2" t="s">
        <v>869</v>
      </c>
      <c r="C60" s="183">
        <v>157</v>
      </c>
      <c r="D60" s="2" t="s">
        <v>16341</v>
      </c>
      <c r="E60" s="140">
        <v>0.93679400000000002</v>
      </c>
      <c r="F60" s="140">
        <v>0.75240899999999999</v>
      </c>
      <c r="H60" s="2">
        <v>0</v>
      </c>
    </row>
    <row r="61" spans="1:8">
      <c r="A61" s="5">
        <v>44227</v>
      </c>
      <c r="B61" s="2" t="s">
        <v>869</v>
      </c>
      <c r="C61" s="183">
        <v>158</v>
      </c>
      <c r="D61" s="2" t="s">
        <v>16342</v>
      </c>
      <c r="E61" s="140">
        <v>0.87976600000000005</v>
      </c>
      <c r="F61" s="140">
        <v>0.81984999999999997</v>
      </c>
      <c r="H61" s="2">
        <v>0</v>
      </c>
    </row>
    <row r="62" spans="1:8">
      <c r="A62" s="5">
        <v>44227</v>
      </c>
      <c r="B62" s="2" t="s">
        <v>869</v>
      </c>
      <c r="C62" s="183">
        <v>159</v>
      </c>
      <c r="D62" s="2" t="s">
        <v>4731</v>
      </c>
      <c r="E62" s="140">
        <v>1.1127670000000001</v>
      </c>
      <c r="F62" s="140">
        <v>0.885602</v>
      </c>
      <c r="H62" s="2">
        <v>0</v>
      </c>
    </row>
    <row r="63" spans="1:8">
      <c r="A63" s="5">
        <v>44227</v>
      </c>
      <c r="B63" s="2" t="s">
        <v>869</v>
      </c>
      <c r="C63" s="183">
        <v>160</v>
      </c>
      <c r="D63" s="2" t="s">
        <v>4322</v>
      </c>
      <c r="E63" s="140">
        <v>1.0573079999999999</v>
      </c>
      <c r="F63" s="140">
        <v>0.92567999999999995</v>
      </c>
      <c r="H63" s="2">
        <v>0</v>
      </c>
    </row>
  </sheetData>
  <phoneticPr fontId="3" type="noConversion"/>
  <conditionalFormatting sqref="A2">
    <cfRule type="expression" dxfId="469" priority="406">
      <formula>$H2=1</formula>
    </cfRule>
  </conditionalFormatting>
  <conditionalFormatting sqref="B2">
    <cfRule type="expression" dxfId="468" priority="405">
      <formula>$H2=1</formula>
    </cfRule>
  </conditionalFormatting>
  <conditionalFormatting sqref="C2">
    <cfRule type="expression" dxfId="467" priority="404">
      <formula>$H2=1</formula>
    </cfRule>
  </conditionalFormatting>
  <conditionalFormatting sqref="D2">
    <cfRule type="expression" dxfId="466" priority="403">
      <formula>$H2=1</formula>
    </cfRule>
  </conditionalFormatting>
  <conditionalFormatting sqref="E2">
    <cfRule type="expression" dxfId="465" priority="402">
      <formula>$H2=1</formula>
    </cfRule>
  </conditionalFormatting>
  <conditionalFormatting sqref="F2">
    <cfRule type="expression" dxfId="464" priority="401">
      <formula>$H2=1</formula>
    </cfRule>
  </conditionalFormatting>
  <conditionalFormatting sqref="G2">
    <cfRule type="expression" dxfId="463" priority="400">
      <formula>$H2=1</formula>
    </cfRule>
  </conditionalFormatting>
  <conditionalFormatting sqref="A3">
    <cfRule type="expression" dxfId="462" priority="399">
      <formula>$H3=1</formula>
    </cfRule>
  </conditionalFormatting>
  <conditionalFormatting sqref="B3">
    <cfRule type="expression" dxfId="461" priority="398">
      <formula>$H3=1</formula>
    </cfRule>
  </conditionalFormatting>
  <conditionalFormatting sqref="C3">
    <cfRule type="expression" dxfId="460" priority="397">
      <formula>$H3=1</formula>
    </cfRule>
  </conditionalFormatting>
  <conditionalFormatting sqref="D3">
    <cfRule type="expression" dxfId="459" priority="396">
      <formula>$H3=1</formula>
    </cfRule>
  </conditionalFormatting>
  <conditionalFormatting sqref="E3">
    <cfRule type="expression" dxfId="458" priority="395">
      <formula>$H3=1</formula>
    </cfRule>
  </conditionalFormatting>
  <conditionalFormatting sqref="F3">
    <cfRule type="expression" dxfId="457" priority="394">
      <formula>$H3=1</formula>
    </cfRule>
  </conditionalFormatting>
  <conditionalFormatting sqref="G3">
    <cfRule type="expression" dxfId="456" priority="393">
      <formula>$H3=1</formula>
    </cfRule>
  </conditionalFormatting>
  <conditionalFormatting sqref="A4">
    <cfRule type="expression" dxfId="455" priority="392">
      <formula>$H4=1</formula>
    </cfRule>
  </conditionalFormatting>
  <conditionalFormatting sqref="B4">
    <cfRule type="expression" dxfId="454" priority="391">
      <formula>$H4=1</formula>
    </cfRule>
  </conditionalFormatting>
  <conditionalFormatting sqref="C4">
    <cfRule type="expression" dxfId="453" priority="390">
      <formula>$H4=1</formula>
    </cfRule>
  </conditionalFormatting>
  <conditionalFormatting sqref="D4">
    <cfRule type="expression" dxfId="452" priority="389">
      <formula>$H4=1</formula>
    </cfRule>
  </conditionalFormatting>
  <conditionalFormatting sqref="E4">
    <cfRule type="expression" dxfId="451" priority="388">
      <formula>$H4=1</formula>
    </cfRule>
  </conditionalFormatting>
  <conditionalFormatting sqref="F4">
    <cfRule type="expression" dxfId="450" priority="387">
      <formula>$H4=1</formula>
    </cfRule>
  </conditionalFormatting>
  <conditionalFormatting sqref="G4">
    <cfRule type="expression" dxfId="449" priority="386">
      <formula>$H4=1</formula>
    </cfRule>
  </conditionalFormatting>
  <conditionalFormatting sqref="A5">
    <cfRule type="expression" dxfId="448" priority="385">
      <formula>$H5=1</formula>
    </cfRule>
  </conditionalFormatting>
  <conditionalFormatting sqref="B5">
    <cfRule type="expression" dxfId="447" priority="384">
      <formula>$H5=1</formula>
    </cfRule>
  </conditionalFormatting>
  <conditionalFormatting sqref="C5">
    <cfRule type="expression" dxfId="446" priority="383">
      <formula>$H5=1</formula>
    </cfRule>
  </conditionalFormatting>
  <conditionalFormatting sqref="D5">
    <cfRule type="expression" dxfId="445" priority="382">
      <formula>$H5=1</formula>
    </cfRule>
  </conditionalFormatting>
  <conditionalFormatting sqref="E5">
    <cfRule type="expression" dxfId="444" priority="381">
      <formula>$H5=1</formula>
    </cfRule>
  </conditionalFormatting>
  <conditionalFormatting sqref="F5">
    <cfRule type="expression" dxfId="443" priority="380">
      <formula>$H5=1</formula>
    </cfRule>
  </conditionalFormatting>
  <conditionalFormatting sqref="G5">
    <cfRule type="expression" dxfId="442" priority="379">
      <formula>$H5=1</formula>
    </cfRule>
  </conditionalFormatting>
  <conditionalFormatting sqref="A6">
    <cfRule type="expression" dxfId="441" priority="378">
      <formula>$H6=1</formula>
    </cfRule>
  </conditionalFormatting>
  <conditionalFormatting sqref="B6">
    <cfRule type="expression" dxfId="440" priority="377">
      <formula>$H6=1</formula>
    </cfRule>
  </conditionalFormatting>
  <conditionalFormatting sqref="C6">
    <cfRule type="expression" dxfId="439" priority="376">
      <formula>$H6=1</formula>
    </cfRule>
  </conditionalFormatting>
  <conditionalFormatting sqref="D6">
    <cfRule type="expression" dxfId="438" priority="375">
      <formula>$H6=1</formula>
    </cfRule>
  </conditionalFormatting>
  <conditionalFormatting sqref="E6">
    <cfRule type="expression" dxfId="437" priority="374">
      <formula>$H6=1</formula>
    </cfRule>
  </conditionalFormatting>
  <conditionalFormatting sqref="F6">
    <cfRule type="expression" dxfId="436" priority="373">
      <formula>$H6=1</formula>
    </cfRule>
  </conditionalFormatting>
  <conditionalFormatting sqref="G6">
    <cfRule type="expression" dxfId="435" priority="372">
      <formula>$H6=1</formula>
    </cfRule>
  </conditionalFormatting>
  <conditionalFormatting sqref="A7">
    <cfRule type="expression" dxfId="434" priority="371">
      <formula>$H7=1</formula>
    </cfRule>
  </conditionalFormatting>
  <conditionalFormatting sqref="B7">
    <cfRule type="expression" dxfId="433" priority="370">
      <formula>$H7=1</formula>
    </cfRule>
  </conditionalFormatting>
  <conditionalFormatting sqref="C7">
    <cfRule type="expression" dxfId="432" priority="369">
      <formula>$H7=1</formula>
    </cfRule>
  </conditionalFormatting>
  <conditionalFormatting sqref="D7">
    <cfRule type="expression" dxfId="431" priority="368">
      <formula>$H7=1</formula>
    </cfRule>
  </conditionalFormatting>
  <conditionalFormatting sqref="E7">
    <cfRule type="expression" dxfId="430" priority="367">
      <formula>$H7=1</formula>
    </cfRule>
  </conditionalFormatting>
  <conditionalFormatting sqref="F7">
    <cfRule type="expression" dxfId="429" priority="366">
      <formula>$H7=1</formula>
    </cfRule>
  </conditionalFormatting>
  <conditionalFormatting sqref="G7">
    <cfRule type="expression" dxfId="428" priority="365">
      <formula>$H7=1</formula>
    </cfRule>
  </conditionalFormatting>
  <conditionalFormatting sqref="A8">
    <cfRule type="expression" dxfId="427" priority="364">
      <formula>$H8=1</formula>
    </cfRule>
  </conditionalFormatting>
  <conditionalFormatting sqref="B8">
    <cfRule type="expression" dxfId="426" priority="363">
      <formula>$H8=1</formula>
    </cfRule>
  </conditionalFormatting>
  <conditionalFormatting sqref="C8">
    <cfRule type="expression" dxfId="425" priority="362">
      <formula>$H8=1</formula>
    </cfRule>
  </conditionalFormatting>
  <conditionalFormatting sqref="D8">
    <cfRule type="expression" dxfId="424" priority="361">
      <formula>$H8=1</formula>
    </cfRule>
  </conditionalFormatting>
  <conditionalFormatting sqref="E8">
    <cfRule type="expression" dxfId="423" priority="360">
      <formula>$H8=1</formula>
    </cfRule>
  </conditionalFormatting>
  <conditionalFormatting sqref="F8">
    <cfRule type="expression" dxfId="422" priority="359">
      <formula>$H8=1</formula>
    </cfRule>
  </conditionalFormatting>
  <conditionalFormatting sqref="G8">
    <cfRule type="expression" dxfId="421" priority="358">
      <formula>$H8=1</formula>
    </cfRule>
  </conditionalFormatting>
  <conditionalFormatting sqref="A9">
    <cfRule type="expression" dxfId="420" priority="357">
      <formula>$H9=1</formula>
    </cfRule>
  </conditionalFormatting>
  <conditionalFormatting sqref="B9">
    <cfRule type="expression" dxfId="419" priority="356">
      <formula>$H9=1</formula>
    </cfRule>
  </conditionalFormatting>
  <conditionalFormatting sqref="C9">
    <cfRule type="expression" dxfId="418" priority="355">
      <formula>$H9=1</formula>
    </cfRule>
  </conditionalFormatting>
  <conditionalFormatting sqref="D9">
    <cfRule type="expression" dxfId="417" priority="354">
      <formula>$H9=1</formula>
    </cfRule>
  </conditionalFormatting>
  <conditionalFormatting sqref="E9">
    <cfRule type="expression" dxfId="416" priority="353">
      <formula>$H9=1</formula>
    </cfRule>
  </conditionalFormatting>
  <conditionalFormatting sqref="F9">
    <cfRule type="expression" dxfId="415" priority="352">
      <formula>$H9=1</formula>
    </cfRule>
  </conditionalFormatting>
  <conditionalFormatting sqref="G9">
    <cfRule type="expression" dxfId="414" priority="351">
      <formula>$H9=1</formula>
    </cfRule>
  </conditionalFormatting>
  <conditionalFormatting sqref="A10">
    <cfRule type="expression" dxfId="413" priority="350">
      <formula>$H10=1</formula>
    </cfRule>
  </conditionalFormatting>
  <conditionalFormatting sqref="B10">
    <cfRule type="expression" dxfId="412" priority="349">
      <formula>$H10=1</formula>
    </cfRule>
  </conditionalFormatting>
  <conditionalFormatting sqref="C10">
    <cfRule type="expression" dxfId="411" priority="348">
      <formula>$H10=1</formula>
    </cfRule>
  </conditionalFormatting>
  <conditionalFormatting sqref="D10">
    <cfRule type="expression" dxfId="410" priority="347">
      <formula>$H10=1</formula>
    </cfRule>
  </conditionalFormatting>
  <conditionalFormatting sqref="E10">
    <cfRule type="expression" dxfId="409" priority="346">
      <formula>$H10=1</formula>
    </cfRule>
  </conditionalFormatting>
  <conditionalFormatting sqref="F10">
    <cfRule type="expression" dxfId="408" priority="345">
      <formula>$H10=1</formula>
    </cfRule>
  </conditionalFormatting>
  <conditionalFormatting sqref="G10">
    <cfRule type="expression" dxfId="407" priority="344">
      <formula>$H10=1</formula>
    </cfRule>
  </conditionalFormatting>
  <conditionalFormatting sqref="A11">
    <cfRule type="expression" dxfId="406" priority="343">
      <formula>$H11=1</formula>
    </cfRule>
  </conditionalFormatting>
  <conditionalFormatting sqref="B11">
    <cfRule type="expression" dxfId="405" priority="342">
      <formula>$H11=1</formula>
    </cfRule>
  </conditionalFormatting>
  <conditionalFormatting sqref="C11">
    <cfRule type="expression" dxfId="404" priority="341">
      <formula>$H11=1</formula>
    </cfRule>
  </conditionalFormatting>
  <conditionalFormatting sqref="D11">
    <cfRule type="expression" dxfId="403" priority="340">
      <formula>$H11=1</formula>
    </cfRule>
  </conditionalFormatting>
  <conditionalFormatting sqref="E11">
    <cfRule type="expression" dxfId="402" priority="339">
      <formula>$H11=1</formula>
    </cfRule>
  </conditionalFormatting>
  <conditionalFormatting sqref="F11">
    <cfRule type="expression" dxfId="401" priority="338">
      <formula>$H11=1</formula>
    </cfRule>
  </conditionalFormatting>
  <conditionalFormatting sqref="G11">
    <cfRule type="expression" dxfId="400" priority="337">
      <formula>$H11=1</formula>
    </cfRule>
  </conditionalFormatting>
  <conditionalFormatting sqref="A12">
    <cfRule type="expression" dxfId="399" priority="336">
      <formula>$H12=1</formula>
    </cfRule>
  </conditionalFormatting>
  <conditionalFormatting sqref="B12">
    <cfRule type="expression" dxfId="398" priority="335">
      <formula>$H12=1</formula>
    </cfRule>
  </conditionalFormatting>
  <conditionalFormatting sqref="C12">
    <cfRule type="expression" dxfId="397" priority="334">
      <formula>$H12=1</formula>
    </cfRule>
  </conditionalFormatting>
  <conditionalFormatting sqref="D12">
    <cfRule type="expression" dxfId="396" priority="333">
      <formula>$H12=1</formula>
    </cfRule>
  </conditionalFormatting>
  <conditionalFormatting sqref="E12">
    <cfRule type="expression" dxfId="395" priority="332">
      <formula>$H12=1</formula>
    </cfRule>
  </conditionalFormatting>
  <conditionalFormatting sqref="F12">
    <cfRule type="expression" dxfId="394" priority="331">
      <formula>$H12=1</formula>
    </cfRule>
  </conditionalFormatting>
  <conditionalFormatting sqref="G12">
    <cfRule type="expression" dxfId="393" priority="330">
      <formula>$H12=1</formula>
    </cfRule>
  </conditionalFormatting>
  <conditionalFormatting sqref="A13">
    <cfRule type="expression" dxfId="392" priority="329">
      <formula>$H13=1</formula>
    </cfRule>
  </conditionalFormatting>
  <conditionalFormatting sqref="B13">
    <cfRule type="expression" dxfId="391" priority="328">
      <formula>$H13=1</formula>
    </cfRule>
  </conditionalFormatting>
  <conditionalFormatting sqref="C13">
    <cfRule type="expression" dxfId="390" priority="327">
      <formula>$H13=1</formula>
    </cfRule>
  </conditionalFormatting>
  <conditionalFormatting sqref="D13">
    <cfRule type="expression" dxfId="389" priority="326">
      <formula>$H13=1</formula>
    </cfRule>
  </conditionalFormatting>
  <conditionalFormatting sqref="E13">
    <cfRule type="expression" dxfId="388" priority="325">
      <formula>$H13=1</formula>
    </cfRule>
  </conditionalFormatting>
  <conditionalFormatting sqref="F13">
    <cfRule type="expression" dxfId="387" priority="324">
      <formula>$H13=1</formula>
    </cfRule>
  </conditionalFormatting>
  <conditionalFormatting sqref="G13">
    <cfRule type="expression" dxfId="386" priority="323">
      <formula>$H13=1</formula>
    </cfRule>
  </conditionalFormatting>
  <conditionalFormatting sqref="A14">
    <cfRule type="expression" dxfId="385" priority="322">
      <formula>$H14=1</formula>
    </cfRule>
  </conditionalFormatting>
  <conditionalFormatting sqref="B14">
    <cfRule type="expression" dxfId="384" priority="321">
      <formula>$H14=1</formula>
    </cfRule>
  </conditionalFormatting>
  <conditionalFormatting sqref="C14">
    <cfRule type="expression" dxfId="383" priority="320">
      <formula>$H14=1</formula>
    </cfRule>
  </conditionalFormatting>
  <conditionalFormatting sqref="D14">
    <cfRule type="expression" dxfId="382" priority="319">
      <formula>$H14=1</formula>
    </cfRule>
  </conditionalFormatting>
  <conditionalFormatting sqref="E14">
    <cfRule type="expression" dxfId="381" priority="318">
      <formula>$H14=1</formula>
    </cfRule>
  </conditionalFormatting>
  <conditionalFormatting sqref="F14">
    <cfRule type="expression" dxfId="380" priority="317">
      <formula>$H14=1</formula>
    </cfRule>
  </conditionalFormatting>
  <conditionalFormatting sqref="G14">
    <cfRule type="expression" dxfId="379" priority="316">
      <formula>$H14=1</formula>
    </cfRule>
  </conditionalFormatting>
  <conditionalFormatting sqref="A15">
    <cfRule type="expression" dxfId="378" priority="315">
      <formula>$H15=1</formula>
    </cfRule>
  </conditionalFormatting>
  <conditionalFormatting sqref="B15">
    <cfRule type="expression" dxfId="377" priority="314">
      <formula>$H15=1</formula>
    </cfRule>
  </conditionalFormatting>
  <conditionalFormatting sqref="C15">
    <cfRule type="expression" dxfId="376" priority="313">
      <formula>$H15=1</formula>
    </cfRule>
  </conditionalFormatting>
  <conditionalFormatting sqref="D15">
    <cfRule type="expression" dxfId="375" priority="312">
      <formula>$H15=1</formula>
    </cfRule>
  </conditionalFormatting>
  <conditionalFormatting sqref="E15">
    <cfRule type="expression" dxfId="374" priority="311">
      <formula>$H15=1</formula>
    </cfRule>
  </conditionalFormatting>
  <conditionalFormatting sqref="F15">
    <cfRule type="expression" dxfId="373" priority="310">
      <formula>$H15=1</formula>
    </cfRule>
  </conditionalFormatting>
  <conditionalFormatting sqref="G15">
    <cfRule type="expression" dxfId="372" priority="309">
      <formula>$H15=1</formula>
    </cfRule>
  </conditionalFormatting>
  <conditionalFormatting sqref="A16">
    <cfRule type="expression" dxfId="371" priority="308">
      <formula>$H16=1</formula>
    </cfRule>
  </conditionalFormatting>
  <conditionalFormatting sqref="B16">
    <cfRule type="expression" dxfId="370" priority="307">
      <formula>$H16=1</formula>
    </cfRule>
  </conditionalFormatting>
  <conditionalFormatting sqref="C16">
    <cfRule type="expression" dxfId="369" priority="306">
      <formula>$H16=1</formula>
    </cfRule>
  </conditionalFormatting>
  <conditionalFormatting sqref="D16">
    <cfRule type="expression" dxfId="368" priority="305">
      <formula>$H16=1</formula>
    </cfRule>
  </conditionalFormatting>
  <conditionalFormatting sqref="E16">
    <cfRule type="expression" dxfId="367" priority="304">
      <formula>$H16=1</formula>
    </cfRule>
  </conditionalFormatting>
  <conditionalFormatting sqref="F16">
    <cfRule type="expression" dxfId="366" priority="303">
      <formula>$H16=1</formula>
    </cfRule>
  </conditionalFormatting>
  <conditionalFormatting sqref="G16">
    <cfRule type="expression" dxfId="365" priority="302">
      <formula>$H16=1</formula>
    </cfRule>
  </conditionalFormatting>
  <conditionalFormatting sqref="A17">
    <cfRule type="expression" dxfId="364" priority="301">
      <formula>$H17=1</formula>
    </cfRule>
  </conditionalFormatting>
  <conditionalFormatting sqref="B17">
    <cfRule type="expression" dxfId="363" priority="300">
      <formula>$H17=1</formula>
    </cfRule>
  </conditionalFormatting>
  <conditionalFormatting sqref="C17">
    <cfRule type="expression" dxfId="362" priority="299">
      <formula>$H17=1</formula>
    </cfRule>
  </conditionalFormatting>
  <conditionalFormatting sqref="D17">
    <cfRule type="expression" dxfId="361" priority="298">
      <formula>$H17=1</formula>
    </cfRule>
  </conditionalFormatting>
  <conditionalFormatting sqref="E17">
    <cfRule type="expression" dxfId="360" priority="297">
      <formula>$H17=1</formula>
    </cfRule>
  </conditionalFormatting>
  <conditionalFormatting sqref="F17">
    <cfRule type="expression" dxfId="359" priority="296">
      <formula>$H17=1</formula>
    </cfRule>
  </conditionalFormatting>
  <conditionalFormatting sqref="G17">
    <cfRule type="expression" dxfId="358" priority="295">
      <formula>$H17=1</formula>
    </cfRule>
  </conditionalFormatting>
  <conditionalFormatting sqref="A18">
    <cfRule type="expression" dxfId="357" priority="294">
      <formula>$H18=1</formula>
    </cfRule>
  </conditionalFormatting>
  <conditionalFormatting sqref="B18">
    <cfRule type="expression" dxfId="356" priority="293">
      <formula>$H18=1</formula>
    </cfRule>
  </conditionalFormatting>
  <conditionalFormatting sqref="C18">
    <cfRule type="expression" dxfId="355" priority="292">
      <formula>$H18=1</formula>
    </cfRule>
  </conditionalFormatting>
  <conditionalFormatting sqref="D18">
    <cfRule type="expression" dxfId="354" priority="291">
      <formula>$H18=1</formula>
    </cfRule>
  </conditionalFormatting>
  <conditionalFormatting sqref="E18">
    <cfRule type="expression" dxfId="353" priority="290">
      <formula>$H18=1</formula>
    </cfRule>
  </conditionalFormatting>
  <conditionalFormatting sqref="F18">
    <cfRule type="expression" dxfId="352" priority="289">
      <formula>$H18=1</formula>
    </cfRule>
  </conditionalFormatting>
  <conditionalFormatting sqref="G18">
    <cfRule type="expression" dxfId="351" priority="288">
      <formula>$H18=1</formula>
    </cfRule>
  </conditionalFormatting>
  <conditionalFormatting sqref="A19">
    <cfRule type="expression" dxfId="350" priority="287">
      <formula>$H19=1</formula>
    </cfRule>
  </conditionalFormatting>
  <conditionalFormatting sqref="B19">
    <cfRule type="expression" dxfId="349" priority="286">
      <formula>$H19=1</formula>
    </cfRule>
  </conditionalFormatting>
  <conditionalFormatting sqref="C19">
    <cfRule type="expression" dxfId="348" priority="285">
      <formula>$H19=1</formula>
    </cfRule>
  </conditionalFormatting>
  <conditionalFormatting sqref="D19">
    <cfRule type="expression" dxfId="347" priority="284">
      <formula>$H19=1</formula>
    </cfRule>
  </conditionalFormatting>
  <conditionalFormatting sqref="E19">
    <cfRule type="expression" dxfId="346" priority="283">
      <formula>$H19=1</formula>
    </cfRule>
  </conditionalFormatting>
  <conditionalFormatting sqref="F19">
    <cfRule type="expression" dxfId="345" priority="282">
      <formula>$H19=1</formula>
    </cfRule>
  </conditionalFormatting>
  <conditionalFormatting sqref="G19">
    <cfRule type="expression" dxfId="344" priority="281">
      <formula>$H19=1</formula>
    </cfRule>
  </conditionalFormatting>
  <conditionalFormatting sqref="A20">
    <cfRule type="expression" dxfId="343" priority="280">
      <formula>$H20=1</formula>
    </cfRule>
  </conditionalFormatting>
  <conditionalFormatting sqref="B20">
    <cfRule type="expression" dxfId="342" priority="279">
      <formula>$H20=1</formula>
    </cfRule>
  </conditionalFormatting>
  <conditionalFormatting sqref="C20">
    <cfRule type="expression" dxfId="341" priority="278">
      <formula>$H20=1</formula>
    </cfRule>
  </conditionalFormatting>
  <conditionalFormatting sqref="D20">
    <cfRule type="expression" dxfId="340" priority="277">
      <formula>$H20=1</formula>
    </cfRule>
  </conditionalFormatting>
  <conditionalFormatting sqref="E20">
    <cfRule type="expression" dxfId="339" priority="276">
      <formula>$H20=1</formula>
    </cfRule>
  </conditionalFormatting>
  <conditionalFormatting sqref="F20">
    <cfRule type="expression" dxfId="338" priority="275">
      <formula>$H20=1</formula>
    </cfRule>
  </conditionalFormatting>
  <conditionalFormatting sqref="G20">
    <cfRule type="expression" dxfId="337" priority="274">
      <formula>$H20=1</formula>
    </cfRule>
  </conditionalFormatting>
  <conditionalFormatting sqref="A21">
    <cfRule type="expression" dxfId="336" priority="273">
      <formula>$H21=1</formula>
    </cfRule>
  </conditionalFormatting>
  <conditionalFormatting sqref="B21">
    <cfRule type="expression" dxfId="335" priority="272">
      <formula>$H21=1</formula>
    </cfRule>
  </conditionalFormatting>
  <conditionalFormatting sqref="C21">
    <cfRule type="expression" dxfId="334" priority="271">
      <formula>$H21=1</formula>
    </cfRule>
  </conditionalFormatting>
  <conditionalFormatting sqref="D21">
    <cfRule type="expression" dxfId="333" priority="270">
      <formula>$H21=1</formula>
    </cfRule>
  </conditionalFormatting>
  <conditionalFormatting sqref="E21">
    <cfRule type="expression" dxfId="332" priority="269">
      <formula>$H21=1</formula>
    </cfRule>
  </conditionalFormatting>
  <conditionalFormatting sqref="F21">
    <cfRule type="expression" dxfId="331" priority="268">
      <formula>$H21=1</formula>
    </cfRule>
  </conditionalFormatting>
  <conditionalFormatting sqref="G21">
    <cfRule type="expression" dxfId="330" priority="267">
      <formula>$H21=1</formula>
    </cfRule>
  </conditionalFormatting>
  <conditionalFormatting sqref="A22">
    <cfRule type="expression" dxfId="329" priority="266">
      <formula>$H22=1</formula>
    </cfRule>
  </conditionalFormatting>
  <conditionalFormatting sqref="B22">
    <cfRule type="expression" dxfId="328" priority="265">
      <formula>$H22=1</formula>
    </cfRule>
  </conditionalFormatting>
  <conditionalFormatting sqref="C22">
    <cfRule type="expression" dxfId="327" priority="264">
      <formula>$H22=1</formula>
    </cfRule>
  </conditionalFormatting>
  <conditionalFormatting sqref="D22">
    <cfRule type="expression" dxfId="326" priority="263">
      <formula>$H22=1</formula>
    </cfRule>
  </conditionalFormatting>
  <conditionalFormatting sqref="E22">
    <cfRule type="expression" dxfId="325" priority="262">
      <formula>$H22=1</formula>
    </cfRule>
  </conditionalFormatting>
  <conditionalFormatting sqref="F22">
    <cfRule type="expression" dxfId="324" priority="261">
      <formula>$H22=1</formula>
    </cfRule>
  </conditionalFormatting>
  <conditionalFormatting sqref="G22">
    <cfRule type="expression" dxfId="323" priority="260">
      <formula>$H22=1</formula>
    </cfRule>
  </conditionalFormatting>
  <conditionalFormatting sqref="A23">
    <cfRule type="expression" dxfId="322" priority="259">
      <formula>$H23=1</formula>
    </cfRule>
  </conditionalFormatting>
  <conditionalFormatting sqref="B23">
    <cfRule type="expression" dxfId="321" priority="258">
      <formula>$H23=1</formula>
    </cfRule>
  </conditionalFormatting>
  <conditionalFormatting sqref="C23">
    <cfRule type="expression" dxfId="320" priority="257">
      <formula>$H23=1</formula>
    </cfRule>
  </conditionalFormatting>
  <conditionalFormatting sqref="D23">
    <cfRule type="expression" dxfId="319" priority="256">
      <formula>$H23=1</formula>
    </cfRule>
  </conditionalFormatting>
  <conditionalFormatting sqref="E23">
    <cfRule type="expression" dxfId="318" priority="255">
      <formula>$H23=1</formula>
    </cfRule>
  </conditionalFormatting>
  <conditionalFormatting sqref="F23">
    <cfRule type="expression" dxfId="317" priority="254">
      <formula>$H23=1</formula>
    </cfRule>
  </conditionalFormatting>
  <conditionalFormatting sqref="G23">
    <cfRule type="expression" dxfId="316" priority="253">
      <formula>$H23=1</formula>
    </cfRule>
  </conditionalFormatting>
  <conditionalFormatting sqref="A24">
    <cfRule type="expression" dxfId="315" priority="252">
      <formula>$H24=1</formula>
    </cfRule>
  </conditionalFormatting>
  <conditionalFormatting sqref="B24">
    <cfRule type="expression" dxfId="314" priority="251">
      <formula>$H24=1</formula>
    </cfRule>
  </conditionalFormatting>
  <conditionalFormatting sqref="C24">
    <cfRule type="expression" dxfId="313" priority="250">
      <formula>$H24=1</formula>
    </cfRule>
  </conditionalFormatting>
  <conditionalFormatting sqref="D24">
    <cfRule type="expression" dxfId="312" priority="249">
      <formula>$H24=1</formula>
    </cfRule>
  </conditionalFormatting>
  <conditionalFormatting sqref="E24">
    <cfRule type="expression" dxfId="311" priority="248">
      <formula>$H24=1</formula>
    </cfRule>
  </conditionalFormatting>
  <conditionalFormatting sqref="F24">
    <cfRule type="expression" dxfId="310" priority="247">
      <formula>$H24=1</formula>
    </cfRule>
  </conditionalFormatting>
  <conditionalFormatting sqref="G24">
    <cfRule type="expression" dxfId="309" priority="246">
      <formula>$H24=1</formula>
    </cfRule>
  </conditionalFormatting>
  <conditionalFormatting sqref="A25">
    <cfRule type="expression" dxfId="308" priority="245">
      <formula>$H25=1</formula>
    </cfRule>
  </conditionalFormatting>
  <conditionalFormatting sqref="B25">
    <cfRule type="expression" dxfId="307" priority="244">
      <formula>$H25=1</formula>
    </cfRule>
  </conditionalFormatting>
  <conditionalFormatting sqref="C25">
    <cfRule type="expression" dxfId="306" priority="243">
      <formula>$H25=1</formula>
    </cfRule>
  </conditionalFormatting>
  <conditionalFormatting sqref="D25">
    <cfRule type="expression" dxfId="305" priority="242">
      <formula>$H25=1</formula>
    </cfRule>
  </conditionalFormatting>
  <conditionalFormatting sqref="E25">
    <cfRule type="expression" dxfId="304" priority="241">
      <formula>$H25=1</formula>
    </cfRule>
  </conditionalFormatting>
  <conditionalFormatting sqref="F25">
    <cfRule type="expression" dxfId="303" priority="240">
      <formula>$H25=1</formula>
    </cfRule>
  </conditionalFormatting>
  <conditionalFormatting sqref="G25">
    <cfRule type="expression" dxfId="302" priority="239">
      <formula>$H25=1</formula>
    </cfRule>
  </conditionalFormatting>
  <conditionalFormatting sqref="A26">
    <cfRule type="expression" dxfId="301" priority="238">
      <formula>$H26=1</formula>
    </cfRule>
  </conditionalFormatting>
  <conditionalFormatting sqref="B26">
    <cfRule type="expression" dxfId="300" priority="237">
      <formula>$H26=1</formula>
    </cfRule>
  </conditionalFormatting>
  <conditionalFormatting sqref="C26">
    <cfRule type="expression" dxfId="299" priority="236">
      <formula>$H26=1</formula>
    </cfRule>
  </conditionalFormatting>
  <conditionalFormatting sqref="D26">
    <cfRule type="expression" dxfId="298" priority="235">
      <formula>$H26=1</formula>
    </cfRule>
  </conditionalFormatting>
  <conditionalFormatting sqref="E26">
    <cfRule type="expression" dxfId="297" priority="234">
      <formula>$H26=1</formula>
    </cfRule>
  </conditionalFormatting>
  <conditionalFormatting sqref="F26">
    <cfRule type="expression" dxfId="296" priority="233">
      <formula>$H26=1</formula>
    </cfRule>
  </conditionalFormatting>
  <conditionalFormatting sqref="G26">
    <cfRule type="expression" dxfId="295" priority="232">
      <formula>$H26=1</formula>
    </cfRule>
  </conditionalFormatting>
  <conditionalFormatting sqref="A27">
    <cfRule type="expression" dxfId="294" priority="231">
      <formula>$H27=1</formula>
    </cfRule>
  </conditionalFormatting>
  <conditionalFormatting sqref="B27">
    <cfRule type="expression" dxfId="293" priority="230">
      <formula>$H27=1</formula>
    </cfRule>
  </conditionalFormatting>
  <conditionalFormatting sqref="C27">
    <cfRule type="expression" dxfId="292" priority="229">
      <formula>$H27=1</formula>
    </cfRule>
  </conditionalFormatting>
  <conditionalFormatting sqref="D27">
    <cfRule type="expression" dxfId="291" priority="228">
      <formula>$H27=1</formula>
    </cfRule>
  </conditionalFormatting>
  <conditionalFormatting sqref="E27">
    <cfRule type="expression" dxfId="290" priority="227">
      <formula>$H27=1</formula>
    </cfRule>
  </conditionalFormatting>
  <conditionalFormatting sqref="F27">
    <cfRule type="expression" dxfId="289" priority="226">
      <formula>$H27=1</formula>
    </cfRule>
  </conditionalFormatting>
  <conditionalFormatting sqref="G27">
    <cfRule type="expression" dxfId="288" priority="225">
      <formula>$H27=1</formula>
    </cfRule>
  </conditionalFormatting>
  <conditionalFormatting sqref="A28">
    <cfRule type="expression" dxfId="287" priority="224">
      <formula>$H28=1</formula>
    </cfRule>
  </conditionalFormatting>
  <conditionalFormatting sqref="B28">
    <cfRule type="expression" dxfId="286" priority="223">
      <formula>$H28=1</formula>
    </cfRule>
  </conditionalFormatting>
  <conditionalFormatting sqref="C28">
    <cfRule type="expression" dxfId="285" priority="222">
      <formula>$H28=1</formula>
    </cfRule>
  </conditionalFormatting>
  <conditionalFormatting sqref="D28">
    <cfRule type="expression" dxfId="284" priority="221">
      <formula>$H28=1</formula>
    </cfRule>
  </conditionalFormatting>
  <conditionalFormatting sqref="E28">
    <cfRule type="expression" dxfId="283" priority="220">
      <formula>$H28=1</formula>
    </cfRule>
  </conditionalFormatting>
  <conditionalFormatting sqref="F28">
    <cfRule type="expression" dxfId="282" priority="219">
      <formula>$H28=1</formula>
    </cfRule>
  </conditionalFormatting>
  <conditionalFormatting sqref="G28">
    <cfRule type="expression" dxfId="281" priority="218">
      <formula>$H28=1</formula>
    </cfRule>
  </conditionalFormatting>
  <conditionalFormatting sqref="A29">
    <cfRule type="expression" dxfId="280" priority="217">
      <formula>$H29=1</formula>
    </cfRule>
  </conditionalFormatting>
  <conditionalFormatting sqref="B29">
    <cfRule type="expression" dxfId="279" priority="216">
      <formula>$H29=1</formula>
    </cfRule>
  </conditionalFormatting>
  <conditionalFormatting sqref="C29">
    <cfRule type="expression" dxfId="278" priority="215">
      <formula>$H29=1</formula>
    </cfRule>
  </conditionalFormatting>
  <conditionalFormatting sqref="D29">
    <cfRule type="expression" dxfId="277" priority="214">
      <formula>$H29=1</formula>
    </cfRule>
  </conditionalFormatting>
  <conditionalFormatting sqref="E29">
    <cfRule type="expression" dxfId="276" priority="213">
      <formula>$H29=1</formula>
    </cfRule>
  </conditionalFormatting>
  <conditionalFormatting sqref="F29">
    <cfRule type="expression" dxfId="275" priority="212">
      <formula>$H29=1</formula>
    </cfRule>
  </conditionalFormatting>
  <conditionalFormatting sqref="G29">
    <cfRule type="expression" dxfId="274" priority="211">
      <formula>$H29=1</formula>
    </cfRule>
  </conditionalFormatting>
  <conditionalFormatting sqref="A30">
    <cfRule type="expression" dxfId="273" priority="210">
      <formula>$H30=1</formula>
    </cfRule>
  </conditionalFormatting>
  <conditionalFormatting sqref="B30">
    <cfRule type="expression" dxfId="272" priority="209">
      <formula>$H30=1</formula>
    </cfRule>
  </conditionalFormatting>
  <conditionalFormatting sqref="C30">
    <cfRule type="expression" dxfId="271" priority="208">
      <formula>$H30=1</formula>
    </cfRule>
  </conditionalFormatting>
  <conditionalFormatting sqref="D30">
    <cfRule type="expression" dxfId="270" priority="207">
      <formula>$H30=1</formula>
    </cfRule>
  </conditionalFormatting>
  <conditionalFormatting sqref="E30">
    <cfRule type="expression" dxfId="269" priority="206">
      <formula>$H30=1</formula>
    </cfRule>
  </conditionalFormatting>
  <conditionalFormatting sqref="F30">
    <cfRule type="expression" dxfId="268" priority="205">
      <formula>$H30=1</formula>
    </cfRule>
  </conditionalFormatting>
  <conditionalFormatting sqref="G30">
    <cfRule type="expression" dxfId="267" priority="204">
      <formula>$H30=1</formula>
    </cfRule>
  </conditionalFormatting>
  <conditionalFormatting sqref="A31">
    <cfRule type="expression" dxfId="266" priority="203">
      <formula>$H31=1</formula>
    </cfRule>
  </conditionalFormatting>
  <conditionalFormatting sqref="B31">
    <cfRule type="expression" dxfId="265" priority="202">
      <formula>$H31=1</formula>
    </cfRule>
  </conditionalFormatting>
  <conditionalFormatting sqref="C31">
    <cfRule type="expression" dxfId="264" priority="201">
      <formula>$H31=1</formula>
    </cfRule>
  </conditionalFormatting>
  <conditionalFormatting sqref="D31">
    <cfRule type="expression" dxfId="263" priority="200">
      <formula>$H31=1</formula>
    </cfRule>
  </conditionalFormatting>
  <conditionalFormatting sqref="E31">
    <cfRule type="expression" dxfId="262" priority="199">
      <formula>$H31=1</formula>
    </cfRule>
  </conditionalFormatting>
  <conditionalFormatting sqref="F31">
    <cfRule type="expression" dxfId="261" priority="198">
      <formula>$H31=1</formula>
    </cfRule>
  </conditionalFormatting>
  <conditionalFormatting sqref="G31">
    <cfRule type="expression" dxfId="260" priority="197">
      <formula>$H31=1</formula>
    </cfRule>
  </conditionalFormatting>
  <conditionalFormatting sqref="A32">
    <cfRule type="expression" dxfId="259" priority="196">
      <formula>$H32=1</formula>
    </cfRule>
  </conditionalFormatting>
  <conditionalFormatting sqref="B32">
    <cfRule type="expression" dxfId="258" priority="195">
      <formula>$H32=1</formula>
    </cfRule>
  </conditionalFormatting>
  <conditionalFormatting sqref="C32">
    <cfRule type="expression" dxfId="257" priority="194">
      <formula>$H32=1</formula>
    </cfRule>
  </conditionalFormatting>
  <conditionalFormatting sqref="D32">
    <cfRule type="expression" dxfId="256" priority="193">
      <formula>$H32=1</formula>
    </cfRule>
  </conditionalFormatting>
  <conditionalFormatting sqref="E32">
    <cfRule type="expression" dxfId="255" priority="192">
      <formula>$H32=1</formula>
    </cfRule>
  </conditionalFormatting>
  <conditionalFormatting sqref="F32">
    <cfRule type="expression" dxfId="254" priority="191">
      <formula>$H32=1</formula>
    </cfRule>
  </conditionalFormatting>
  <conditionalFormatting sqref="G32">
    <cfRule type="expression" dxfId="253" priority="190">
      <formula>$H32=1</formula>
    </cfRule>
  </conditionalFormatting>
  <conditionalFormatting sqref="A33">
    <cfRule type="expression" dxfId="252" priority="189">
      <formula>$H33=1</formula>
    </cfRule>
  </conditionalFormatting>
  <conditionalFormatting sqref="B33">
    <cfRule type="expression" dxfId="251" priority="188">
      <formula>$H33=1</formula>
    </cfRule>
  </conditionalFormatting>
  <conditionalFormatting sqref="C33">
    <cfRule type="expression" dxfId="250" priority="187">
      <formula>$H33=1</formula>
    </cfRule>
  </conditionalFormatting>
  <conditionalFormatting sqref="D33">
    <cfRule type="expression" dxfId="249" priority="186">
      <formula>$H33=1</formula>
    </cfRule>
  </conditionalFormatting>
  <conditionalFormatting sqref="E33">
    <cfRule type="expression" dxfId="248" priority="185">
      <formula>$H33=1</formula>
    </cfRule>
  </conditionalFormatting>
  <conditionalFormatting sqref="F33">
    <cfRule type="expression" dxfId="247" priority="184">
      <formula>$H33=1</formula>
    </cfRule>
  </conditionalFormatting>
  <conditionalFormatting sqref="G33">
    <cfRule type="expression" dxfId="246" priority="183">
      <formula>$H33=1</formula>
    </cfRule>
  </conditionalFormatting>
  <conditionalFormatting sqref="A34">
    <cfRule type="expression" dxfId="245" priority="182">
      <formula>$H34=1</formula>
    </cfRule>
  </conditionalFormatting>
  <conditionalFormatting sqref="B34">
    <cfRule type="expression" dxfId="244" priority="181">
      <formula>$H34=1</formula>
    </cfRule>
  </conditionalFormatting>
  <conditionalFormatting sqref="C34">
    <cfRule type="expression" dxfId="243" priority="180">
      <formula>$H34=1</formula>
    </cfRule>
  </conditionalFormatting>
  <conditionalFormatting sqref="D34">
    <cfRule type="expression" dxfId="242" priority="179">
      <formula>$H34=1</formula>
    </cfRule>
  </conditionalFormatting>
  <conditionalFormatting sqref="E34">
    <cfRule type="expression" dxfId="241" priority="178">
      <formula>$H34=1</formula>
    </cfRule>
  </conditionalFormatting>
  <conditionalFormatting sqref="F34">
    <cfRule type="expression" dxfId="240" priority="177">
      <formula>$H34=1</formula>
    </cfRule>
  </conditionalFormatting>
  <conditionalFormatting sqref="G34">
    <cfRule type="expression" dxfId="239" priority="176">
      <formula>$H34=1</formula>
    </cfRule>
  </conditionalFormatting>
  <conditionalFormatting sqref="A35">
    <cfRule type="expression" dxfId="238" priority="175">
      <formula>$H35=1</formula>
    </cfRule>
  </conditionalFormatting>
  <conditionalFormatting sqref="B35">
    <cfRule type="expression" dxfId="237" priority="174">
      <formula>$H35=1</formula>
    </cfRule>
  </conditionalFormatting>
  <conditionalFormatting sqref="C35">
    <cfRule type="expression" dxfId="236" priority="173">
      <formula>$H35=1</formula>
    </cfRule>
  </conditionalFormatting>
  <conditionalFormatting sqref="D35">
    <cfRule type="expression" dxfId="235" priority="172">
      <formula>$H35=1</formula>
    </cfRule>
  </conditionalFormatting>
  <conditionalFormatting sqref="E35">
    <cfRule type="expression" dxfId="234" priority="171">
      <formula>$H35=1</formula>
    </cfRule>
  </conditionalFormatting>
  <conditionalFormatting sqref="F35">
    <cfRule type="expression" dxfId="233" priority="170">
      <formula>$H35=1</formula>
    </cfRule>
  </conditionalFormatting>
  <conditionalFormatting sqref="G35">
    <cfRule type="expression" dxfId="232" priority="169">
      <formula>$H35=1</formula>
    </cfRule>
  </conditionalFormatting>
  <conditionalFormatting sqref="A36">
    <cfRule type="expression" dxfId="231" priority="168">
      <formula>$H36=1</formula>
    </cfRule>
  </conditionalFormatting>
  <conditionalFormatting sqref="B36">
    <cfRule type="expression" dxfId="230" priority="167">
      <formula>$H36=1</formula>
    </cfRule>
  </conditionalFormatting>
  <conditionalFormatting sqref="C36">
    <cfRule type="expression" dxfId="229" priority="166">
      <formula>$H36=1</formula>
    </cfRule>
  </conditionalFormatting>
  <conditionalFormatting sqref="D36">
    <cfRule type="expression" dxfId="228" priority="165">
      <formula>$H36=1</formula>
    </cfRule>
  </conditionalFormatting>
  <conditionalFormatting sqref="E36">
    <cfRule type="expression" dxfId="227" priority="164">
      <formula>$H36=1</formula>
    </cfRule>
  </conditionalFormatting>
  <conditionalFormatting sqref="F36">
    <cfRule type="expression" dxfId="226" priority="163">
      <formula>$H36=1</formula>
    </cfRule>
  </conditionalFormatting>
  <conditionalFormatting sqref="G36">
    <cfRule type="expression" dxfId="225" priority="162">
      <formula>$H36=1</formula>
    </cfRule>
  </conditionalFormatting>
  <conditionalFormatting sqref="A37">
    <cfRule type="expression" dxfId="224" priority="161">
      <formula>$H37=1</formula>
    </cfRule>
  </conditionalFormatting>
  <conditionalFormatting sqref="B37">
    <cfRule type="expression" dxfId="223" priority="160">
      <formula>$H37=1</formula>
    </cfRule>
  </conditionalFormatting>
  <conditionalFormatting sqref="C37">
    <cfRule type="expression" dxfId="222" priority="159">
      <formula>$H37=1</formula>
    </cfRule>
  </conditionalFormatting>
  <conditionalFormatting sqref="D37">
    <cfRule type="expression" dxfId="221" priority="158">
      <formula>$H37=1</formula>
    </cfRule>
  </conditionalFormatting>
  <conditionalFormatting sqref="E37">
    <cfRule type="expression" dxfId="220" priority="157">
      <formula>$H37=1</formula>
    </cfRule>
  </conditionalFormatting>
  <conditionalFormatting sqref="F37">
    <cfRule type="expression" dxfId="219" priority="156">
      <formula>$H37=1</formula>
    </cfRule>
  </conditionalFormatting>
  <conditionalFormatting sqref="G37">
    <cfRule type="expression" dxfId="218" priority="155">
      <formula>$H37=1</formula>
    </cfRule>
  </conditionalFormatting>
  <conditionalFormatting sqref="A38">
    <cfRule type="expression" dxfId="217" priority="154">
      <formula>$H38=1</formula>
    </cfRule>
  </conditionalFormatting>
  <conditionalFormatting sqref="B38">
    <cfRule type="expression" dxfId="216" priority="153">
      <formula>$H38=1</formula>
    </cfRule>
  </conditionalFormatting>
  <conditionalFormatting sqref="C38">
    <cfRule type="expression" dxfId="215" priority="152">
      <formula>$H38=1</formula>
    </cfRule>
  </conditionalFormatting>
  <conditionalFormatting sqref="D38">
    <cfRule type="expression" dxfId="214" priority="151">
      <formula>$H38=1</formula>
    </cfRule>
  </conditionalFormatting>
  <conditionalFormatting sqref="E38">
    <cfRule type="expression" dxfId="213" priority="150">
      <formula>$H38=1</formula>
    </cfRule>
  </conditionalFormatting>
  <conditionalFormatting sqref="F38">
    <cfRule type="expression" dxfId="212" priority="149">
      <formula>$H38=1</formula>
    </cfRule>
  </conditionalFormatting>
  <conditionalFormatting sqref="G38">
    <cfRule type="expression" dxfId="211" priority="148">
      <formula>$H38=1</formula>
    </cfRule>
  </conditionalFormatting>
  <conditionalFormatting sqref="A39">
    <cfRule type="expression" dxfId="210" priority="147">
      <formula>$H39=1</formula>
    </cfRule>
  </conditionalFormatting>
  <conditionalFormatting sqref="B39">
    <cfRule type="expression" dxfId="209" priority="146">
      <formula>$H39=1</formula>
    </cfRule>
  </conditionalFormatting>
  <conditionalFormatting sqref="C39">
    <cfRule type="expression" dxfId="208" priority="145">
      <formula>$H39=1</formula>
    </cfRule>
  </conditionalFormatting>
  <conditionalFormatting sqref="D39">
    <cfRule type="expression" dxfId="207" priority="144">
      <formula>$H39=1</formula>
    </cfRule>
  </conditionalFormatting>
  <conditionalFormatting sqref="E39">
    <cfRule type="expression" dxfId="206" priority="143">
      <formula>$H39=1</formula>
    </cfRule>
  </conditionalFormatting>
  <conditionalFormatting sqref="F39">
    <cfRule type="expression" dxfId="205" priority="142">
      <formula>$H39=1</formula>
    </cfRule>
  </conditionalFormatting>
  <conditionalFormatting sqref="G39">
    <cfRule type="expression" dxfId="204" priority="141">
      <formula>$H39=1</formula>
    </cfRule>
  </conditionalFormatting>
  <conditionalFormatting sqref="A40">
    <cfRule type="expression" dxfId="203" priority="140">
      <formula>$H40=1</formula>
    </cfRule>
  </conditionalFormatting>
  <conditionalFormatting sqref="B40">
    <cfRule type="expression" dxfId="202" priority="139">
      <formula>$H40=1</formula>
    </cfRule>
  </conditionalFormatting>
  <conditionalFormatting sqref="C40">
    <cfRule type="expression" dxfId="201" priority="138">
      <formula>$H40=1</formula>
    </cfRule>
  </conditionalFormatting>
  <conditionalFormatting sqref="D40">
    <cfRule type="expression" dxfId="200" priority="137">
      <formula>$H40=1</formula>
    </cfRule>
  </conditionalFormatting>
  <conditionalFormatting sqref="E40">
    <cfRule type="expression" dxfId="199" priority="136">
      <formula>$H40=1</formula>
    </cfRule>
  </conditionalFormatting>
  <conditionalFormatting sqref="F40">
    <cfRule type="expression" dxfId="198" priority="135">
      <formula>$H40=1</formula>
    </cfRule>
  </conditionalFormatting>
  <conditionalFormatting sqref="G40">
    <cfRule type="expression" dxfId="197" priority="134">
      <formula>$H40=1</formula>
    </cfRule>
  </conditionalFormatting>
  <conditionalFormatting sqref="A41">
    <cfRule type="expression" dxfId="196" priority="133">
      <formula>$H41=1</formula>
    </cfRule>
  </conditionalFormatting>
  <conditionalFormatting sqref="B41">
    <cfRule type="expression" dxfId="195" priority="132">
      <formula>$H41=1</formula>
    </cfRule>
  </conditionalFormatting>
  <conditionalFormatting sqref="C41">
    <cfRule type="expression" dxfId="194" priority="131">
      <formula>$H41=1</formula>
    </cfRule>
  </conditionalFormatting>
  <conditionalFormatting sqref="D41">
    <cfRule type="expression" dxfId="193" priority="130">
      <formula>$H41=1</formula>
    </cfRule>
  </conditionalFormatting>
  <conditionalFormatting sqref="E41">
    <cfRule type="expression" dxfId="192" priority="129">
      <formula>$H41=1</formula>
    </cfRule>
  </conditionalFormatting>
  <conditionalFormatting sqref="F41">
    <cfRule type="expression" dxfId="191" priority="128">
      <formula>$H41=1</formula>
    </cfRule>
  </conditionalFormatting>
  <conditionalFormatting sqref="G41">
    <cfRule type="expression" dxfId="190" priority="127">
      <formula>$H41=1</formula>
    </cfRule>
  </conditionalFormatting>
  <conditionalFormatting sqref="A42">
    <cfRule type="expression" dxfId="189" priority="126">
      <formula>$H42=1</formula>
    </cfRule>
  </conditionalFormatting>
  <conditionalFormatting sqref="B42">
    <cfRule type="expression" dxfId="188" priority="125">
      <formula>$H42=1</formula>
    </cfRule>
  </conditionalFormatting>
  <conditionalFormatting sqref="C42">
    <cfRule type="expression" dxfId="187" priority="124">
      <formula>$H42=1</formula>
    </cfRule>
  </conditionalFormatting>
  <conditionalFormatting sqref="D42">
    <cfRule type="expression" dxfId="186" priority="123">
      <formula>$H42=1</formula>
    </cfRule>
  </conditionalFormatting>
  <conditionalFormatting sqref="E42">
    <cfRule type="expression" dxfId="185" priority="122">
      <formula>$H42=1</formula>
    </cfRule>
  </conditionalFormatting>
  <conditionalFormatting sqref="F42">
    <cfRule type="expression" dxfId="184" priority="121">
      <formula>$H42=1</formula>
    </cfRule>
  </conditionalFormatting>
  <conditionalFormatting sqref="G42">
    <cfRule type="expression" dxfId="183" priority="120">
      <formula>$H42=1</formula>
    </cfRule>
  </conditionalFormatting>
  <conditionalFormatting sqref="A43">
    <cfRule type="expression" dxfId="182" priority="119">
      <formula>$H43=1</formula>
    </cfRule>
  </conditionalFormatting>
  <conditionalFormatting sqref="B43">
    <cfRule type="expression" dxfId="181" priority="118">
      <formula>$H43=1</formula>
    </cfRule>
  </conditionalFormatting>
  <conditionalFormatting sqref="C43">
    <cfRule type="expression" dxfId="180" priority="117">
      <formula>$H43=1</formula>
    </cfRule>
  </conditionalFormatting>
  <conditionalFormatting sqref="D43">
    <cfRule type="expression" dxfId="179" priority="116">
      <formula>$H43=1</formula>
    </cfRule>
  </conditionalFormatting>
  <conditionalFormatting sqref="E43">
    <cfRule type="expression" dxfId="178" priority="115">
      <formula>$H43=1</formula>
    </cfRule>
  </conditionalFormatting>
  <conditionalFormatting sqref="F43">
    <cfRule type="expression" dxfId="177" priority="114">
      <formula>$H43=1</formula>
    </cfRule>
  </conditionalFormatting>
  <conditionalFormatting sqref="G43">
    <cfRule type="expression" dxfId="176" priority="113">
      <formula>$H43=1</formula>
    </cfRule>
  </conditionalFormatting>
  <conditionalFormatting sqref="A44">
    <cfRule type="expression" dxfId="175" priority="112">
      <formula>$H44=1</formula>
    </cfRule>
  </conditionalFormatting>
  <conditionalFormatting sqref="B44">
    <cfRule type="expression" dxfId="174" priority="111">
      <formula>$H44=1</formula>
    </cfRule>
  </conditionalFormatting>
  <conditionalFormatting sqref="C44">
    <cfRule type="expression" dxfId="173" priority="110">
      <formula>$H44=1</formula>
    </cfRule>
  </conditionalFormatting>
  <conditionalFormatting sqref="D44">
    <cfRule type="expression" dxfId="172" priority="109">
      <formula>$H44=1</formula>
    </cfRule>
  </conditionalFormatting>
  <conditionalFormatting sqref="E44">
    <cfRule type="expression" dxfId="171" priority="108">
      <formula>$H44=1</formula>
    </cfRule>
  </conditionalFormatting>
  <conditionalFormatting sqref="F44">
    <cfRule type="expression" dxfId="170" priority="107">
      <formula>$H44=1</formula>
    </cfRule>
  </conditionalFormatting>
  <conditionalFormatting sqref="G44">
    <cfRule type="expression" dxfId="169" priority="106">
      <formula>$H44=1</formula>
    </cfRule>
  </conditionalFormatting>
  <conditionalFormatting sqref="A45">
    <cfRule type="expression" dxfId="168" priority="105">
      <formula>$H45=1</formula>
    </cfRule>
  </conditionalFormatting>
  <conditionalFormatting sqref="B45">
    <cfRule type="expression" dxfId="167" priority="104">
      <formula>$H45=1</formula>
    </cfRule>
  </conditionalFormatting>
  <conditionalFormatting sqref="C45">
    <cfRule type="expression" dxfId="166" priority="103">
      <formula>$H45=1</formula>
    </cfRule>
  </conditionalFormatting>
  <conditionalFormatting sqref="D45">
    <cfRule type="expression" dxfId="165" priority="102">
      <formula>$H45=1</formula>
    </cfRule>
  </conditionalFormatting>
  <conditionalFormatting sqref="E45">
    <cfRule type="expression" dxfId="164" priority="101">
      <formula>$H45=1</formula>
    </cfRule>
  </conditionalFormatting>
  <conditionalFormatting sqref="F45">
    <cfRule type="expression" dxfId="163" priority="100">
      <formula>$H45=1</formula>
    </cfRule>
  </conditionalFormatting>
  <conditionalFormatting sqref="G45">
    <cfRule type="expression" dxfId="162" priority="99">
      <formula>$H45=1</formula>
    </cfRule>
  </conditionalFormatting>
  <conditionalFormatting sqref="A46">
    <cfRule type="expression" dxfId="161" priority="98">
      <formula>$H46=1</formula>
    </cfRule>
  </conditionalFormatting>
  <conditionalFormatting sqref="B46">
    <cfRule type="expression" dxfId="160" priority="97">
      <formula>$H46=1</formula>
    </cfRule>
  </conditionalFormatting>
  <conditionalFormatting sqref="C46">
    <cfRule type="expression" dxfId="159" priority="96">
      <formula>$H46=1</formula>
    </cfRule>
  </conditionalFormatting>
  <conditionalFormatting sqref="D46">
    <cfRule type="expression" dxfId="158" priority="95">
      <formula>$H46=1</formula>
    </cfRule>
  </conditionalFormatting>
  <conditionalFormatting sqref="E46">
    <cfRule type="expression" dxfId="157" priority="94">
      <formula>$H46=1</formula>
    </cfRule>
  </conditionalFormatting>
  <conditionalFormatting sqref="F46">
    <cfRule type="expression" dxfId="156" priority="93">
      <formula>$H46=1</formula>
    </cfRule>
  </conditionalFormatting>
  <conditionalFormatting sqref="G46">
    <cfRule type="expression" dxfId="155" priority="92">
      <formula>$H46=1</formula>
    </cfRule>
  </conditionalFormatting>
  <conditionalFormatting sqref="A47">
    <cfRule type="expression" dxfId="154" priority="91">
      <formula>$H47=1</formula>
    </cfRule>
  </conditionalFormatting>
  <conditionalFormatting sqref="B47">
    <cfRule type="expression" dxfId="153" priority="90">
      <formula>$H47=1</formula>
    </cfRule>
  </conditionalFormatting>
  <conditionalFormatting sqref="C47">
    <cfRule type="expression" dxfId="152" priority="89">
      <formula>$H47=1</formula>
    </cfRule>
  </conditionalFormatting>
  <conditionalFormatting sqref="D47">
    <cfRule type="expression" dxfId="151" priority="88">
      <formula>$H47=1</formula>
    </cfRule>
  </conditionalFormatting>
  <conditionalFormatting sqref="E47">
    <cfRule type="expression" dxfId="150" priority="87">
      <formula>$H47=1</formula>
    </cfRule>
  </conditionalFormatting>
  <conditionalFormatting sqref="F47">
    <cfRule type="expression" dxfId="149" priority="86">
      <formula>$H47=1</formula>
    </cfRule>
  </conditionalFormatting>
  <conditionalFormatting sqref="G47">
    <cfRule type="expression" dxfId="148" priority="85">
      <formula>$H47=1</formula>
    </cfRule>
  </conditionalFormatting>
  <conditionalFormatting sqref="A48">
    <cfRule type="expression" dxfId="147" priority="84">
      <formula>$H48=1</formula>
    </cfRule>
  </conditionalFormatting>
  <conditionalFormatting sqref="B48">
    <cfRule type="expression" dxfId="146" priority="83">
      <formula>$H48=1</formula>
    </cfRule>
  </conditionalFormatting>
  <conditionalFormatting sqref="C48">
    <cfRule type="expression" dxfId="145" priority="82">
      <formula>$H48=1</formula>
    </cfRule>
  </conditionalFormatting>
  <conditionalFormatting sqref="D48">
    <cfRule type="expression" dxfId="144" priority="81">
      <formula>$H48=1</formula>
    </cfRule>
  </conditionalFormatting>
  <conditionalFormatting sqref="E48">
    <cfRule type="expression" dxfId="143" priority="80">
      <formula>$H48=1</formula>
    </cfRule>
  </conditionalFormatting>
  <conditionalFormatting sqref="F48">
    <cfRule type="expression" dxfId="142" priority="79">
      <formula>$H48=1</formula>
    </cfRule>
  </conditionalFormatting>
  <conditionalFormatting sqref="G48">
    <cfRule type="expression" dxfId="141" priority="78">
      <formula>$H48=1</formula>
    </cfRule>
  </conditionalFormatting>
  <conditionalFormatting sqref="A49">
    <cfRule type="expression" dxfId="140" priority="77">
      <formula>$H49=1</formula>
    </cfRule>
  </conditionalFormatting>
  <conditionalFormatting sqref="B49">
    <cfRule type="expression" dxfId="139" priority="76">
      <formula>$H49=1</formula>
    </cfRule>
  </conditionalFormatting>
  <conditionalFormatting sqref="C49">
    <cfRule type="expression" dxfId="138" priority="75">
      <formula>$H49=1</formula>
    </cfRule>
  </conditionalFormatting>
  <conditionalFormatting sqref="D49">
    <cfRule type="expression" dxfId="137" priority="74">
      <formula>$H49=1</formula>
    </cfRule>
  </conditionalFormatting>
  <conditionalFormatting sqref="E49">
    <cfRule type="expression" dxfId="136" priority="73">
      <formula>$H49=1</formula>
    </cfRule>
  </conditionalFormatting>
  <conditionalFormatting sqref="F49">
    <cfRule type="expression" dxfId="135" priority="72">
      <formula>$H49=1</formula>
    </cfRule>
  </conditionalFormatting>
  <conditionalFormatting sqref="G49">
    <cfRule type="expression" dxfId="134" priority="71">
      <formula>$H49=1</formula>
    </cfRule>
  </conditionalFormatting>
  <conditionalFormatting sqref="A50">
    <cfRule type="expression" dxfId="133" priority="70">
      <formula>$H50=1</formula>
    </cfRule>
  </conditionalFormatting>
  <conditionalFormatting sqref="B50">
    <cfRule type="expression" dxfId="132" priority="69">
      <formula>$H50=1</formula>
    </cfRule>
  </conditionalFormatting>
  <conditionalFormatting sqref="C50">
    <cfRule type="expression" dxfId="131" priority="68">
      <formula>$H50=1</formula>
    </cfRule>
  </conditionalFormatting>
  <conditionalFormatting sqref="D50">
    <cfRule type="expression" dxfId="130" priority="67">
      <formula>$H50=1</formula>
    </cfRule>
  </conditionalFormatting>
  <conditionalFormatting sqref="E50">
    <cfRule type="expression" dxfId="129" priority="66">
      <formula>$H50=1</formula>
    </cfRule>
  </conditionalFormatting>
  <conditionalFormatting sqref="F50">
    <cfRule type="expression" dxfId="128" priority="65">
      <formula>$H50=1</formula>
    </cfRule>
  </conditionalFormatting>
  <conditionalFormatting sqref="G50">
    <cfRule type="expression" dxfId="127" priority="64">
      <formula>$H50=1</formula>
    </cfRule>
  </conditionalFormatting>
  <conditionalFormatting sqref="A51">
    <cfRule type="expression" dxfId="126" priority="63">
      <formula>$H51=1</formula>
    </cfRule>
  </conditionalFormatting>
  <conditionalFormatting sqref="B51">
    <cfRule type="expression" dxfId="125" priority="62">
      <formula>$H51=1</formula>
    </cfRule>
  </conditionalFormatting>
  <conditionalFormatting sqref="C51">
    <cfRule type="expression" dxfId="124" priority="61">
      <formula>$H51=1</formula>
    </cfRule>
  </conditionalFormatting>
  <conditionalFormatting sqref="D51">
    <cfRule type="expression" dxfId="123" priority="60">
      <formula>$H51=1</formula>
    </cfRule>
  </conditionalFormatting>
  <conditionalFormatting sqref="E51">
    <cfRule type="expression" dxfId="122" priority="59">
      <formula>$H51=1</formula>
    </cfRule>
  </conditionalFormatting>
  <conditionalFormatting sqref="F51">
    <cfRule type="expression" dxfId="121" priority="58">
      <formula>$H51=1</formula>
    </cfRule>
  </conditionalFormatting>
  <conditionalFormatting sqref="G51">
    <cfRule type="expression" dxfId="120" priority="57">
      <formula>$H51=1</formula>
    </cfRule>
  </conditionalFormatting>
  <conditionalFormatting sqref="A52">
    <cfRule type="expression" dxfId="119" priority="56">
      <formula>$H52=1</formula>
    </cfRule>
  </conditionalFormatting>
  <conditionalFormatting sqref="B52">
    <cfRule type="expression" dxfId="118" priority="55">
      <formula>$H52=1</formula>
    </cfRule>
  </conditionalFormatting>
  <conditionalFormatting sqref="C52">
    <cfRule type="expression" dxfId="117" priority="54">
      <formula>$H52=1</formula>
    </cfRule>
  </conditionalFormatting>
  <conditionalFormatting sqref="D52">
    <cfRule type="expression" dxfId="116" priority="53">
      <formula>$H52=1</formula>
    </cfRule>
  </conditionalFormatting>
  <conditionalFormatting sqref="E52">
    <cfRule type="expression" dxfId="115" priority="52">
      <formula>$H52=1</formula>
    </cfRule>
  </conditionalFormatting>
  <conditionalFormatting sqref="F52">
    <cfRule type="expression" dxfId="114" priority="51">
      <formula>$H52=1</formula>
    </cfRule>
  </conditionalFormatting>
  <conditionalFormatting sqref="G52">
    <cfRule type="expression" dxfId="113" priority="50">
      <formula>$H52=1</formula>
    </cfRule>
  </conditionalFormatting>
  <conditionalFormatting sqref="A53">
    <cfRule type="expression" dxfId="112" priority="49">
      <formula>$H53=1</formula>
    </cfRule>
  </conditionalFormatting>
  <conditionalFormatting sqref="B53">
    <cfRule type="expression" dxfId="111" priority="48">
      <formula>$H53=1</formula>
    </cfRule>
  </conditionalFormatting>
  <conditionalFormatting sqref="C53">
    <cfRule type="expression" dxfId="110" priority="47">
      <formula>$H53=1</formula>
    </cfRule>
  </conditionalFormatting>
  <conditionalFormatting sqref="D53">
    <cfRule type="expression" dxfId="109" priority="46">
      <formula>$H53=1</formula>
    </cfRule>
  </conditionalFormatting>
  <conditionalFormatting sqref="E53">
    <cfRule type="expression" dxfId="108" priority="45">
      <formula>$H53=1</formula>
    </cfRule>
  </conditionalFormatting>
  <conditionalFormatting sqref="F53">
    <cfRule type="expression" dxfId="107" priority="44">
      <formula>$H53=1</formula>
    </cfRule>
  </conditionalFormatting>
  <conditionalFormatting sqref="G53">
    <cfRule type="expression" dxfId="106" priority="43">
      <formula>$H53=1</formula>
    </cfRule>
  </conditionalFormatting>
  <conditionalFormatting sqref="A54">
    <cfRule type="expression" dxfId="105" priority="42">
      <formula>$H54=1</formula>
    </cfRule>
  </conditionalFormatting>
  <conditionalFormatting sqref="B54">
    <cfRule type="expression" dxfId="104" priority="41">
      <formula>$H54=1</formula>
    </cfRule>
  </conditionalFormatting>
  <conditionalFormatting sqref="C54">
    <cfRule type="expression" dxfId="103" priority="40">
      <formula>$H54=1</formula>
    </cfRule>
  </conditionalFormatting>
  <conditionalFormatting sqref="D54">
    <cfRule type="expression" dxfId="102" priority="39">
      <formula>$H54=1</formula>
    </cfRule>
  </conditionalFormatting>
  <conditionalFormatting sqref="E54">
    <cfRule type="expression" dxfId="101" priority="38">
      <formula>$H54=1</formula>
    </cfRule>
  </conditionalFormatting>
  <conditionalFormatting sqref="F54">
    <cfRule type="expression" dxfId="100" priority="37">
      <formula>$H54=1</formula>
    </cfRule>
  </conditionalFormatting>
  <conditionalFormatting sqref="G54">
    <cfRule type="expression" dxfId="99" priority="36">
      <formula>$H54=1</formula>
    </cfRule>
  </conditionalFormatting>
  <conditionalFormatting sqref="A55">
    <cfRule type="expression" dxfId="98" priority="35">
      <formula>$H55=1</formula>
    </cfRule>
  </conditionalFormatting>
  <conditionalFormatting sqref="B55">
    <cfRule type="expression" dxfId="97" priority="34">
      <formula>$H55=1</formula>
    </cfRule>
  </conditionalFormatting>
  <conditionalFormatting sqref="C55">
    <cfRule type="expression" dxfId="96" priority="33">
      <formula>$H55=1</formula>
    </cfRule>
  </conditionalFormatting>
  <conditionalFormatting sqref="D55">
    <cfRule type="expression" dxfId="95" priority="32">
      <formula>$H55=1</formula>
    </cfRule>
  </conditionalFormatting>
  <conditionalFormatting sqref="E55">
    <cfRule type="expression" dxfId="94" priority="31">
      <formula>$H55=1</formula>
    </cfRule>
  </conditionalFormatting>
  <conditionalFormatting sqref="F55">
    <cfRule type="expression" dxfId="93" priority="30">
      <formula>$H55=1</formula>
    </cfRule>
  </conditionalFormatting>
  <conditionalFormatting sqref="G55">
    <cfRule type="expression" dxfId="92" priority="29">
      <formula>$H55=1</formula>
    </cfRule>
  </conditionalFormatting>
  <conditionalFormatting sqref="A56">
    <cfRule type="expression" dxfId="91" priority="28">
      <formula>$H56=1</formula>
    </cfRule>
  </conditionalFormatting>
  <conditionalFormatting sqref="B56">
    <cfRule type="expression" dxfId="90" priority="27">
      <formula>$H56=1</formula>
    </cfRule>
  </conditionalFormatting>
  <conditionalFormatting sqref="C56">
    <cfRule type="expression" dxfId="89" priority="26">
      <formula>$H56=1</formula>
    </cfRule>
  </conditionalFormatting>
  <conditionalFormatting sqref="D56">
    <cfRule type="expression" dxfId="88" priority="25">
      <formula>$H56=1</formula>
    </cfRule>
  </conditionalFormatting>
  <conditionalFormatting sqref="E56">
    <cfRule type="expression" dxfId="87" priority="24">
      <formula>$H56=1</formula>
    </cfRule>
  </conditionalFormatting>
  <conditionalFormatting sqref="F56">
    <cfRule type="expression" dxfId="86" priority="23">
      <formula>$H56=1</formula>
    </cfRule>
  </conditionalFormatting>
  <conditionalFormatting sqref="G56">
    <cfRule type="expression" dxfId="85" priority="22">
      <formula>$H56=1</formula>
    </cfRule>
  </conditionalFormatting>
  <conditionalFormatting sqref="A57">
    <cfRule type="expression" dxfId="84" priority="21">
      <formula>$H57=1</formula>
    </cfRule>
  </conditionalFormatting>
  <conditionalFormatting sqref="B57">
    <cfRule type="expression" dxfId="83" priority="20">
      <formula>$H57=1</formula>
    </cfRule>
  </conditionalFormatting>
  <conditionalFormatting sqref="C57">
    <cfRule type="expression" dxfId="82" priority="19">
      <formula>$H57=1</formula>
    </cfRule>
  </conditionalFormatting>
  <conditionalFormatting sqref="D57">
    <cfRule type="expression" dxfId="81" priority="18">
      <formula>$H57=1</formula>
    </cfRule>
  </conditionalFormatting>
  <conditionalFormatting sqref="E57">
    <cfRule type="expression" dxfId="80" priority="17">
      <formula>$H57=1</formula>
    </cfRule>
  </conditionalFormatting>
  <conditionalFormatting sqref="F57">
    <cfRule type="expression" dxfId="79" priority="16">
      <formula>$H57=1</formula>
    </cfRule>
  </conditionalFormatting>
  <conditionalFormatting sqref="G57">
    <cfRule type="expression" dxfId="78" priority="15">
      <formula>$H57=1</formula>
    </cfRule>
  </conditionalFormatting>
  <conditionalFormatting sqref="A58">
    <cfRule type="expression" dxfId="77" priority="14">
      <formula>$H58=1</formula>
    </cfRule>
  </conditionalFormatting>
  <conditionalFormatting sqref="B58">
    <cfRule type="expression" dxfId="76" priority="13">
      <formula>$H58=1</formula>
    </cfRule>
  </conditionalFormatting>
  <conditionalFormatting sqref="C58">
    <cfRule type="expression" dxfId="75" priority="12">
      <formula>$H58=1</formula>
    </cfRule>
  </conditionalFormatting>
  <conditionalFormatting sqref="D58">
    <cfRule type="expression" dxfId="74" priority="11">
      <formula>$H58=1</formula>
    </cfRule>
  </conditionalFormatting>
  <conditionalFormatting sqref="E58">
    <cfRule type="expression" dxfId="73" priority="10">
      <formula>$H58=1</formula>
    </cfRule>
  </conditionalFormatting>
  <conditionalFormatting sqref="F58">
    <cfRule type="expression" dxfId="72" priority="9">
      <formula>$H58=1</formula>
    </cfRule>
  </conditionalFormatting>
  <conditionalFormatting sqref="G58">
    <cfRule type="expression" dxfId="71" priority="8">
      <formula>$H58=1</formula>
    </cfRule>
  </conditionalFormatting>
  <conditionalFormatting sqref="A59">
    <cfRule type="expression" dxfId="70" priority="7">
      <formula>$H59=1</formula>
    </cfRule>
  </conditionalFormatting>
  <conditionalFormatting sqref="B59">
    <cfRule type="expression" dxfId="69" priority="6">
      <formula>$H59=1</formula>
    </cfRule>
  </conditionalFormatting>
  <conditionalFormatting sqref="C59">
    <cfRule type="expression" dxfId="68" priority="5">
      <formula>$H59=1</formula>
    </cfRule>
  </conditionalFormatting>
  <conditionalFormatting sqref="D59">
    <cfRule type="expression" dxfId="67" priority="4">
      <formula>$H59=1</formula>
    </cfRule>
  </conditionalFormatting>
  <conditionalFormatting sqref="E59">
    <cfRule type="expression" dxfId="66" priority="3">
      <formula>$H59=1</formula>
    </cfRule>
  </conditionalFormatting>
  <conditionalFormatting sqref="F59">
    <cfRule type="expression" dxfId="65" priority="2">
      <formula>$H59=1</formula>
    </cfRule>
  </conditionalFormatting>
  <conditionalFormatting sqref="G59">
    <cfRule type="expression" dxfId="64" priority="1">
      <formula>$H59=1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T25"/>
  <sheetViews>
    <sheetView showGridLines="0" topLeftCell="B3" zoomScale="85" zoomScaleNormal="85" workbookViewId="0">
      <selection activeCell="L4" sqref="L4:L5"/>
    </sheetView>
  </sheetViews>
  <sheetFormatPr defaultColWidth="9" defaultRowHeight="15" customHeight="1"/>
  <cols>
    <col min="1" max="1" width="6.5" style="511" hidden="1" customWidth="1"/>
    <col min="2" max="2" width="15.625" style="511" customWidth="1"/>
    <col min="3" max="3" width="16.125" style="511" bestFit="1" customWidth="1"/>
    <col min="4" max="4" width="9.625" style="512" customWidth="1"/>
    <col min="5" max="5" width="9.625" style="511" customWidth="1"/>
    <col min="6" max="6" width="15.625" style="511" customWidth="1"/>
    <col min="7" max="10" width="7.625" style="511" customWidth="1"/>
    <col min="11" max="12" width="11.625" style="513" customWidth="1"/>
    <col min="13" max="13" width="9.25" style="511" bestFit="1" customWidth="1"/>
    <col min="14" max="14" width="7.625" style="511" customWidth="1"/>
    <col min="15" max="15" width="8.625" style="511" customWidth="1"/>
    <col min="16" max="20" width="9.625" style="511" customWidth="1"/>
    <col min="21" max="21" width="7.625" style="511" customWidth="1"/>
    <col min="22" max="22" width="7.625" style="717" customWidth="1"/>
    <col min="23" max="23" width="12.75" style="511" customWidth="1"/>
    <col min="24" max="24" width="40.625" style="511" customWidth="1"/>
    <col min="25" max="25" width="11.5" style="511" bestFit="1" customWidth="1"/>
    <col min="26" max="30" width="9" style="511"/>
    <col min="31" max="31" width="12.625" style="511" customWidth="1"/>
    <col min="32" max="39" width="7.625" style="511" customWidth="1"/>
    <col min="40" max="16384" width="9" style="511"/>
  </cols>
  <sheetData>
    <row r="1" spans="1:39" ht="15" hidden="1" customHeight="1">
      <c r="B1" s="515" t="s">
        <v>517</v>
      </c>
      <c r="C1" s="515"/>
      <c r="D1" s="516"/>
      <c r="E1" s="515"/>
      <c r="F1" s="515"/>
      <c r="G1" s="515"/>
      <c r="H1" s="515"/>
      <c r="I1" s="515"/>
      <c r="J1" s="515"/>
      <c r="K1" s="517" t="s">
        <v>518</v>
      </c>
      <c r="L1" s="517" t="s">
        <v>519</v>
      </c>
      <c r="M1" s="515"/>
      <c r="N1" s="515"/>
      <c r="O1" s="515" t="s">
        <v>520</v>
      </c>
      <c r="P1" s="515" t="s">
        <v>521</v>
      </c>
      <c r="Q1" s="515"/>
      <c r="R1" s="515" t="s">
        <v>522</v>
      </c>
      <c r="S1" s="518"/>
      <c r="T1" s="518"/>
      <c r="U1" s="518"/>
      <c r="V1" s="712"/>
      <c r="W1" s="518"/>
      <c r="X1" s="518"/>
      <c r="Y1" s="518"/>
      <c r="Z1" s="518"/>
      <c r="AA1" s="518"/>
      <c r="AB1" s="518"/>
      <c r="AC1" s="518"/>
      <c r="AD1" s="518"/>
      <c r="AE1" s="518"/>
      <c r="AF1" s="518"/>
      <c r="AG1" s="511" t="s">
        <v>523</v>
      </c>
    </row>
    <row r="2" spans="1:39" customFormat="1" ht="15" hidden="1" customHeight="1">
      <c r="V2" s="698"/>
    </row>
    <row r="3" spans="1:39" customFormat="1" ht="15" customHeight="1">
      <c r="V3" s="698"/>
    </row>
    <row r="4" spans="1:39" s="512" customFormat="1" ht="15" customHeight="1">
      <c r="A4" s="546"/>
      <c r="B4" s="9" t="s">
        <v>566</v>
      </c>
      <c r="C4" s="9"/>
      <c r="D4" s="9"/>
      <c r="E4" s="9"/>
      <c r="F4" s="9" t="s">
        <v>568</v>
      </c>
      <c r="G4" s="9" t="s">
        <v>565</v>
      </c>
      <c r="H4" s="8"/>
      <c r="I4" s="8"/>
      <c r="J4" s="8"/>
      <c r="K4" s="12" t="str">
        <f>TABLE!BB3&amp;"
~"&amp;TABLE!BB4</f>
        <v>20220501
~20240430</v>
      </c>
      <c r="L4" s="12" t="str">
        <f>TABLE!BB7&amp;"
/"&amp;TABLE!BB8</f>
        <v>20234Q
/20240430</v>
      </c>
      <c r="O4" s="7" t="s">
        <v>454</v>
      </c>
      <c r="P4" s="677" t="s">
        <v>230</v>
      </c>
      <c r="Q4" s="676" t="s">
        <v>231</v>
      </c>
      <c r="R4" s="691" t="s">
        <v>232</v>
      </c>
      <c r="S4" s="12" t="str">
        <f>"특이사항
기준일 "&amp;TABLE!BB9</f>
        <v>특이사항
기준일 20234Q</v>
      </c>
      <c r="T4" s="11"/>
      <c r="V4" s="713"/>
    </row>
    <row r="5" spans="1:39" s="512" customFormat="1" ht="15" customHeight="1">
      <c r="A5" s="546"/>
      <c r="B5" s="9"/>
      <c r="C5" s="9"/>
      <c r="D5" s="9"/>
      <c r="E5" s="8"/>
      <c r="F5" s="8"/>
      <c r="G5" s="9"/>
      <c r="H5" s="8"/>
      <c r="I5" s="8"/>
      <c r="J5" s="8"/>
      <c r="K5" s="12"/>
      <c r="L5" s="12"/>
      <c r="O5" s="6"/>
      <c r="P5" s="678">
        <f ca="1">WACC!E39</f>
        <v>15427948.43692149</v>
      </c>
      <c r="Q5" s="679">
        <f>WACC!F12</f>
        <v>119.53285070345581</v>
      </c>
      <c r="R5" s="692">
        <f>WACC!$E$30/100</f>
        <v>0.22</v>
      </c>
      <c r="S5" s="11"/>
      <c r="T5" s="11"/>
      <c r="V5" s="713"/>
      <c r="AA5" s="512" t="str">
        <f>"배수 기준: " &amp; TABLE!BB14</f>
        <v>배수 기준: 20234Q</v>
      </c>
      <c r="AF5" s="519" t="str">
        <f>"과거매출액 // 매출컨센서스 기준일 "&amp;TEXT(TABLE!BB10,"yyyy-mm-dd")&amp;" (단위 : 백만원)"</f>
        <v>과거매출액 // 매출컨센서스 기준일 2024-05-17 (단위 : 백만원)</v>
      </c>
    </row>
    <row r="6" spans="1:39" s="512" customFormat="1" ht="15" customHeight="1">
      <c r="A6" s="547" t="s">
        <v>524</v>
      </c>
      <c r="B6" s="8"/>
      <c r="C6" s="8"/>
      <c r="D6" s="8"/>
      <c r="E6" s="8"/>
      <c r="F6" s="8"/>
      <c r="G6" s="8"/>
      <c r="H6" s="8"/>
      <c r="I6" s="8"/>
      <c r="J6" s="8"/>
      <c r="K6" s="704">
        <f ca="1">AVERAGEIF($O:$O,1,K:K)</f>
        <v>0.86399999999999999</v>
      </c>
      <c r="L6" s="705">
        <f ca="1">AVERAGEIF($O:$O,1,L:L)</f>
        <v>464.43825206521359</v>
      </c>
      <c r="O6" s="6"/>
      <c r="P6" s="680">
        <f ca="1">AVERAGEIF($O:$O,1,P:P)</f>
        <v>0.18690705820202019</v>
      </c>
      <c r="Q6" s="680">
        <f ca="1">AVERAGEIF($O:$O,1,Q:Q)</f>
        <v>0.36117101937319696</v>
      </c>
      <c r="R6" s="693">
        <f ca="1">AVERAGEIF($O:$O,1,R:R)</f>
        <v>0.86399999999999999</v>
      </c>
      <c r="S6" s="10"/>
      <c r="T6" s="10"/>
      <c r="V6" s="713"/>
    </row>
    <row r="7" spans="1:39" s="512" customFormat="1" ht="30" customHeight="1">
      <c r="A7" s="520"/>
      <c r="B7" s="706" t="s">
        <v>233</v>
      </c>
      <c r="C7" s="706" t="s">
        <v>234</v>
      </c>
      <c r="D7" s="706" t="s">
        <v>759</v>
      </c>
      <c r="E7" s="706" t="s">
        <v>235</v>
      </c>
      <c r="F7" s="706" t="s">
        <v>236</v>
      </c>
      <c r="G7" s="706" t="s">
        <v>758</v>
      </c>
      <c r="H7" s="706" t="s">
        <v>237</v>
      </c>
      <c r="I7" s="706" t="s">
        <v>238</v>
      </c>
      <c r="J7" s="706" t="s">
        <v>239</v>
      </c>
      <c r="K7" s="707" t="s">
        <v>240</v>
      </c>
      <c r="L7" s="707" t="s">
        <v>241</v>
      </c>
      <c r="M7" s="521" t="s">
        <v>760</v>
      </c>
      <c r="N7" s="521" t="s">
        <v>456</v>
      </c>
      <c r="O7" s="708" t="s">
        <v>455</v>
      </c>
      <c r="P7" s="708" t="s">
        <v>242</v>
      </c>
      <c r="Q7" s="708" t="s">
        <v>243</v>
      </c>
      <c r="R7" s="708" t="s">
        <v>244</v>
      </c>
      <c r="S7" s="707" t="s">
        <v>245</v>
      </c>
      <c r="T7" s="707" t="s">
        <v>246</v>
      </c>
      <c r="U7" s="707" t="s">
        <v>615</v>
      </c>
      <c r="V7" s="714" t="str">
        <f>테이블[[#Headers],[한계세율]]</f>
        <v>한계세율</v>
      </c>
      <c r="W7" s="707" t="str">
        <f>테이블[[#Headers],[홈페이지]]</f>
        <v>홈페이지</v>
      </c>
      <c r="X7" s="707" t="str">
        <f>테이블[[#Headers],[주요상품]]</f>
        <v>주요상품</v>
      </c>
      <c r="Y7" s="707" t="str">
        <f>테이블[[#Headers],[거래소 업종]]</f>
        <v>거래소 업종</v>
      </c>
      <c r="Z7" s="707" t="str">
        <f>테이블[[#Headers],[거래소(시장)]]</f>
        <v>거래소(시장)</v>
      </c>
      <c r="AA7" s="707" t="str">
        <f>테이블[[#Headers],[EV/EBITDA]]</f>
        <v>EV/EBITDA</v>
      </c>
      <c r="AB7" s="707" t="str">
        <f>테이블[[#Headers],[PBR]]</f>
        <v>PBR</v>
      </c>
      <c r="AC7" s="707" t="str">
        <f>테이블[[#Headers],[PSR]]</f>
        <v>PSR</v>
      </c>
      <c r="AD7" s="707" t="str">
        <f>테이블[[#Headers],[PER]]</f>
        <v>PER</v>
      </c>
      <c r="AE7" s="707" t="str">
        <f>테이블[[#Headers],[3개년(2023~2026) CAGR]]</f>
        <v>3개년(2023~2026) CAGR</v>
      </c>
      <c r="AF7" s="707" t="str">
        <f>테이블[[#Headers],[2,020 ]]</f>
        <v xml:space="preserve">2,020 </v>
      </c>
      <c r="AG7" s="707" t="str">
        <f>테이블[[#Headers],[2,021 ]]</f>
        <v xml:space="preserve">2,021 </v>
      </c>
      <c r="AH7" s="707" t="str">
        <f>테이블[[#Headers],[2,022 ]]</f>
        <v xml:space="preserve">2,022 </v>
      </c>
      <c r="AI7" s="707" t="str">
        <f>테이블[[#Headers],[2,023 ]]</f>
        <v xml:space="preserve">2,023 </v>
      </c>
      <c r="AJ7" s="707" t="str">
        <f>테이블[[#Headers],[2,024 ]]</f>
        <v xml:space="preserve">2,024 </v>
      </c>
      <c r="AK7" s="707" t="str">
        <f>테이블[[#Headers],[2,025 ]]</f>
        <v xml:space="preserve">2,025 </v>
      </c>
      <c r="AL7" s="707" t="str">
        <f>테이블[[#Headers],[2,026 ]]</f>
        <v xml:space="preserve">2,026 </v>
      </c>
      <c r="AM7" s="707" t="str">
        <f>테이블[[#Headers],[2,027 ]]</f>
        <v xml:space="preserve">2,027 </v>
      </c>
    </row>
    <row r="8" spans="1:39" ht="15" customHeight="1" thickBot="1">
      <c r="A8" s="522" t="s">
        <v>516</v>
      </c>
      <c r="B8" s="669" t="s">
        <v>247</v>
      </c>
      <c r="C8" s="670" t="str">
        <f t="shared" ref="C8:M8" ca="1" si="0">INDEX(INDIRECT("테이블["&amp;C$7&amp;"]"),$U8)</f>
        <v>004990 KS Equity</v>
      </c>
      <c r="D8" s="670" t="str">
        <f t="shared" ca="1" si="0"/>
        <v>Lotte Corporation</v>
      </c>
      <c r="E8" s="670">
        <f t="shared" ca="1" si="0"/>
        <v>1101110076300</v>
      </c>
      <c r="F8" s="670" t="str">
        <f t="shared" ca="1" si="0"/>
        <v>회사 본부</v>
      </c>
      <c r="G8" s="709">
        <f t="shared" ca="1" si="0"/>
        <v>15159775.89563</v>
      </c>
      <c r="H8" s="709">
        <f t="shared" ca="1" si="0"/>
        <v>493689.28414</v>
      </c>
      <c r="I8" s="709">
        <f t="shared" ca="1" si="0"/>
        <v>373916.51968999999</v>
      </c>
      <c r="J8" s="709">
        <f t="shared" ca="1" si="0"/>
        <v>9672841.6074999999</v>
      </c>
      <c r="K8" s="710">
        <f t="shared" ca="1" si="0"/>
        <v>0.86399999999999999</v>
      </c>
      <c r="L8" s="711">
        <f t="shared" ca="1" si="0"/>
        <v>464.43825206521359</v>
      </c>
      <c r="M8" s="514">
        <f t="shared" ca="1" si="0"/>
        <v>19740216</v>
      </c>
      <c r="N8" s="514"/>
      <c r="O8" s="671">
        <v>1</v>
      </c>
      <c r="P8" s="672">
        <f ca="1">IF(L8="","",K8/(1+L8/100*(1-$R$5)))</f>
        <v>0.18690705820202019</v>
      </c>
      <c r="Q8" s="672">
        <f t="shared" ref="Q8" ca="1" si="1">IFERROR($P8*(1+$Q$5/100*(1-$R$5)),"")</f>
        <v>0.36117101937319696</v>
      </c>
      <c r="R8" s="672">
        <f ca="1">IFERROR($P8*(1+$L$6/100*(1-$R$5)),"")</f>
        <v>0.86399999999999999</v>
      </c>
      <c r="S8" s="673" t="str">
        <f ca="1">INDEX(INDIRECT("테이블["&amp;S$7&amp;"]"),$U8)</f>
        <v>정상</v>
      </c>
      <c r="T8" s="674" t="str">
        <f ca="1">INDEX(INDIRECT("테이블["&amp;T$7&amp;"]"),$U8)</f>
        <v>정상</v>
      </c>
      <c r="U8" s="675">
        <f>MATCH($B8,TABLE!$E:$E,0)-1</f>
        <v>104</v>
      </c>
      <c r="V8" s="715">
        <f ca="1">INDEX(INDIRECT("테이블["&amp;V$7&amp;"]"),$U8)</f>
        <v>0.26400000000000001</v>
      </c>
      <c r="W8" s="715" t="str">
        <f ca="1">INDEX(INDIRECT("테이블["&amp;W$7&amp;"]"),$U8)</f>
        <v>www.lotte.co.kr</v>
      </c>
      <c r="X8" s="715" t="str">
        <f ca="1">INDEX(INDIRECT("테이블["&amp;X$7&amp;"]"),$U8)</f>
        <v>지주회사</v>
      </c>
      <c r="Y8" s="715" t="str">
        <f t="shared" ref="Y8:AM8" ca="1" si="2">INDEX(INDIRECT("테이블["&amp;Y$7&amp;"]"),$U8)</f>
        <v>코스피 금융업</v>
      </c>
      <c r="Z8" s="715" t="str">
        <f t="shared" ca="1" si="2"/>
        <v>유가증권시장</v>
      </c>
      <c r="AA8" s="720">
        <f t="shared" ca="1" si="2"/>
        <v>9.09</v>
      </c>
      <c r="AB8" s="720">
        <f t="shared" ca="1" si="2"/>
        <v>0.33</v>
      </c>
      <c r="AC8" s="720">
        <f t="shared" ca="1" si="2"/>
        <v>0.19</v>
      </c>
      <c r="AD8" s="720" t="str">
        <f t="shared" ca="1" si="2"/>
        <v>N/A</v>
      </c>
      <c r="AE8" s="718" t="str">
        <f t="shared" ca="1" si="2"/>
        <v>추정X</v>
      </c>
      <c r="AF8" s="719">
        <f t="shared" ca="1" si="2"/>
        <v>90866.492295599994</v>
      </c>
      <c r="AG8" s="719">
        <f t="shared" ca="1" si="2"/>
        <v>99248.640141900003</v>
      </c>
      <c r="AH8" s="719">
        <f t="shared" ca="1" si="2"/>
        <v>141118.52309169999</v>
      </c>
      <c r="AI8" s="719">
        <f t="shared" ca="1" si="2"/>
        <v>151597.75895630001</v>
      </c>
      <c r="AJ8" s="719">
        <f t="shared" ca="1" si="2"/>
        <v>161820.96</v>
      </c>
      <c r="AK8" s="719">
        <f t="shared" ca="1" si="2"/>
        <v>166589.32</v>
      </c>
      <c r="AL8" s="719">
        <f t="shared" ca="1" si="2"/>
        <v>0</v>
      </c>
      <c r="AM8" s="719">
        <f t="shared" ca="1" si="2"/>
        <v>0</v>
      </c>
    </row>
    <row r="9" spans="1:39" ht="15" customHeight="1"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716"/>
      <c r="W9" s="204"/>
      <c r="X9" s="204"/>
      <c r="Y9" s="204"/>
      <c r="Z9" s="204"/>
      <c r="AA9" s="204"/>
      <c r="AB9" s="204"/>
      <c r="AC9" s="204"/>
      <c r="AD9" s="204"/>
      <c r="AE9" s="204"/>
      <c r="AF9" s="204"/>
    </row>
    <row r="10" spans="1:39" ht="15" customHeight="1">
      <c r="B10" s="204"/>
      <c r="C10" s="204"/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716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</row>
    <row r="11" spans="1:39" ht="15" customHeight="1">
      <c r="B11" s="204"/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716"/>
      <c r="W11" s="204"/>
      <c r="X11" s="204"/>
      <c r="Y11" s="204"/>
      <c r="Z11" s="204"/>
      <c r="AA11" s="204"/>
      <c r="AB11" s="204"/>
      <c r="AC11" s="204"/>
      <c r="AD11" s="204"/>
      <c r="AE11" s="204"/>
      <c r="AF11" s="204"/>
    </row>
    <row r="12" spans="1:39" ht="15" customHeight="1">
      <c r="B12" s="204"/>
      <c r="C12" s="204"/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716"/>
      <c r="W12" s="204"/>
      <c r="X12" s="204"/>
      <c r="Z12" s="204"/>
      <c r="AA12" s="204"/>
      <c r="AB12" s="204"/>
      <c r="AC12" s="204"/>
      <c r="AD12" s="204"/>
      <c r="AE12" s="204"/>
      <c r="AF12" s="204"/>
    </row>
    <row r="21" spans="24:46" ht="15" customHeight="1">
      <c r="X21" s="512"/>
      <c r="Y21" s="512"/>
      <c r="Z21" s="512"/>
      <c r="AA21" s="512"/>
      <c r="AB21" s="512"/>
      <c r="AC21" s="512"/>
      <c r="AD21" s="512"/>
      <c r="AE21" s="512"/>
      <c r="AF21" s="512"/>
    </row>
    <row r="22" spans="24:46" ht="15" customHeight="1">
      <c r="AJ22"/>
      <c r="AK22"/>
      <c r="AL22"/>
      <c r="AM22"/>
      <c r="AN22"/>
      <c r="AO22"/>
      <c r="AP22"/>
      <c r="AQ22"/>
      <c r="AR22"/>
      <c r="AS22"/>
      <c r="AT22"/>
    </row>
    <row r="23" spans="24:46" ht="15" customHeight="1">
      <c r="AJ23"/>
      <c r="AK23"/>
      <c r="AL23"/>
      <c r="AM23"/>
      <c r="AN23"/>
      <c r="AO23"/>
      <c r="AP23"/>
      <c r="AQ23"/>
      <c r="AR23"/>
      <c r="AS23"/>
      <c r="AT23"/>
    </row>
    <row r="24" spans="24:46" ht="15" customHeight="1">
      <c r="AJ24"/>
      <c r="AK24"/>
      <c r="AL24"/>
      <c r="AM24"/>
      <c r="AN24"/>
      <c r="AO24"/>
      <c r="AP24"/>
      <c r="AQ24"/>
      <c r="AR24"/>
      <c r="AS24"/>
      <c r="AT24"/>
    </row>
    <row r="25" spans="24:46" ht="15" customHeight="1">
      <c r="AJ25"/>
      <c r="AK25"/>
      <c r="AL25"/>
      <c r="AM25"/>
      <c r="AN25"/>
      <c r="AO25"/>
      <c r="AP25"/>
      <c r="AQ25"/>
      <c r="AR25"/>
      <c r="AS25"/>
      <c r="AT25"/>
    </row>
  </sheetData>
  <sheetProtection selectLockedCells="1"/>
  <mergeCells count="7">
    <mergeCell ref="S4:T6"/>
    <mergeCell ref="B4:E6"/>
    <mergeCell ref="F4:F6"/>
    <mergeCell ref="G4:J6"/>
    <mergeCell ref="K4:K5"/>
    <mergeCell ref="L4:L5"/>
    <mergeCell ref="O4:O6"/>
  </mergeCells>
  <phoneticPr fontId="9" type="noConversion"/>
  <conditionalFormatting sqref="P8:R8 B8:L8">
    <cfRule type="expression" dxfId="63" priority="11">
      <formula>$O8=1</formula>
    </cfRule>
  </conditionalFormatting>
  <conditionalFormatting sqref="P8:T8 B8:L8">
    <cfRule type="expression" dxfId="62" priority="10">
      <formula>#REF!=1</formula>
    </cfRule>
  </conditionalFormatting>
  <conditionalFormatting sqref="S8">
    <cfRule type="cellIs" dxfId="61" priority="7" operator="equal">
      <formula>"정지"</formula>
    </cfRule>
    <cfRule type="expression" dxfId="60" priority="9">
      <formula>$O8=1</formula>
    </cfRule>
  </conditionalFormatting>
  <conditionalFormatting sqref="T8">
    <cfRule type="cellIs" dxfId="59" priority="6" operator="equal">
      <formula>"관리"</formula>
    </cfRule>
    <cfRule type="expression" dxfId="58" priority="8">
      <formula>$O8=1</formula>
    </cfRule>
  </conditionalFormatting>
  <conditionalFormatting sqref="V8:AM8">
    <cfRule type="expression" dxfId="57" priority="3">
      <formula>#REF!=1</formula>
    </cfRule>
  </conditionalFormatting>
  <conditionalFormatting sqref="V8:AM8">
    <cfRule type="cellIs" dxfId="56" priority="1" operator="equal">
      <formula>"관리"</formula>
    </cfRule>
    <cfRule type="expression" dxfId="55" priority="2">
      <formula>$O8=1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D2600"/>
  <sheetViews>
    <sheetView showGridLines="0" tabSelected="1" zoomScale="70" zoomScaleNormal="70" workbookViewId="0">
      <selection activeCell="F14" sqref="F14"/>
    </sheetView>
  </sheetViews>
  <sheetFormatPr defaultColWidth="9" defaultRowHeight="16.5"/>
  <cols>
    <col min="1" max="1" width="16.75" style="203" bestFit="1" customWidth="1"/>
    <col min="2" max="2" width="8.75" style="203" bestFit="1" customWidth="1"/>
    <col min="3" max="3" width="22.25" style="203" customWidth="1"/>
    <col min="4" max="4" width="13.125" style="203" bestFit="1" customWidth="1"/>
    <col min="5" max="5" width="18.875" style="203" bestFit="1" customWidth="1"/>
    <col min="6" max="7" width="20.625" style="203" customWidth="1"/>
    <col min="8" max="9" width="15.625" style="203" customWidth="1"/>
    <col min="10" max="13" width="10.625" style="637" customWidth="1"/>
    <col min="14" max="14" width="10.625" style="203" customWidth="1"/>
    <col min="15" max="15" width="10.625" style="690" customWidth="1"/>
    <col min="16" max="17" width="10.625" style="203" customWidth="1"/>
    <col min="18" max="18" width="10.625" style="699" customWidth="1"/>
    <col min="19" max="19" width="40.625" style="203" customWidth="1"/>
    <col min="20" max="20" width="10" style="698" bestFit="1" customWidth="1"/>
    <col min="21" max="21" width="10.625" style="203" customWidth="1"/>
    <col min="22" max="25" width="8.625" style="723" customWidth="1"/>
    <col min="26" max="26" width="14.625" style="689" customWidth="1"/>
    <col min="27" max="32" width="8.625" style="203" customWidth="1"/>
    <col min="33" max="34" width="8.625" style="656" customWidth="1"/>
    <col min="35" max="35" width="9" style="656" customWidth="1"/>
    <col min="36" max="36" width="0" style="656" hidden="1" customWidth="1"/>
    <col min="37" max="52" width="0" style="203" hidden="1" customWidth="1"/>
    <col min="53" max="16384" width="9" style="203"/>
  </cols>
  <sheetData>
    <row r="1" spans="1:56" ht="30" customHeight="1">
      <c r="A1" s="369" t="s">
        <v>213</v>
      </c>
      <c r="B1" s="370" t="s">
        <v>214</v>
      </c>
      <c r="C1" s="370" t="s">
        <v>215</v>
      </c>
      <c r="D1" s="371" t="s">
        <v>765</v>
      </c>
      <c r="E1" s="370" t="s">
        <v>216</v>
      </c>
      <c r="F1" s="370" t="s">
        <v>217</v>
      </c>
      <c r="G1" s="370" t="s">
        <v>745</v>
      </c>
      <c r="H1" s="370" t="s">
        <v>746</v>
      </c>
      <c r="I1" s="370" t="s">
        <v>747</v>
      </c>
      <c r="J1" s="700" t="s">
        <v>616</v>
      </c>
      <c r="K1" s="700" t="s">
        <v>219</v>
      </c>
      <c r="L1" s="701" t="s">
        <v>220</v>
      </c>
      <c r="M1" s="701" t="s">
        <v>221</v>
      </c>
      <c r="N1" s="369" t="s">
        <v>222</v>
      </c>
      <c r="O1" s="702" t="s">
        <v>223</v>
      </c>
      <c r="P1" s="369" t="s">
        <v>224</v>
      </c>
      <c r="Q1" s="548" t="s">
        <v>225</v>
      </c>
      <c r="R1" s="694" t="s">
        <v>617</v>
      </c>
      <c r="S1" s="548" t="s">
        <v>388</v>
      </c>
      <c r="T1" s="697" t="s">
        <v>748</v>
      </c>
      <c r="U1" s="548" t="s">
        <v>749</v>
      </c>
      <c r="V1" s="721" t="s">
        <v>750</v>
      </c>
      <c r="W1" s="721" t="s">
        <v>752</v>
      </c>
      <c r="X1" s="721" t="s">
        <v>751</v>
      </c>
      <c r="Y1" s="721" t="s">
        <v>753</v>
      </c>
      <c r="Z1" s="724" t="s">
        <v>16230</v>
      </c>
      <c r="AA1" s="653" t="s">
        <v>15954</v>
      </c>
      <c r="AB1" s="653" t="s">
        <v>15955</v>
      </c>
      <c r="AC1" s="653" t="s">
        <v>15956</v>
      </c>
      <c r="AD1" s="653" t="s">
        <v>15957</v>
      </c>
      <c r="AE1" s="653" t="s">
        <v>15958</v>
      </c>
      <c r="AF1" s="653" t="s">
        <v>15959</v>
      </c>
      <c r="AG1" s="653" t="s">
        <v>15960</v>
      </c>
      <c r="AH1" s="653" t="s">
        <v>16231</v>
      </c>
    </row>
    <row r="2" spans="1:56">
      <c r="A2" s="372" t="s">
        <v>618</v>
      </c>
      <c r="B2" s="373" t="s">
        <v>619</v>
      </c>
      <c r="C2" s="372" t="s">
        <v>620</v>
      </c>
      <c r="D2" s="374">
        <v>1301110006246</v>
      </c>
      <c r="E2" s="372" t="s">
        <v>621</v>
      </c>
      <c r="F2" s="372" t="s">
        <v>622</v>
      </c>
      <c r="G2" s="375" t="s">
        <v>622</v>
      </c>
      <c r="H2" s="375" t="s">
        <v>754</v>
      </c>
      <c r="I2" s="375" t="s">
        <v>755</v>
      </c>
      <c r="J2" s="375">
        <v>258935494</v>
      </c>
      <c r="K2" s="375">
        <v>6566976</v>
      </c>
      <c r="L2" s="375">
        <v>11006265</v>
      </c>
      <c r="M2" s="375">
        <v>363677865</v>
      </c>
      <c r="N2" s="372">
        <v>0.97399999999999998</v>
      </c>
      <c r="O2" s="703">
        <v>2.7419692196326313</v>
      </c>
      <c r="P2" s="375" t="s">
        <v>623</v>
      </c>
      <c r="Q2" s="375" t="s">
        <v>623</v>
      </c>
      <c r="R2" s="695">
        <v>19750611</v>
      </c>
      <c r="S2" s="375" t="s">
        <v>756</v>
      </c>
      <c r="T2" s="696">
        <v>0.26400000000000001</v>
      </c>
      <c r="U2" s="375" t="s">
        <v>757</v>
      </c>
      <c r="V2" s="722">
        <v>11.72</v>
      </c>
      <c r="W2" s="722">
        <v>1.51</v>
      </c>
      <c r="X2" s="722">
        <v>2.06</v>
      </c>
      <c r="Y2" s="722">
        <v>36.840000000000003</v>
      </c>
      <c r="Z2" s="382">
        <v>8.9588780267238821E-2</v>
      </c>
      <c r="AA2" s="372">
        <v>2368069.88</v>
      </c>
      <c r="AB2" s="372">
        <v>2796047.99</v>
      </c>
      <c r="AC2" s="372">
        <v>3022313.6</v>
      </c>
      <c r="AD2" s="372">
        <v>2589354.94</v>
      </c>
      <c r="AE2" s="372">
        <v>3085714.76</v>
      </c>
      <c r="AF2" s="372">
        <v>3412111.32</v>
      </c>
      <c r="AG2" s="372">
        <v>3649573.18</v>
      </c>
      <c r="AH2" s="372">
        <v>4098470</v>
      </c>
      <c r="BA2" s="655" t="s">
        <v>254</v>
      </c>
      <c r="BB2" s="657" t="s">
        <v>222</v>
      </c>
      <c r="BC2" s="658" t="s">
        <v>15961</v>
      </c>
      <c r="BD2" s="658" t="s">
        <v>256</v>
      </c>
    </row>
    <row r="3" spans="1:56">
      <c r="A3" s="372" t="s">
        <v>766</v>
      </c>
      <c r="B3" s="373" t="s">
        <v>767</v>
      </c>
      <c r="C3" s="372" t="s">
        <v>768</v>
      </c>
      <c r="D3" s="374">
        <v>1344110001387</v>
      </c>
      <c r="E3" s="372" t="s">
        <v>769</v>
      </c>
      <c r="F3" s="375" t="s">
        <v>770</v>
      </c>
      <c r="G3" s="375" t="s">
        <v>770</v>
      </c>
      <c r="H3" s="375" t="s">
        <v>754</v>
      </c>
      <c r="I3" s="375" t="s">
        <v>755</v>
      </c>
      <c r="J3" s="375">
        <v>32765719</v>
      </c>
      <c r="K3" s="375">
        <v>-7730313</v>
      </c>
      <c r="L3" s="375">
        <v>-11657816</v>
      </c>
      <c r="M3" s="375">
        <v>53503752</v>
      </c>
      <c r="N3" s="372">
        <v>1.044</v>
      </c>
      <c r="O3" s="703">
        <v>27.091752467376924</v>
      </c>
      <c r="P3" s="375" t="s">
        <v>623</v>
      </c>
      <c r="Q3" s="375" t="s">
        <v>623</v>
      </c>
      <c r="R3" s="695">
        <v>19961226</v>
      </c>
      <c r="S3" s="375" t="s">
        <v>771</v>
      </c>
      <c r="T3" s="696" t="s">
        <v>772</v>
      </c>
      <c r="U3" s="375" t="s">
        <v>773</v>
      </c>
      <c r="V3" s="722">
        <v>21.28</v>
      </c>
      <c r="W3" s="722">
        <v>1.85</v>
      </c>
      <c r="X3" s="722">
        <v>3.14</v>
      </c>
      <c r="Y3" s="722" t="s">
        <v>774</v>
      </c>
      <c r="Z3" s="382">
        <v>0.27574464409954702</v>
      </c>
      <c r="AA3" s="372">
        <v>319004.18</v>
      </c>
      <c r="AB3" s="372">
        <v>429977.92</v>
      </c>
      <c r="AC3" s="372">
        <v>446215.67999999999</v>
      </c>
      <c r="AD3" s="372">
        <v>327657.19</v>
      </c>
      <c r="AE3" s="372">
        <v>647362.24</v>
      </c>
      <c r="AF3" s="372">
        <v>805574.24</v>
      </c>
      <c r="AG3" s="372">
        <v>867910.05</v>
      </c>
      <c r="AH3" s="372">
        <v>865905</v>
      </c>
      <c r="BA3" s="659" t="s">
        <v>226</v>
      </c>
      <c r="BB3" s="659" t="s">
        <v>16232</v>
      </c>
      <c r="BC3" s="660" t="s">
        <v>15962</v>
      </c>
      <c r="BD3" s="656" t="s">
        <v>15963</v>
      </c>
    </row>
    <row r="4" spans="1:56">
      <c r="A4" s="372" t="s">
        <v>775</v>
      </c>
      <c r="B4" s="373" t="s">
        <v>776</v>
      </c>
      <c r="C4" s="372" t="s">
        <v>777</v>
      </c>
      <c r="D4" s="374">
        <v>1101117701356</v>
      </c>
      <c r="E4" s="372" t="s">
        <v>778</v>
      </c>
      <c r="F4" s="375" t="s">
        <v>779</v>
      </c>
      <c r="G4" s="375" t="s">
        <v>779</v>
      </c>
      <c r="H4" s="375" t="s">
        <v>754</v>
      </c>
      <c r="I4" s="375" t="s">
        <v>755</v>
      </c>
      <c r="J4" s="375">
        <v>33745470</v>
      </c>
      <c r="K4" s="375">
        <v>1486360</v>
      </c>
      <c r="L4" s="375">
        <v>2043460</v>
      </c>
      <c r="M4" s="375">
        <v>24373509</v>
      </c>
      <c r="N4" s="372">
        <v>1.1879999999999999</v>
      </c>
      <c r="O4" s="703">
        <v>12.010072946191199</v>
      </c>
      <c r="P4" s="375" t="s">
        <v>623</v>
      </c>
      <c r="Q4" s="375" t="s">
        <v>623</v>
      </c>
      <c r="R4" s="695">
        <v>20220127</v>
      </c>
      <c r="S4" s="375" t="s">
        <v>780</v>
      </c>
      <c r="T4" s="696">
        <v>0.26400000000000001</v>
      </c>
      <c r="U4" s="375" t="s">
        <v>781</v>
      </c>
      <c r="V4" s="722">
        <v>29.15</v>
      </c>
      <c r="W4" s="722">
        <v>4.95</v>
      </c>
      <c r="X4" s="722">
        <v>2.96</v>
      </c>
      <c r="Y4" s="722">
        <v>80.86</v>
      </c>
      <c r="Z4" s="382">
        <v>0.11216894205371286</v>
      </c>
      <c r="AA4" s="372">
        <v>14610.68</v>
      </c>
      <c r="AB4" s="372">
        <v>178519.06</v>
      </c>
      <c r="AC4" s="372">
        <v>255986.09</v>
      </c>
      <c r="AD4" s="372">
        <v>337454.7</v>
      </c>
      <c r="AE4" s="372">
        <v>310848.09999999998</v>
      </c>
      <c r="AF4" s="372">
        <v>416663.52</v>
      </c>
      <c r="AG4" s="372">
        <v>516295.73</v>
      </c>
      <c r="AH4" s="372">
        <v>748880</v>
      </c>
      <c r="BA4" s="659" t="s">
        <v>227</v>
      </c>
      <c r="BB4" s="659" t="s">
        <v>16233</v>
      </c>
      <c r="BC4" s="660" t="s">
        <v>15962</v>
      </c>
      <c r="BD4" s="656" t="s">
        <v>15963</v>
      </c>
    </row>
    <row r="5" spans="1:56">
      <c r="A5" s="372" t="s">
        <v>782</v>
      </c>
      <c r="B5" s="373" t="s">
        <v>783</v>
      </c>
      <c r="C5" s="372" t="s">
        <v>784</v>
      </c>
      <c r="D5" s="374">
        <v>1201110566317</v>
      </c>
      <c r="E5" s="372" t="s">
        <v>785</v>
      </c>
      <c r="F5" s="375" t="s">
        <v>786</v>
      </c>
      <c r="G5" s="375" t="s">
        <v>787</v>
      </c>
      <c r="H5" s="375" t="s">
        <v>788</v>
      </c>
      <c r="I5" s="375" t="s">
        <v>755</v>
      </c>
      <c r="J5" s="375">
        <v>3694588.76706</v>
      </c>
      <c r="K5" s="375">
        <v>1113680.00972</v>
      </c>
      <c r="L5" s="375">
        <v>1119986.9312</v>
      </c>
      <c r="M5" s="375">
        <v>9830492.4123400003</v>
      </c>
      <c r="N5" s="372">
        <v>0.66900000000000004</v>
      </c>
      <c r="O5" s="703">
        <v>3.4352209789415467</v>
      </c>
      <c r="P5" s="375" t="s">
        <v>623</v>
      </c>
      <c r="Q5" s="375" t="s">
        <v>623</v>
      </c>
      <c r="R5" s="695">
        <v>20161110</v>
      </c>
      <c r="S5" s="372" t="s">
        <v>789</v>
      </c>
      <c r="T5" s="696">
        <v>0.26400000000000001</v>
      </c>
      <c r="U5" s="372" t="s">
        <v>790</v>
      </c>
      <c r="V5" s="722">
        <v>33.729999999999997</v>
      </c>
      <c r="W5" s="722">
        <v>5.5</v>
      </c>
      <c r="X5" s="722">
        <v>14.64</v>
      </c>
      <c r="Y5" s="722">
        <v>63.07</v>
      </c>
      <c r="Z5" s="382">
        <v>0.1080342566774033</v>
      </c>
      <c r="AA5" s="372">
        <v>11647.768736399999</v>
      </c>
      <c r="AB5" s="372">
        <v>15680.0692803</v>
      </c>
      <c r="AC5" s="372">
        <v>30012.951976799999</v>
      </c>
      <c r="AD5" s="372">
        <v>36945.887670600001</v>
      </c>
      <c r="AE5" s="372">
        <v>42641.74</v>
      </c>
      <c r="AF5" s="372">
        <v>49355.11</v>
      </c>
      <c r="AG5" s="372">
        <v>55690.21</v>
      </c>
      <c r="AH5" s="372">
        <v>63315</v>
      </c>
      <c r="BA5" s="661"/>
      <c r="BB5" s="659"/>
      <c r="BC5" s="661"/>
      <c r="BD5" s="656"/>
    </row>
    <row r="6" spans="1:56">
      <c r="A6" s="372" t="s">
        <v>791</v>
      </c>
      <c r="B6" s="373" t="s">
        <v>792</v>
      </c>
      <c r="C6" s="372" t="s">
        <v>793</v>
      </c>
      <c r="D6" s="374">
        <v>1101110085450</v>
      </c>
      <c r="E6" s="372" t="s">
        <v>794</v>
      </c>
      <c r="F6" s="375" t="s">
        <v>795</v>
      </c>
      <c r="G6" s="375" t="s">
        <v>796</v>
      </c>
      <c r="H6" s="375" t="s">
        <v>797</v>
      </c>
      <c r="I6" s="375" t="s">
        <v>755</v>
      </c>
      <c r="J6" s="375">
        <v>162663579</v>
      </c>
      <c r="K6" s="375">
        <v>15126901</v>
      </c>
      <c r="L6" s="375">
        <v>17618662</v>
      </c>
      <c r="M6" s="375">
        <v>101809440</v>
      </c>
      <c r="N6" s="372">
        <v>0.94799999999999995</v>
      </c>
      <c r="O6" s="703">
        <v>245.90020868966764</v>
      </c>
      <c r="P6" s="375" t="s">
        <v>623</v>
      </c>
      <c r="Q6" s="375" t="s">
        <v>623</v>
      </c>
      <c r="R6" s="695">
        <v>19740628</v>
      </c>
      <c r="S6" s="375" t="s">
        <v>798</v>
      </c>
      <c r="T6" s="696">
        <v>0.26400000000000001</v>
      </c>
      <c r="U6" s="375" t="s">
        <v>799</v>
      </c>
      <c r="V6" s="722">
        <v>7.77</v>
      </c>
      <c r="W6" s="722">
        <v>0.6</v>
      </c>
      <c r="X6" s="722">
        <v>0.34</v>
      </c>
      <c r="Y6" s="722">
        <v>4.67</v>
      </c>
      <c r="Z6" s="382">
        <v>2.8478297573111266E-2</v>
      </c>
      <c r="AA6" s="372">
        <v>1039976.01</v>
      </c>
      <c r="AB6" s="372">
        <v>1176106.26</v>
      </c>
      <c r="AC6" s="372">
        <v>1421514.69</v>
      </c>
      <c r="AD6" s="372">
        <v>1626635.79</v>
      </c>
      <c r="AE6" s="372">
        <v>1696018.79</v>
      </c>
      <c r="AF6" s="372">
        <v>1756819.5</v>
      </c>
      <c r="AG6" s="372">
        <v>1819997.75</v>
      </c>
      <c r="AH6" s="372">
        <v>2251070</v>
      </c>
      <c r="BA6" s="655" t="s">
        <v>254</v>
      </c>
      <c r="BB6" s="657" t="s">
        <v>509</v>
      </c>
      <c r="BC6" s="658" t="s">
        <v>15961</v>
      </c>
      <c r="BD6" s="654" t="s">
        <v>256</v>
      </c>
    </row>
    <row r="7" spans="1:56">
      <c r="A7" s="372" t="s">
        <v>800</v>
      </c>
      <c r="B7" s="373" t="s">
        <v>801</v>
      </c>
      <c r="C7" s="372" t="s">
        <v>802</v>
      </c>
      <c r="D7" s="374">
        <v>1101110037998</v>
      </c>
      <c r="E7" s="372" t="s">
        <v>803</v>
      </c>
      <c r="F7" s="375" t="s">
        <v>795</v>
      </c>
      <c r="G7" s="375" t="s">
        <v>796</v>
      </c>
      <c r="H7" s="375" t="s">
        <v>797</v>
      </c>
      <c r="I7" s="375" t="s">
        <v>755</v>
      </c>
      <c r="J7" s="375">
        <v>99808420</v>
      </c>
      <c r="K7" s="375">
        <v>11607873</v>
      </c>
      <c r="L7" s="375">
        <v>12677344</v>
      </c>
      <c r="M7" s="375">
        <v>46558235</v>
      </c>
      <c r="N7" s="372">
        <v>0.91800000000000004</v>
      </c>
      <c r="O7" s="703">
        <v>8.927201883466477</v>
      </c>
      <c r="P7" s="375" t="s">
        <v>623</v>
      </c>
      <c r="Q7" s="375" t="s">
        <v>623</v>
      </c>
      <c r="R7" s="695">
        <v>19730721</v>
      </c>
      <c r="S7" s="375" t="s">
        <v>804</v>
      </c>
      <c r="T7" s="696">
        <v>0.26400000000000001</v>
      </c>
      <c r="U7" s="375" t="s">
        <v>805</v>
      </c>
      <c r="V7" s="722">
        <v>2.88</v>
      </c>
      <c r="W7" s="722">
        <v>0.86</v>
      </c>
      <c r="X7" s="722">
        <v>0.4</v>
      </c>
      <c r="Y7" s="722">
        <v>4.59</v>
      </c>
      <c r="Z7" s="382">
        <v>3.3587380114700194E-2</v>
      </c>
      <c r="AA7" s="372">
        <v>591680.96</v>
      </c>
      <c r="AB7" s="372">
        <v>698623.66</v>
      </c>
      <c r="AC7" s="372">
        <v>865590.29</v>
      </c>
      <c r="AD7" s="372">
        <v>998084.2</v>
      </c>
      <c r="AE7" s="372">
        <v>1060330.6299999999</v>
      </c>
      <c r="AF7" s="372">
        <v>1092279.46</v>
      </c>
      <c r="AG7" s="372">
        <v>1139084.58</v>
      </c>
      <c r="AH7" s="372">
        <v>1334740</v>
      </c>
      <c r="BA7" s="659" t="s">
        <v>228</v>
      </c>
      <c r="BB7" s="659" t="s">
        <v>16137</v>
      </c>
      <c r="BC7" s="659" t="s">
        <v>15964</v>
      </c>
      <c r="BD7" s="664" t="s">
        <v>15965</v>
      </c>
    </row>
    <row r="8" spans="1:56">
      <c r="A8" s="372" t="s">
        <v>806</v>
      </c>
      <c r="B8" s="373" t="s">
        <v>807</v>
      </c>
      <c r="C8" s="372" t="s">
        <v>808</v>
      </c>
      <c r="D8" s="374">
        <v>1350110034038</v>
      </c>
      <c r="E8" s="372" t="s">
        <v>809</v>
      </c>
      <c r="F8" s="375" t="s">
        <v>786</v>
      </c>
      <c r="G8" s="375" t="s">
        <v>787</v>
      </c>
      <c r="H8" s="375" t="s">
        <v>788</v>
      </c>
      <c r="I8" s="375" t="s">
        <v>755</v>
      </c>
      <c r="J8" s="375">
        <v>2176431.5313800001</v>
      </c>
      <c r="K8" s="375">
        <v>651481.42215</v>
      </c>
      <c r="L8" s="375">
        <v>671095.78498999996</v>
      </c>
      <c r="M8" s="375">
        <v>17125794.307229999</v>
      </c>
      <c r="N8" s="372">
        <v>0.77500000000000002</v>
      </c>
      <c r="O8" s="703">
        <v>4.8393529370729578</v>
      </c>
      <c r="P8" s="375" t="s">
        <v>623</v>
      </c>
      <c r="Q8" s="375" t="s">
        <v>623</v>
      </c>
      <c r="R8" s="695">
        <v>20050719</v>
      </c>
      <c r="S8" s="375" t="s">
        <v>810</v>
      </c>
      <c r="T8" s="696">
        <v>0.26400000000000001</v>
      </c>
      <c r="U8" s="375" t="s">
        <v>811</v>
      </c>
      <c r="V8" s="722">
        <v>34.299999999999997</v>
      </c>
      <c r="W8" s="722">
        <v>2.31</v>
      </c>
      <c r="X8" s="722">
        <v>13.63</v>
      </c>
      <c r="Y8" s="722">
        <v>55.37</v>
      </c>
      <c r="Z8" s="382">
        <v>0.22718911564457089</v>
      </c>
      <c r="AA8" s="372">
        <v>18491.155321099999</v>
      </c>
      <c r="AB8" s="372">
        <v>18934.0121721</v>
      </c>
      <c r="AC8" s="372">
        <v>22839.674803900001</v>
      </c>
      <c r="AD8" s="372">
        <v>21764.315313800002</v>
      </c>
      <c r="AE8" s="372">
        <v>35506.83</v>
      </c>
      <c r="AF8" s="372">
        <v>42841.73</v>
      </c>
      <c r="AG8" s="372">
        <v>49361.8</v>
      </c>
      <c r="AH8" s="372">
        <v>53030</v>
      </c>
      <c r="BA8" s="659" t="s">
        <v>229</v>
      </c>
      <c r="BB8" s="659" t="s">
        <v>16233</v>
      </c>
      <c r="BC8" s="659" t="s">
        <v>15964</v>
      </c>
      <c r="BD8" s="203" t="s">
        <v>15966</v>
      </c>
    </row>
    <row r="9" spans="1:56">
      <c r="A9" s="372" t="s">
        <v>812</v>
      </c>
      <c r="B9" s="373" t="s">
        <v>813</v>
      </c>
      <c r="C9" s="372" t="s">
        <v>814</v>
      </c>
      <c r="D9" s="374">
        <v>1746110000741</v>
      </c>
      <c r="E9" s="372" t="s">
        <v>815</v>
      </c>
      <c r="F9" s="375" t="s">
        <v>816</v>
      </c>
      <c r="G9" s="375" t="s">
        <v>816</v>
      </c>
      <c r="H9" s="375" t="s">
        <v>817</v>
      </c>
      <c r="I9" s="375" t="s">
        <v>755</v>
      </c>
      <c r="J9" s="375">
        <v>77127197.108579993</v>
      </c>
      <c r="K9" s="375">
        <v>3531422.5064300001</v>
      </c>
      <c r="L9" s="375">
        <v>2635154.0361100002</v>
      </c>
      <c r="M9" s="375">
        <v>59663897.393459998</v>
      </c>
      <c r="N9" s="372">
        <v>1.256</v>
      </c>
      <c r="O9" s="703">
        <v>87.519748582055499</v>
      </c>
      <c r="P9" s="375" t="s">
        <v>623</v>
      </c>
      <c r="Q9" s="375" t="s">
        <v>623</v>
      </c>
      <c r="R9" s="695">
        <v>19880610</v>
      </c>
      <c r="S9" s="375" t="s">
        <v>818</v>
      </c>
      <c r="T9" s="696">
        <v>0.26400000000000001</v>
      </c>
      <c r="U9" s="375" t="s">
        <v>15969</v>
      </c>
      <c r="V9" s="722">
        <v>7.63</v>
      </c>
      <c r="W9" s="722">
        <v>0.75</v>
      </c>
      <c r="X9" s="722">
        <v>0.55000000000000004</v>
      </c>
      <c r="Y9" s="722">
        <v>24.88</v>
      </c>
      <c r="Z9" s="382">
        <v>1.6858760839470355E-2</v>
      </c>
      <c r="AA9" s="372">
        <v>577927.95732819999</v>
      </c>
      <c r="AB9" s="372">
        <v>763323.45050010004</v>
      </c>
      <c r="AC9" s="372">
        <v>847502.03702239995</v>
      </c>
      <c r="AD9" s="372">
        <v>771271.97108579997</v>
      </c>
      <c r="AE9" s="372">
        <v>774859.67</v>
      </c>
      <c r="AF9" s="372">
        <v>811042.17</v>
      </c>
      <c r="AG9" s="372">
        <v>824612.83</v>
      </c>
      <c r="AH9" s="372">
        <v>0</v>
      </c>
      <c r="BA9" s="659" t="s">
        <v>218</v>
      </c>
      <c r="BB9" s="659" t="s">
        <v>16137</v>
      </c>
      <c r="BC9" s="659" t="s">
        <v>15964</v>
      </c>
      <c r="BD9" s="665" t="s">
        <v>15967</v>
      </c>
    </row>
    <row r="10" spans="1:56">
      <c r="A10" s="372" t="s">
        <v>819</v>
      </c>
      <c r="B10" s="373" t="s">
        <v>820</v>
      </c>
      <c r="C10" s="372" t="s">
        <v>821</v>
      </c>
      <c r="D10" s="374">
        <v>1101111707178</v>
      </c>
      <c r="E10" s="372" t="s">
        <v>821</v>
      </c>
      <c r="F10" s="375" t="s">
        <v>822</v>
      </c>
      <c r="G10" s="375" t="s">
        <v>822</v>
      </c>
      <c r="H10" s="375" t="s">
        <v>823</v>
      </c>
      <c r="I10" s="375" t="s">
        <v>755</v>
      </c>
      <c r="J10" s="375">
        <v>9670643.5765799992</v>
      </c>
      <c r="K10" s="375">
        <v>1488820.2696100001</v>
      </c>
      <c r="L10" s="375">
        <v>1481396.31755</v>
      </c>
      <c r="M10" s="375">
        <v>24237998.815549999</v>
      </c>
      <c r="N10" s="372">
        <v>1.014</v>
      </c>
      <c r="O10" s="703">
        <v>15.014716642107986</v>
      </c>
      <c r="P10" s="375" t="s">
        <v>623</v>
      </c>
      <c r="Q10" s="375" t="s">
        <v>623</v>
      </c>
      <c r="R10" s="695">
        <v>20021025</v>
      </c>
      <c r="S10" s="375" t="s">
        <v>824</v>
      </c>
      <c r="T10" s="696">
        <v>0.26400000000000001</v>
      </c>
      <c r="U10" s="375" t="s">
        <v>825</v>
      </c>
      <c r="V10" s="722">
        <v>18.059999999999999</v>
      </c>
      <c r="W10" s="722">
        <v>1.51</v>
      </c>
      <c r="X10" s="722">
        <v>3.79</v>
      </c>
      <c r="Y10" s="722">
        <v>36.25</v>
      </c>
      <c r="Z10" s="382">
        <v>7.1946113718037497E-2</v>
      </c>
      <c r="AA10" s="372">
        <v>53041.459003900003</v>
      </c>
      <c r="AB10" s="372">
        <v>68175.997072500002</v>
      </c>
      <c r="AC10" s="372">
        <v>82200.787088099998</v>
      </c>
      <c r="AD10" s="372">
        <v>96706.435765799994</v>
      </c>
      <c r="AE10" s="372">
        <v>106991.88</v>
      </c>
      <c r="AF10" s="372">
        <v>117378.17</v>
      </c>
      <c r="AG10" s="372">
        <v>127687.15</v>
      </c>
      <c r="AH10" s="372">
        <v>0</v>
      </c>
      <c r="BA10" s="663" t="s">
        <v>510</v>
      </c>
      <c r="BB10" s="659" t="s">
        <v>16234</v>
      </c>
      <c r="BC10" s="659" t="s">
        <v>15964</v>
      </c>
      <c r="BD10" s="383" t="s">
        <v>15968</v>
      </c>
    </row>
    <row r="11" spans="1:56">
      <c r="A11" s="372" t="s">
        <v>826</v>
      </c>
      <c r="B11" s="373" t="s">
        <v>827</v>
      </c>
      <c r="C11" s="372" t="s">
        <v>828</v>
      </c>
      <c r="D11" s="374">
        <v>1101112207995</v>
      </c>
      <c r="E11" s="372" t="s">
        <v>829</v>
      </c>
      <c r="F11" s="375" t="s">
        <v>830</v>
      </c>
      <c r="G11" s="375" t="s">
        <v>831</v>
      </c>
      <c r="H11" s="375" t="s">
        <v>832</v>
      </c>
      <c r="I11" s="375" t="s">
        <v>755</v>
      </c>
      <c r="J11" s="375">
        <v>55249785</v>
      </c>
      <c r="K11" s="375">
        <v>1852322</v>
      </c>
      <c r="L11" s="375">
        <v>2498140</v>
      </c>
      <c r="M11" s="375">
        <v>40938185</v>
      </c>
      <c r="N11" s="372">
        <v>1.532</v>
      </c>
      <c r="O11" s="703">
        <v>77.175206290296558</v>
      </c>
      <c r="P11" s="375" t="s">
        <v>623</v>
      </c>
      <c r="Q11" s="375" t="s">
        <v>623</v>
      </c>
      <c r="R11" s="695">
        <v>20010425</v>
      </c>
      <c r="S11" s="375" t="s">
        <v>833</v>
      </c>
      <c r="T11" s="696">
        <v>0.26400000000000001</v>
      </c>
      <c r="U11" s="375" t="s">
        <v>834</v>
      </c>
      <c r="V11" s="722">
        <v>10.16</v>
      </c>
      <c r="W11" s="722">
        <v>1.21</v>
      </c>
      <c r="X11" s="722">
        <v>0.71</v>
      </c>
      <c r="Y11" s="722">
        <v>29.2</v>
      </c>
      <c r="Z11" s="382">
        <v>8.2049593433516588E-2</v>
      </c>
      <c r="AA11" s="372">
        <v>300588.71999999997</v>
      </c>
      <c r="AB11" s="372">
        <v>425992.84</v>
      </c>
      <c r="AC11" s="372">
        <v>509832.51</v>
      </c>
      <c r="AD11" s="372">
        <v>552497.85</v>
      </c>
      <c r="AE11" s="372">
        <v>547033.32999999996</v>
      </c>
      <c r="AF11" s="372">
        <v>672671.81</v>
      </c>
      <c r="AG11" s="372">
        <v>757389.46</v>
      </c>
      <c r="AH11" s="372">
        <v>1028750</v>
      </c>
      <c r="BA11" s="659" t="s">
        <v>624</v>
      </c>
      <c r="BB11" s="662" t="s">
        <v>16234</v>
      </c>
      <c r="BC11" s="659" t="s">
        <v>15964</v>
      </c>
    </row>
    <row r="12" spans="1:56">
      <c r="A12" s="372" t="s">
        <v>835</v>
      </c>
      <c r="B12" s="373" t="s">
        <v>836</v>
      </c>
      <c r="C12" s="372" t="s">
        <v>837</v>
      </c>
      <c r="D12" s="374">
        <v>1101110394174</v>
      </c>
      <c r="E12" s="372" t="s">
        <v>838</v>
      </c>
      <c r="F12" s="375" t="s">
        <v>779</v>
      </c>
      <c r="G12" s="375" t="s">
        <v>839</v>
      </c>
      <c r="H12" s="375" t="s">
        <v>754</v>
      </c>
      <c r="I12" s="375" t="s">
        <v>755</v>
      </c>
      <c r="J12" s="375">
        <v>22708300.498629998</v>
      </c>
      <c r="K12" s="375">
        <v>1633368.96477</v>
      </c>
      <c r="L12" s="375">
        <v>2486144.0169500001</v>
      </c>
      <c r="M12" s="375">
        <v>19907249.97752</v>
      </c>
      <c r="N12" s="372">
        <v>1.3029999999999999</v>
      </c>
      <c r="O12" s="703">
        <v>20.419945700476102</v>
      </c>
      <c r="P12" s="375" t="s">
        <v>623</v>
      </c>
      <c r="Q12" s="375" t="s">
        <v>623</v>
      </c>
      <c r="R12" s="695">
        <v>19790227</v>
      </c>
      <c r="S12" s="375" t="s">
        <v>840</v>
      </c>
      <c r="T12" s="696">
        <v>0.26400000000000001</v>
      </c>
      <c r="U12" s="375" t="s">
        <v>841</v>
      </c>
      <c r="V12" s="722">
        <v>11.28</v>
      </c>
      <c r="W12" s="722">
        <v>1.76</v>
      </c>
      <c r="X12" s="722">
        <v>1.46</v>
      </c>
      <c r="Y12" s="722">
        <v>16.53</v>
      </c>
      <c r="Z12" s="382">
        <v>9.0630521234774442E-2</v>
      </c>
      <c r="AA12" s="372">
        <v>112947.7044604</v>
      </c>
      <c r="AB12" s="372">
        <v>135532.20248790001</v>
      </c>
      <c r="AC12" s="372">
        <v>201240.69515849999</v>
      </c>
      <c r="AD12" s="372">
        <v>227083.00498629999</v>
      </c>
      <c r="AE12" s="372">
        <v>232603.55</v>
      </c>
      <c r="AF12" s="372">
        <v>281130.15000000002</v>
      </c>
      <c r="AG12" s="372">
        <v>321288.53000000003</v>
      </c>
      <c r="AH12" s="372">
        <v>431690</v>
      </c>
      <c r="BA12" s="656"/>
      <c r="BB12" s="656"/>
      <c r="BC12" s="656"/>
      <c r="BD12" s="656"/>
    </row>
    <row r="13" spans="1:56">
      <c r="A13" s="372" t="s">
        <v>842</v>
      </c>
      <c r="B13" s="373" t="s">
        <v>843</v>
      </c>
      <c r="C13" s="372" t="s">
        <v>844</v>
      </c>
      <c r="D13" s="374">
        <v>1101111129497</v>
      </c>
      <c r="E13" s="372" t="s">
        <v>845</v>
      </c>
      <c r="F13" s="375" t="s">
        <v>822</v>
      </c>
      <c r="G13" s="375" t="s">
        <v>822</v>
      </c>
      <c r="H13" s="375" t="s">
        <v>823</v>
      </c>
      <c r="I13" s="375" t="s">
        <v>755</v>
      </c>
      <c r="J13" s="375">
        <v>7557001.7572699999</v>
      </c>
      <c r="K13" s="375">
        <v>460857.84568000003</v>
      </c>
      <c r="L13" s="375">
        <v>-1648240.24572</v>
      </c>
      <c r="M13" s="375">
        <v>13858599.22412</v>
      </c>
      <c r="N13" s="372">
        <v>1.218</v>
      </c>
      <c r="O13" s="703">
        <v>21.069635544935451</v>
      </c>
      <c r="P13" s="375" t="s">
        <v>623</v>
      </c>
      <c r="Q13" s="375" t="s">
        <v>623</v>
      </c>
      <c r="R13" s="695">
        <v>19991109</v>
      </c>
      <c r="S13" s="375" t="s">
        <v>846</v>
      </c>
      <c r="T13" s="696" t="s">
        <v>772</v>
      </c>
      <c r="U13" s="375" t="s">
        <v>847</v>
      </c>
      <c r="V13" s="722">
        <v>23.12</v>
      </c>
      <c r="W13" s="722">
        <v>2.4700000000000002</v>
      </c>
      <c r="X13" s="722">
        <v>3.2</v>
      </c>
      <c r="Y13" s="722" t="s">
        <v>774</v>
      </c>
      <c r="Z13" s="382">
        <v>7.9181301158209205E-2</v>
      </c>
      <c r="AA13" s="372">
        <v>40713.924939999997</v>
      </c>
      <c r="AB13" s="372">
        <v>59105.128810000002</v>
      </c>
      <c r="AC13" s="372">
        <v>67987.415111599999</v>
      </c>
      <c r="AD13" s="372">
        <v>75570.017572700002</v>
      </c>
      <c r="AE13" s="372">
        <v>85512.08</v>
      </c>
      <c r="AF13" s="372">
        <v>94114.87</v>
      </c>
      <c r="AG13" s="372">
        <v>102500.78</v>
      </c>
      <c r="AH13" s="372">
        <v>0</v>
      </c>
      <c r="BA13" s="663" t="s">
        <v>625</v>
      </c>
      <c r="BB13" s="663">
        <v>20240430</v>
      </c>
      <c r="BC13" s="656"/>
      <c r="BD13" s="656"/>
    </row>
    <row r="14" spans="1:56">
      <c r="A14" s="372" t="s">
        <v>848</v>
      </c>
      <c r="B14" s="373" t="s">
        <v>849</v>
      </c>
      <c r="C14" s="372" t="s">
        <v>850</v>
      </c>
      <c r="D14" s="374">
        <v>1101110015762</v>
      </c>
      <c r="E14" s="372" t="s">
        <v>851</v>
      </c>
      <c r="F14" s="375" t="s">
        <v>852</v>
      </c>
      <c r="G14" s="375" t="s">
        <v>852</v>
      </c>
      <c r="H14" s="375" t="s">
        <v>853</v>
      </c>
      <c r="I14" s="375" t="s">
        <v>755</v>
      </c>
      <c r="J14" s="375">
        <v>41895681.215729997</v>
      </c>
      <c r="K14" s="375">
        <v>2870173.8168500001</v>
      </c>
      <c r="L14" s="375">
        <v>3549496.6493099998</v>
      </c>
      <c r="M14" s="375">
        <v>39897109.481720001</v>
      </c>
      <c r="N14" s="372">
        <v>1.0189999999999999</v>
      </c>
      <c r="O14" s="703">
        <v>21.202323748412365</v>
      </c>
      <c r="P14" s="375" t="s">
        <v>623</v>
      </c>
      <c r="Q14" s="375" t="s">
        <v>623</v>
      </c>
      <c r="R14" s="695">
        <v>20141218</v>
      </c>
      <c r="S14" s="375" t="s">
        <v>854</v>
      </c>
      <c r="T14" s="696">
        <v>0.26400000000000001</v>
      </c>
      <c r="U14" s="375" t="s">
        <v>855</v>
      </c>
      <c r="V14" s="722">
        <v>8.09</v>
      </c>
      <c r="W14" s="722">
        <v>0.67</v>
      </c>
      <c r="X14" s="722">
        <v>0.57999999999999996</v>
      </c>
      <c r="Y14" s="722">
        <v>10.95</v>
      </c>
      <c r="Z14" s="382">
        <v>2.3754132272283179E-2</v>
      </c>
      <c r="AA14" s="372">
        <v>302161.18916990003</v>
      </c>
      <c r="AB14" s="372">
        <v>344551.81882699998</v>
      </c>
      <c r="AC14" s="372">
        <v>431616.53399530001</v>
      </c>
      <c r="AD14" s="372">
        <v>418956.81215730001</v>
      </c>
      <c r="AE14" s="372">
        <v>431129.82</v>
      </c>
      <c r="AF14" s="372">
        <v>445243.9</v>
      </c>
      <c r="AG14" s="372">
        <v>460205.63</v>
      </c>
      <c r="AH14" s="372">
        <v>0</v>
      </c>
      <c r="BA14" s="663" t="s">
        <v>761</v>
      </c>
      <c r="BB14" s="663" t="s">
        <v>16137</v>
      </c>
    </row>
    <row r="15" spans="1:56">
      <c r="A15" s="372" t="s">
        <v>856</v>
      </c>
      <c r="B15" s="373" t="s">
        <v>857</v>
      </c>
      <c r="C15" s="372" t="s">
        <v>858</v>
      </c>
      <c r="D15" s="374">
        <v>1101113975517</v>
      </c>
      <c r="E15" s="372" t="s">
        <v>859</v>
      </c>
      <c r="F15" s="375" t="s">
        <v>860</v>
      </c>
      <c r="G15" s="375" t="s">
        <v>861</v>
      </c>
      <c r="H15" s="375" t="s">
        <v>862</v>
      </c>
      <c r="I15" s="375" t="s">
        <v>755</v>
      </c>
      <c r="J15" s="375">
        <v>29145079</v>
      </c>
      <c r="K15" s="375">
        <v>6435319</v>
      </c>
      <c r="L15" s="375">
        <v>6170449</v>
      </c>
      <c r="M15" s="375">
        <v>58873310</v>
      </c>
      <c r="N15" s="372">
        <v>1.1830000000000001</v>
      </c>
      <c r="O15" s="703">
        <v>488.65420876089007</v>
      </c>
      <c r="P15" s="375" t="s">
        <v>623</v>
      </c>
      <c r="Q15" s="375" t="s">
        <v>623</v>
      </c>
      <c r="R15" s="695">
        <v>20081010</v>
      </c>
      <c r="S15" s="375" t="s">
        <v>772</v>
      </c>
      <c r="T15" s="696">
        <v>0.26400000000000001</v>
      </c>
      <c r="U15" s="375" t="s">
        <v>863</v>
      </c>
      <c r="V15" s="722">
        <v>0</v>
      </c>
      <c r="W15" s="722">
        <v>0.38</v>
      </c>
      <c r="X15" s="722">
        <v>0.28000000000000003</v>
      </c>
      <c r="Y15" s="722">
        <v>4.7300000000000004</v>
      </c>
      <c r="Z15" s="382">
        <v>2.721473015235043E-2</v>
      </c>
      <c r="AA15" s="372">
        <v>144857.47</v>
      </c>
      <c r="AB15" s="372">
        <v>152108.78</v>
      </c>
      <c r="AC15" s="372">
        <v>207875.77</v>
      </c>
      <c r="AD15" s="372">
        <v>291450.78999999998</v>
      </c>
      <c r="AE15" s="372">
        <v>306646.25</v>
      </c>
      <c r="AF15" s="372">
        <v>313282.73</v>
      </c>
      <c r="AG15" s="372">
        <v>324496.63</v>
      </c>
      <c r="AH15" s="372">
        <v>0</v>
      </c>
    </row>
    <row r="16" spans="1:56">
      <c r="A16" s="372" t="s">
        <v>864</v>
      </c>
      <c r="B16" s="373" t="s">
        <v>865</v>
      </c>
      <c r="C16" s="372" t="s">
        <v>866</v>
      </c>
      <c r="D16" s="374">
        <v>1501110219184</v>
      </c>
      <c r="E16" s="372" t="s">
        <v>867</v>
      </c>
      <c r="F16" s="375" t="s">
        <v>779</v>
      </c>
      <c r="G16" s="375" t="s">
        <v>839</v>
      </c>
      <c r="H16" s="375" t="s">
        <v>868</v>
      </c>
      <c r="I16" s="375" t="s">
        <v>869</v>
      </c>
      <c r="J16" s="375">
        <v>6900867.8435300002</v>
      </c>
      <c r="K16" s="375">
        <v>156029.93539</v>
      </c>
      <c r="L16" s="375">
        <v>77700.290599999993</v>
      </c>
      <c r="M16" s="375">
        <v>1599392.2864099999</v>
      </c>
      <c r="N16" s="372">
        <v>0.92</v>
      </c>
      <c r="O16" s="703">
        <v>7.8364450624545627</v>
      </c>
      <c r="P16" s="375" t="s">
        <v>623</v>
      </c>
      <c r="Q16" s="375" t="s">
        <v>623</v>
      </c>
      <c r="R16" s="695">
        <v>20190305</v>
      </c>
      <c r="S16" s="375" t="s">
        <v>870</v>
      </c>
      <c r="T16" s="696">
        <v>0.23100000000000001</v>
      </c>
      <c r="U16" s="375" t="s">
        <v>871</v>
      </c>
      <c r="V16" s="722">
        <v>119.44</v>
      </c>
      <c r="W16" s="722">
        <v>20.32</v>
      </c>
      <c r="X16" s="722">
        <v>4.08</v>
      </c>
      <c r="Y16" s="722" t="s">
        <v>774</v>
      </c>
      <c r="Z16" s="382">
        <v>0.17432903955540069</v>
      </c>
      <c r="AA16" s="372">
        <v>8547.4884387999991</v>
      </c>
      <c r="AB16" s="372">
        <v>14856.2862382</v>
      </c>
      <c r="AC16" s="372">
        <v>53576.072389499997</v>
      </c>
      <c r="AD16" s="372">
        <v>69008.678435299997</v>
      </c>
      <c r="AE16" s="372">
        <v>57300.73</v>
      </c>
      <c r="AF16" s="372">
        <v>93638.05</v>
      </c>
      <c r="AG16" s="372">
        <v>131239</v>
      </c>
      <c r="AH16" s="372">
        <v>194530</v>
      </c>
    </row>
    <row r="17" spans="1:34">
      <c r="A17" s="372" t="s">
        <v>872</v>
      </c>
      <c r="B17" s="373" t="s">
        <v>873</v>
      </c>
      <c r="C17" s="372" t="s">
        <v>874</v>
      </c>
      <c r="D17" s="374">
        <v>1101112322438</v>
      </c>
      <c r="E17" s="372" t="s">
        <v>875</v>
      </c>
      <c r="F17" s="375" t="s">
        <v>860</v>
      </c>
      <c r="G17" s="375" t="s">
        <v>861</v>
      </c>
      <c r="H17" s="375" t="s">
        <v>862</v>
      </c>
      <c r="I17" s="375" t="s">
        <v>755</v>
      </c>
      <c r="J17" s="375">
        <v>27579211</v>
      </c>
      <c r="K17" s="375">
        <v>6100850</v>
      </c>
      <c r="L17" s="375">
        <v>5964960</v>
      </c>
      <c r="M17" s="375">
        <v>56321865</v>
      </c>
      <c r="N17" s="372">
        <v>0.99299999999999999</v>
      </c>
      <c r="O17" s="703">
        <v>583.75840430751907</v>
      </c>
      <c r="P17" s="375" t="s">
        <v>623</v>
      </c>
      <c r="Q17" s="375" t="s">
        <v>623</v>
      </c>
      <c r="R17" s="695">
        <v>20010910</v>
      </c>
      <c r="S17" s="375" t="s">
        <v>876</v>
      </c>
      <c r="T17" s="696">
        <v>0.26400000000000001</v>
      </c>
      <c r="U17" s="375" t="s">
        <v>877</v>
      </c>
      <c r="V17" s="722">
        <v>0</v>
      </c>
      <c r="W17" s="722">
        <v>0.38</v>
      </c>
      <c r="X17" s="722">
        <v>0.53</v>
      </c>
      <c r="Y17" s="722">
        <v>4.78</v>
      </c>
      <c r="Z17" s="382">
        <v>1.7767775701193367E-2</v>
      </c>
      <c r="AA17" s="372">
        <v>147739.96</v>
      </c>
      <c r="AB17" s="372">
        <v>147242.29999999999</v>
      </c>
      <c r="AC17" s="372">
        <v>200923.25</v>
      </c>
      <c r="AD17" s="372">
        <v>275792.11</v>
      </c>
      <c r="AE17" s="372">
        <v>281876.67</v>
      </c>
      <c r="AF17" s="372">
        <v>289276.56</v>
      </c>
      <c r="AG17" s="372">
        <v>295921.57</v>
      </c>
      <c r="AH17" s="372">
        <v>0</v>
      </c>
    </row>
    <row r="18" spans="1:34">
      <c r="A18" s="372" t="s">
        <v>878</v>
      </c>
      <c r="B18" s="373" t="s">
        <v>879</v>
      </c>
      <c r="C18" s="372" t="s">
        <v>880</v>
      </c>
      <c r="D18" s="374">
        <v>1746110001947</v>
      </c>
      <c r="E18" s="372" t="s">
        <v>881</v>
      </c>
      <c r="F18" s="375" t="s">
        <v>779</v>
      </c>
      <c r="G18" s="375" t="s">
        <v>779</v>
      </c>
      <c r="H18" s="375" t="s">
        <v>754</v>
      </c>
      <c r="I18" s="375" t="s">
        <v>755</v>
      </c>
      <c r="J18" s="375">
        <v>4759871.4862599997</v>
      </c>
      <c r="K18" s="375">
        <v>35882.186000000002</v>
      </c>
      <c r="L18" s="375">
        <v>-16092.096079999999</v>
      </c>
      <c r="M18" s="375">
        <v>2611465.9900799999</v>
      </c>
      <c r="N18" s="372">
        <v>1.5209999999999999</v>
      </c>
      <c r="O18" s="703">
        <v>13.640310480368074</v>
      </c>
      <c r="P18" s="375" t="s">
        <v>623</v>
      </c>
      <c r="Q18" s="375" t="s">
        <v>623</v>
      </c>
      <c r="R18" s="695">
        <v>20011030</v>
      </c>
      <c r="S18" s="375" t="s">
        <v>882</v>
      </c>
      <c r="T18" s="696" t="s">
        <v>772</v>
      </c>
      <c r="U18" s="375" t="s">
        <v>15970</v>
      </c>
      <c r="V18" s="722">
        <v>175.39</v>
      </c>
      <c r="W18" s="722">
        <v>11.8</v>
      </c>
      <c r="X18" s="722">
        <v>5.84</v>
      </c>
      <c r="Y18" s="722">
        <v>968.22</v>
      </c>
      <c r="Z18" s="382">
        <v>0.2059290169355692</v>
      </c>
      <c r="AA18" s="372">
        <v>15662.357131000001</v>
      </c>
      <c r="AB18" s="372">
        <v>19895.4218186</v>
      </c>
      <c r="AC18" s="372">
        <v>33019.158050600003</v>
      </c>
      <c r="AD18" s="372">
        <v>47598.714862599998</v>
      </c>
      <c r="AE18" s="372">
        <v>52287.48</v>
      </c>
      <c r="AF18" s="372">
        <v>78059.86</v>
      </c>
      <c r="AG18" s="372">
        <v>100665.86</v>
      </c>
      <c r="AH18" s="372">
        <v>120280</v>
      </c>
    </row>
    <row r="19" spans="1:34">
      <c r="A19" s="372" t="s">
        <v>883</v>
      </c>
      <c r="B19" s="373" t="s">
        <v>884</v>
      </c>
      <c r="C19" s="372" t="s">
        <v>885</v>
      </c>
      <c r="D19" s="374">
        <v>1101110215536</v>
      </c>
      <c r="E19" s="372" t="s">
        <v>886</v>
      </c>
      <c r="F19" s="375" t="s">
        <v>887</v>
      </c>
      <c r="G19" s="375" t="s">
        <v>887</v>
      </c>
      <c r="H19" s="375" t="s">
        <v>797</v>
      </c>
      <c r="I19" s="375" t="s">
        <v>755</v>
      </c>
      <c r="J19" s="375">
        <v>59254361</v>
      </c>
      <c r="K19" s="375">
        <v>2295284</v>
      </c>
      <c r="L19" s="375">
        <v>4444854</v>
      </c>
      <c r="M19" s="375">
        <v>40655299</v>
      </c>
      <c r="N19" s="372">
        <v>0.94399999999999995</v>
      </c>
      <c r="O19" s="703">
        <v>13.373489950221854</v>
      </c>
      <c r="P19" s="375" t="s">
        <v>623</v>
      </c>
      <c r="Q19" s="375" t="s">
        <v>623</v>
      </c>
      <c r="R19" s="695">
        <v>19890905</v>
      </c>
      <c r="S19" s="375" t="s">
        <v>888</v>
      </c>
      <c r="T19" s="696">
        <v>0.26400000000000001</v>
      </c>
      <c r="U19" s="375" t="s">
        <v>889</v>
      </c>
      <c r="V19" s="722">
        <v>6.9</v>
      </c>
      <c r="W19" s="722">
        <v>0.54</v>
      </c>
      <c r="X19" s="722">
        <v>0.38</v>
      </c>
      <c r="Y19" s="722">
        <v>6.52</v>
      </c>
      <c r="Z19" s="382">
        <v>2.7886433385775122E-2</v>
      </c>
      <c r="AA19" s="372">
        <v>366265.04</v>
      </c>
      <c r="AB19" s="372">
        <v>417021.84</v>
      </c>
      <c r="AC19" s="372">
        <v>519062.93</v>
      </c>
      <c r="AD19" s="372">
        <v>592543.61</v>
      </c>
      <c r="AE19" s="372">
        <v>588770.79</v>
      </c>
      <c r="AF19" s="372">
        <v>631036.5</v>
      </c>
      <c r="AG19" s="372">
        <v>661455.84</v>
      </c>
      <c r="AH19" s="372">
        <v>785830</v>
      </c>
    </row>
    <row r="20" spans="1:34">
      <c r="A20" s="372" t="s">
        <v>890</v>
      </c>
      <c r="B20" s="373" t="s">
        <v>891</v>
      </c>
      <c r="C20" s="372" t="s">
        <v>892</v>
      </c>
      <c r="D20" s="374">
        <v>1101112487050</v>
      </c>
      <c r="E20" s="372" t="s">
        <v>893</v>
      </c>
      <c r="F20" s="375" t="s">
        <v>622</v>
      </c>
      <c r="G20" s="375" t="s">
        <v>622</v>
      </c>
      <c r="H20" s="375" t="s">
        <v>754</v>
      </c>
      <c r="I20" s="375" t="s">
        <v>755</v>
      </c>
      <c r="J20" s="375">
        <v>84227765</v>
      </c>
      <c r="K20" s="375">
        <v>3549074</v>
      </c>
      <c r="L20" s="375">
        <v>1869879</v>
      </c>
      <c r="M20" s="375">
        <v>23498536</v>
      </c>
      <c r="N20" s="372">
        <v>1.018</v>
      </c>
      <c r="O20" s="703">
        <v>95.914951295528198</v>
      </c>
      <c r="P20" s="375" t="s">
        <v>623</v>
      </c>
      <c r="Q20" s="375" t="s">
        <v>623</v>
      </c>
      <c r="R20" s="695">
        <v>20020422</v>
      </c>
      <c r="S20" s="375" t="s">
        <v>894</v>
      </c>
      <c r="T20" s="696">
        <v>0.26400000000000001</v>
      </c>
      <c r="U20" s="375" t="s">
        <v>895</v>
      </c>
      <c r="V20" s="722">
        <v>4.01</v>
      </c>
      <c r="W20" s="722">
        <v>0.93</v>
      </c>
      <c r="X20" s="722">
        <v>0.22</v>
      </c>
      <c r="Y20" s="722">
        <v>25.82</v>
      </c>
      <c r="Z20" s="382">
        <v>3.6439864436194291E-2</v>
      </c>
      <c r="AA20" s="372">
        <v>580579.07999999996</v>
      </c>
      <c r="AB20" s="372">
        <v>739079.84</v>
      </c>
      <c r="AC20" s="372">
        <v>834673.18</v>
      </c>
      <c r="AD20" s="372">
        <v>842277.65</v>
      </c>
      <c r="AE20" s="372">
        <v>878936.45</v>
      </c>
      <c r="AF20" s="372">
        <v>923377.45</v>
      </c>
      <c r="AG20" s="372">
        <v>971922.67</v>
      </c>
      <c r="AH20" s="372">
        <v>0</v>
      </c>
    </row>
    <row r="21" spans="1:34">
      <c r="A21" s="372" t="s">
        <v>896</v>
      </c>
      <c r="B21" s="373" t="s">
        <v>897</v>
      </c>
      <c r="C21" s="372" t="s">
        <v>898</v>
      </c>
      <c r="D21" s="374">
        <v>1101111598379</v>
      </c>
      <c r="E21" s="372" t="s">
        <v>899</v>
      </c>
      <c r="F21" s="375" t="s">
        <v>900</v>
      </c>
      <c r="G21" s="375" t="s">
        <v>901</v>
      </c>
      <c r="H21" s="375" t="s">
        <v>902</v>
      </c>
      <c r="I21" s="375" t="s">
        <v>869</v>
      </c>
      <c r="J21" s="375">
        <v>7260200.3457199996</v>
      </c>
      <c r="K21" s="375">
        <v>298172.33424</v>
      </c>
      <c r="L21" s="375">
        <v>144197.54198000001</v>
      </c>
      <c r="M21" s="375">
        <v>3486135.7267999998</v>
      </c>
      <c r="N21" s="372">
        <v>0.91400000000000003</v>
      </c>
      <c r="O21" s="703">
        <v>18.783668675639522</v>
      </c>
      <c r="P21" s="375" t="s">
        <v>623</v>
      </c>
      <c r="Q21" s="375" t="s">
        <v>623</v>
      </c>
      <c r="R21" s="695">
        <v>20070720</v>
      </c>
      <c r="S21" s="375" t="s">
        <v>903</v>
      </c>
      <c r="T21" s="696">
        <v>0.23100000000000001</v>
      </c>
      <c r="U21" s="375" t="s">
        <v>904</v>
      </c>
      <c r="V21" s="722">
        <v>43.75</v>
      </c>
      <c r="W21" s="722">
        <v>10.15</v>
      </c>
      <c r="X21" s="722">
        <v>2.37</v>
      </c>
      <c r="Y21" s="722">
        <v>337.7</v>
      </c>
      <c r="Z21" s="382" t="s">
        <v>934</v>
      </c>
      <c r="AA21" s="372">
        <v>8508.1198937999998</v>
      </c>
      <c r="AB21" s="372">
        <v>15041.914108499999</v>
      </c>
      <c r="AC21" s="372">
        <v>56397.413273099999</v>
      </c>
      <c r="AD21" s="372">
        <v>72602.0034572</v>
      </c>
      <c r="AE21" s="372">
        <v>82884</v>
      </c>
      <c r="AF21" s="372">
        <v>134981</v>
      </c>
      <c r="AG21" s="372">
        <v>0</v>
      </c>
      <c r="AH21" s="372">
        <v>0</v>
      </c>
    </row>
    <row r="22" spans="1:34">
      <c r="A22" s="372" t="s">
        <v>905</v>
      </c>
      <c r="B22" s="373" t="s">
        <v>906</v>
      </c>
      <c r="C22" s="372" t="s">
        <v>907</v>
      </c>
      <c r="D22" s="374">
        <v>1101113352004</v>
      </c>
      <c r="E22" s="372" t="s">
        <v>908</v>
      </c>
      <c r="F22" s="375" t="s">
        <v>860</v>
      </c>
      <c r="G22" s="375" t="s">
        <v>861</v>
      </c>
      <c r="H22" s="375" t="s">
        <v>862</v>
      </c>
      <c r="I22" s="375" t="s">
        <v>755</v>
      </c>
      <c r="J22" s="375">
        <v>23275944</v>
      </c>
      <c r="K22" s="375">
        <v>4693407</v>
      </c>
      <c r="L22" s="375">
        <v>4681212</v>
      </c>
      <c r="M22" s="375">
        <v>40181717</v>
      </c>
      <c r="N22" s="372">
        <v>1.1539999999999999</v>
      </c>
      <c r="O22" s="703">
        <v>616.87512587677463</v>
      </c>
      <c r="P22" s="375" t="s">
        <v>623</v>
      </c>
      <c r="Q22" s="375" t="s">
        <v>623</v>
      </c>
      <c r="R22" s="695">
        <v>20051212</v>
      </c>
      <c r="S22" s="375" t="s">
        <v>909</v>
      </c>
      <c r="T22" s="696">
        <v>0.26400000000000001</v>
      </c>
      <c r="U22" s="375" t="s">
        <v>910</v>
      </c>
      <c r="V22" s="722">
        <v>0</v>
      </c>
      <c r="W22" s="722">
        <v>0.32</v>
      </c>
      <c r="X22" s="722">
        <v>0.18</v>
      </c>
      <c r="Y22" s="722">
        <v>3.74</v>
      </c>
      <c r="Z22" s="382">
        <v>2.521138906657483E-2</v>
      </c>
      <c r="AA22" s="372">
        <v>107051.96</v>
      </c>
      <c r="AB22" s="372">
        <v>108674.91</v>
      </c>
      <c r="AC22" s="372">
        <v>159846.91</v>
      </c>
      <c r="AD22" s="372">
        <v>232759.44</v>
      </c>
      <c r="AE22" s="372">
        <v>249227.7</v>
      </c>
      <c r="AF22" s="372">
        <v>253995.89</v>
      </c>
      <c r="AG22" s="372">
        <v>257134.88</v>
      </c>
      <c r="AH22" s="372">
        <v>0</v>
      </c>
    </row>
    <row r="23" spans="1:34">
      <c r="A23" s="372" t="s">
        <v>911</v>
      </c>
      <c r="B23" s="373" t="s">
        <v>912</v>
      </c>
      <c r="C23" s="372" t="s">
        <v>913</v>
      </c>
      <c r="D23" s="374">
        <v>1101110193740</v>
      </c>
      <c r="E23" s="372" t="s">
        <v>913</v>
      </c>
      <c r="F23" s="375" t="s">
        <v>914</v>
      </c>
      <c r="G23" s="375" t="s">
        <v>915</v>
      </c>
      <c r="H23" s="375" t="s">
        <v>916</v>
      </c>
      <c r="I23" s="375" t="s">
        <v>755</v>
      </c>
      <c r="J23" s="375">
        <v>8400969</v>
      </c>
      <c r="K23" s="375">
        <v>584770</v>
      </c>
      <c r="L23" s="375">
        <v>1054261</v>
      </c>
      <c r="M23" s="375">
        <v>21440813</v>
      </c>
      <c r="N23" s="372">
        <v>0.875</v>
      </c>
      <c r="O23" s="703">
        <v>27.717118373208532</v>
      </c>
      <c r="P23" s="375" t="s">
        <v>623</v>
      </c>
      <c r="Q23" s="375" t="s">
        <v>623</v>
      </c>
      <c r="R23" s="695">
        <v>19951005</v>
      </c>
      <c r="S23" s="375" t="s">
        <v>917</v>
      </c>
      <c r="T23" s="696">
        <v>0.26400000000000001</v>
      </c>
      <c r="U23" s="375" t="s">
        <v>918</v>
      </c>
      <c r="V23" s="722">
        <v>9.26</v>
      </c>
      <c r="W23" s="722">
        <v>0.63</v>
      </c>
      <c r="X23" s="722">
        <v>1.38</v>
      </c>
      <c r="Y23" s="722">
        <v>12</v>
      </c>
      <c r="Z23" s="382">
        <v>2.7008643307794733E-2</v>
      </c>
      <c r="AA23" s="372">
        <v>64132.7</v>
      </c>
      <c r="AB23" s="372">
        <v>137941.48000000001</v>
      </c>
      <c r="AC23" s="372">
        <v>185827.7</v>
      </c>
      <c r="AD23" s="372">
        <v>84009.69</v>
      </c>
      <c r="AE23" s="372">
        <v>96169.25</v>
      </c>
      <c r="AF23" s="372">
        <v>86482</v>
      </c>
      <c r="AG23" s="372">
        <v>93460</v>
      </c>
      <c r="AH23" s="372">
        <v>0</v>
      </c>
    </row>
    <row r="24" spans="1:34">
      <c r="A24" s="372" t="s">
        <v>919</v>
      </c>
      <c r="B24" s="373" t="s">
        <v>920</v>
      </c>
      <c r="C24" s="372" t="s">
        <v>921</v>
      </c>
      <c r="D24" s="374">
        <v>1101114566406</v>
      </c>
      <c r="E24" s="372" t="s">
        <v>922</v>
      </c>
      <c r="F24" s="372" t="s">
        <v>860</v>
      </c>
      <c r="G24" s="375" t="s">
        <v>861</v>
      </c>
      <c r="H24" s="375" t="s">
        <v>862</v>
      </c>
      <c r="I24" s="375" t="s">
        <v>755</v>
      </c>
      <c r="J24" s="375">
        <v>3903883.9538500002</v>
      </c>
      <c r="K24" s="375">
        <v>2933502.3606699998</v>
      </c>
      <c r="L24" s="375">
        <v>2843924.37885</v>
      </c>
      <c r="M24" s="375">
        <v>10097185.06593</v>
      </c>
      <c r="N24" s="372">
        <v>1.141</v>
      </c>
      <c r="O24" s="703">
        <v>222.02976766129873</v>
      </c>
      <c r="P24" s="375" t="s">
        <v>623</v>
      </c>
      <c r="Q24" s="375" t="s">
        <v>623</v>
      </c>
      <c r="R24" s="695">
        <v>20110513</v>
      </c>
      <c r="S24" s="375" t="s">
        <v>923</v>
      </c>
      <c r="T24" s="696">
        <v>0.26400000000000001</v>
      </c>
      <c r="U24" s="375" t="s">
        <v>924</v>
      </c>
      <c r="V24" s="722">
        <v>0</v>
      </c>
      <c r="W24" s="722">
        <v>1.19</v>
      </c>
      <c r="X24" s="722">
        <v>0.2</v>
      </c>
      <c r="Y24" s="722">
        <v>5.65</v>
      </c>
      <c r="Z24" s="382" t="s">
        <v>934</v>
      </c>
      <c r="AA24" s="372">
        <v>18244.651401899999</v>
      </c>
      <c r="AB24" s="372">
        <v>19124.9827066</v>
      </c>
      <c r="AC24" s="372">
        <v>29412.447246399999</v>
      </c>
      <c r="AD24" s="372">
        <v>39038.839538499997</v>
      </c>
      <c r="AE24" s="372">
        <v>26410</v>
      </c>
      <c r="AF24" s="372">
        <v>27270</v>
      </c>
      <c r="AG24" s="372">
        <v>0</v>
      </c>
      <c r="AH24" s="372">
        <v>0</v>
      </c>
    </row>
    <row r="25" spans="1:34">
      <c r="A25" s="372" t="s">
        <v>925</v>
      </c>
      <c r="B25" s="373" t="s">
        <v>926</v>
      </c>
      <c r="C25" s="372" t="s">
        <v>927</v>
      </c>
      <c r="D25" s="374">
        <v>1311110435767</v>
      </c>
      <c r="E25" s="372" t="s">
        <v>928</v>
      </c>
      <c r="F25" s="375" t="s">
        <v>929</v>
      </c>
      <c r="G25" s="375" t="s">
        <v>930</v>
      </c>
      <c r="H25" s="375" t="s">
        <v>931</v>
      </c>
      <c r="I25" s="375" t="s">
        <v>755</v>
      </c>
      <c r="J25" s="375">
        <v>2048170</v>
      </c>
      <c r="K25" s="375">
        <v>478485</v>
      </c>
      <c r="L25" s="375">
        <v>469207</v>
      </c>
      <c r="M25" s="375">
        <v>6117694</v>
      </c>
      <c r="N25" s="372">
        <v>1.69</v>
      </c>
      <c r="O25" s="703">
        <v>0</v>
      </c>
      <c r="P25" s="375" t="s">
        <v>623</v>
      </c>
      <c r="Q25" s="375" t="s">
        <v>623</v>
      </c>
      <c r="R25" s="695">
        <v>20210806</v>
      </c>
      <c r="S25" s="375" t="s">
        <v>932</v>
      </c>
      <c r="T25" s="696">
        <v>0.26400000000000001</v>
      </c>
      <c r="U25" s="375" t="s">
        <v>933</v>
      </c>
      <c r="V25" s="722">
        <v>0</v>
      </c>
      <c r="W25" s="722">
        <v>2.2200000000000002</v>
      </c>
      <c r="X25" s="722">
        <v>0</v>
      </c>
      <c r="Y25" s="722">
        <v>0</v>
      </c>
      <c r="Z25" s="382" t="s">
        <v>934</v>
      </c>
      <c r="AA25" s="372">
        <v>5993.9</v>
      </c>
      <c r="AB25" s="372">
        <v>7859.85</v>
      </c>
      <c r="AC25" s="372">
        <v>12938.74</v>
      </c>
      <c r="AD25" s="372">
        <v>20481.7</v>
      </c>
      <c r="AE25" s="372">
        <v>0</v>
      </c>
      <c r="AF25" s="372">
        <v>0</v>
      </c>
      <c r="AG25" s="372">
        <v>0</v>
      </c>
      <c r="AH25" s="372">
        <v>0</v>
      </c>
    </row>
    <row r="26" spans="1:34">
      <c r="A26" s="372" t="s">
        <v>935</v>
      </c>
      <c r="B26" s="373" t="s">
        <v>936</v>
      </c>
      <c r="C26" s="372" t="s">
        <v>937</v>
      </c>
      <c r="D26" s="374">
        <v>1101110005953</v>
      </c>
      <c r="E26" s="372" t="s">
        <v>938</v>
      </c>
      <c r="F26" s="372" t="s">
        <v>939</v>
      </c>
      <c r="G26" s="375" t="s">
        <v>939</v>
      </c>
      <c r="H26" s="375" t="s">
        <v>940</v>
      </c>
      <c r="I26" s="375" t="s">
        <v>755</v>
      </c>
      <c r="J26" s="375">
        <v>9940661</v>
      </c>
      <c r="K26" s="375">
        <v>2398377</v>
      </c>
      <c r="L26" s="375">
        <v>2559051</v>
      </c>
      <c r="M26" s="375">
        <v>44337441</v>
      </c>
      <c r="N26" s="372">
        <v>0.84499999999999997</v>
      </c>
      <c r="O26" s="703">
        <v>152.25074722611402</v>
      </c>
      <c r="P26" s="375" t="s">
        <v>623</v>
      </c>
      <c r="Q26" s="375" t="s">
        <v>623</v>
      </c>
      <c r="R26" s="695">
        <v>20100512</v>
      </c>
      <c r="S26" s="375" t="s">
        <v>941</v>
      </c>
      <c r="T26" s="696">
        <v>0.26400000000000001</v>
      </c>
      <c r="U26" s="375" t="s">
        <v>942</v>
      </c>
      <c r="V26" s="722">
        <v>0</v>
      </c>
      <c r="W26" s="722">
        <v>0.31</v>
      </c>
      <c r="X26" s="722">
        <v>0.45</v>
      </c>
      <c r="Y26" s="722">
        <v>7.29</v>
      </c>
      <c r="Z26" s="382" t="s">
        <v>934</v>
      </c>
      <c r="AA26" s="372">
        <v>177400.6</v>
      </c>
      <c r="AB26" s="372">
        <v>176357.31</v>
      </c>
      <c r="AC26" s="372">
        <v>131880.46</v>
      </c>
      <c r="AD26" s="372">
        <v>99406.61</v>
      </c>
      <c r="AE26" s="372">
        <v>0</v>
      </c>
      <c r="AF26" s="372">
        <v>0</v>
      </c>
      <c r="AG26" s="372">
        <v>0</v>
      </c>
      <c r="AH26" s="372">
        <v>0</v>
      </c>
    </row>
    <row r="27" spans="1:34">
      <c r="A27" s="372" t="s">
        <v>943</v>
      </c>
      <c r="B27" s="373" t="s">
        <v>944</v>
      </c>
      <c r="C27" s="372" t="s">
        <v>945</v>
      </c>
      <c r="D27" s="374">
        <v>1101110769583</v>
      </c>
      <c r="E27" s="372" t="s">
        <v>945</v>
      </c>
      <c r="F27" s="375" t="s">
        <v>900</v>
      </c>
      <c r="G27" s="375" t="s">
        <v>901</v>
      </c>
      <c r="H27" s="375" t="s">
        <v>862</v>
      </c>
      <c r="I27" s="375" t="s">
        <v>755</v>
      </c>
      <c r="J27" s="375">
        <v>131237878</v>
      </c>
      <c r="K27" s="375">
        <v>4439340</v>
      </c>
      <c r="L27" s="375">
        <v>-678185</v>
      </c>
      <c r="M27" s="375">
        <v>77879050</v>
      </c>
      <c r="N27" s="372">
        <v>1.41</v>
      </c>
      <c r="O27" s="703">
        <v>930.42487866329805</v>
      </c>
      <c r="P27" s="375" t="s">
        <v>623</v>
      </c>
      <c r="Q27" s="375" t="s">
        <v>623</v>
      </c>
      <c r="R27" s="695">
        <v>20091111</v>
      </c>
      <c r="S27" s="375" t="s">
        <v>946</v>
      </c>
      <c r="T27" s="696" t="s">
        <v>772</v>
      </c>
      <c r="U27" s="375" t="s">
        <v>947</v>
      </c>
      <c r="V27" s="722">
        <v>9.5399999999999991</v>
      </c>
      <c r="W27" s="722">
        <v>0.57999999999999996</v>
      </c>
      <c r="X27" s="722">
        <v>0.1</v>
      </c>
      <c r="Y27" s="722" t="s">
        <v>774</v>
      </c>
      <c r="Z27" s="382">
        <v>2.0853200979870756E-2</v>
      </c>
      <c r="AA27" s="372">
        <v>808187.55</v>
      </c>
      <c r="AB27" s="372">
        <v>972036.53</v>
      </c>
      <c r="AC27" s="372">
        <v>1320793.54</v>
      </c>
      <c r="AD27" s="372">
        <v>1312378.78</v>
      </c>
      <c r="AE27" s="372">
        <v>1335056</v>
      </c>
      <c r="AF27" s="372">
        <v>1380007.92</v>
      </c>
      <c r="AG27" s="372">
        <v>1425320</v>
      </c>
      <c r="AH27" s="372">
        <v>0</v>
      </c>
    </row>
    <row r="28" spans="1:34">
      <c r="A28" s="372" t="s">
        <v>948</v>
      </c>
      <c r="B28" s="373" t="s">
        <v>949</v>
      </c>
      <c r="C28" s="372" t="s">
        <v>950</v>
      </c>
      <c r="D28" s="374">
        <v>1146710001456</v>
      </c>
      <c r="E28" s="372" t="s">
        <v>951</v>
      </c>
      <c r="F28" s="375" t="s">
        <v>952</v>
      </c>
      <c r="G28" s="375" t="s">
        <v>952</v>
      </c>
      <c r="H28" s="375" t="s">
        <v>953</v>
      </c>
      <c r="I28" s="375" t="s">
        <v>755</v>
      </c>
      <c r="J28" s="375">
        <v>88219461</v>
      </c>
      <c r="K28" s="375">
        <v>-4541648</v>
      </c>
      <c r="L28" s="375">
        <v>-7553977</v>
      </c>
      <c r="M28" s="375">
        <v>37264750</v>
      </c>
      <c r="N28" s="372">
        <v>0.56699999999999995</v>
      </c>
      <c r="O28" s="703">
        <v>1012.2577999143056</v>
      </c>
      <c r="P28" s="375" t="s">
        <v>623</v>
      </c>
      <c r="Q28" s="375" t="s">
        <v>623</v>
      </c>
      <c r="R28" s="695">
        <v>19890810</v>
      </c>
      <c r="S28" s="375" t="s">
        <v>954</v>
      </c>
      <c r="T28" s="696" t="s">
        <v>772</v>
      </c>
      <c r="U28" s="375" t="s">
        <v>955</v>
      </c>
      <c r="V28" s="722">
        <v>16.899999999999999</v>
      </c>
      <c r="W28" s="722">
        <v>0.34</v>
      </c>
      <c r="X28" s="722">
        <v>0.14000000000000001</v>
      </c>
      <c r="Y28" s="722" t="s">
        <v>774</v>
      </c>
      <c r="Z28" s="382">
        <v>2.7182341495056273E-2</v>
      </c>
      <c r="AA28" s="372">
        <v>585693.14</v>
      </c>
      <c r="AB28" s="372">
        <v>606735.87</v>
      </c>
      <c r="AC28" s="372">
        <v>712578.63</v>
      </c>
      <c r="AD28" s="372">
        <v>882194.61</v>
      </c>
      <c r="AE28" s="372">
        <v>926511.42</v>
      </c>
      <c r="AF28" s="372">
        <v>952906.08</v>
      </c>
      <c r="AG28" s="372">
        <v>982097.44</v>
      </c>
      <c r="AH28" s="372">
        <v>0</v>
      </c>
    </row>
    <row r="29" spans="1:34">
      <c r="A29" s="372" t="s">
        <v>956</v>
      </c>
      <c r="B29" s="373" t="s">
        <v>957</v>
      </c>
      <c r="C29" s="372" t="s">
        <v>958</v>
      </c>
      <c r="D29" s="374">
        <v>1101110003543</v>
      </c>
      <c r="E29" s="372" t="s">
        <v>959</v>
      </c>
      <c r="F29" s="375" t="s">
        <v>900</v>
      </c>
      <c r="G29" s="375" t="s">
        <v>901</v>
      </c>
      <c r="H29" s="375" t="s">
        <v>862</v>
      </c>
      <c r="I29" s="375" t="s">
        <v>755</v>
      </c>
      <c r="J29" s="375">
        <v>7445336</v>
      </c>
      <c r="K29" s="375">
        <v>1589013</v>
      </c>
      <c r="L29" s="375">
        <v>1618368</v>
      </c>
      <c r="M29" s="375">
        <v>27016489</v>
      </c>
      <c r="N29" s="372">
        <v>1.0660000000000001</v>
      </c>
      <c r="O29" s="703">
        <v>4.9705267962936794</v>
      </c>
      <c r="P29" s="375" t="s">
        <v>623</v>
      </c>
      <c r="Q29" s="375" t="s">
        <v>623</v>
      </c>
      <c r="R29" s="695">
        <v>19700213</v>
      </c>
      <c r="S29" s="375" t="s">
        <v>861</v>
      </c>
      <c r="T29" s="696">
        <v>0.26400000000000001</v>
      </c>
      <c r="U29" s="372" t="s">
        <v>960</v>
      </c>
      <c r="V29" s="722">
        <v>8.2100000000000009</v>
      </c>
      <c r="W29" s="722">
        <v>0.52</v>
      </c>
      <c r="X29" s="722">
        <v>1.85</v>
      </c>
      <c r="Y29" s="722">
        <v>10.92</v>
      </c>
      <c r="Z29" s="382">
        <v>5.5090099615116683E-2</v>
      </c>
      <c r="AA29" s="372">
        <v>51990.7</v>
      </c>
      <c r="AB29" s="372">
        <v>68590.100000000006</v>
      </c>
      <c r="AC29" s="372">
        <v>71859.87</v>
      </c>
      <c r="AD29" s="372">
        <v>74453.36</v>
      </c>
      <c r="AE29" s="372">
        <v>81828.58</v>
      </c>
      <c r="AF29" s="372">
        <v>88883.91</v>
      </c>
      <c r="AG29" s="372">
        <v>92266.17</v>
      </c>
      <c r="AH29" s="372">
        <v>0</v>
      </c>
    </row>
    <row r="30" spans="1:34">
      <c r="A30" s="372" t="s">
        <v>961</v>
      </c>
      <c r="B30" s="373" t="s">
        <v>962</v>
      </c>
      <c r="C30" s="372" t="s">
        <v>963</v>
      </c>
      <c r="D30" s="374">
        <v>1101110005078</v>
      </c>
      <c r="E30" s="372" t="s">
        <v>964</v>
      </c>
      <c r="F30" s="375" t="s">
        <v>965</v>
      </c>
      <c r="G30" s="375" t="s">
        <v>966</v>
      </c>
      <c r="H30" s="375" t="s">
        <v>940</v>
      </c>
      <c r="I30" s="375" t="s">
        <v>755</v>
      </c>
      <c r="J30" s="375">
        <v>16670111.09853</v>
      </c>
      <c r="K30" s="375">
        <v>2357283.4174799998</v>
      </c>
      <c r="L30" s="375">
        <v>2446581.7561400002</v>
      </c>
      <c r="M30" s="375">
        <v>16144398.28143</v>
      </c>
      <c r="N30" s="372">
        <v>0.82299999999999995</v>
      </c>
      <c r="O30" s="703">
        <v>0</v>
      </c>
      <c r="P30" s="375" t="s">
        <v>623</v>
      </c>
      <c r="Q30" s="375" t="s">
        <v>623</v>
      </c>
      <c r="R30" s="695">
        <v>19750630</v>
      </c>
      <c r="S30" s="375" t="s">
        <v>967</v>
      </c>
      <c r="T30" s="696">
        <v>0.26400000000000001</v>
      </c>
      <c r="U30" s="375" t="s">
        <v>968</v>
      </c>
      <c r="V30" s="722">
        <v>0</v>
      </c>
      <c r="W30" s="722">
        <v>0.76</v>
      </c>
      <c r="X30" s="722">
        <v>0.64</v>
      </c>
      <c r="Y30" s="722">
        <v>7.31</v>
      </c>
      <c r="Z30" s="382" t="s">
        <v>934</v>
      </c>
      <c r="AA30" s="372">
        <v>200132.95763610001</v>
      </c>
      <c r="AB30" s="372">
        <v>201060.6600142</v>
      </c>
      <c r="AC30" s="372">
        <v>154483.0174637</v>
      </c>
      <c r="AD30" s="372">
        <v>166701.11098530001</v>
      </c>
      <c r="AE30" s="372">
        <v>0</v>
      </c>
      <c r="AF30" s="372">
        <v>0</v>
      </c>
      <c r="AG30" s="372">
        <v>0</v>
      </c>
      <c r="AH30" s="372">
        <v>0</v>
      </c>
    </row>
    <row r="31" spans="1:34">
      <c r="A31" s="372" t="s">
        <v>969</v>
      </c>
      <c r="B31" s="373" t="s">
        <v>970</v>
      </c>
      <c r="C31" s="372" t="s">
        <v>971</v>
      </c>
      <c r="D31" s="374">
        <v>1601110067804</v>
      </c>
      <c r="E31" s="372" t="s">
        <v>972</v>
      </c>
      <c r="F31" s="375" t="s">
        <v>973</v>
      </c>
      <c r="G31" s="375" t="s">
        <v>974</v>
      </c>
      <c r="H31" s="375" t="s">
        <v>975</v>
      </c>
      <c r="I31" s="375" t="s">
        <v>755</v>
      </c>
      <c r="J31" s="375">
        <v>5862608</v>
      </c>
      <c r="K31" s="375">
        <v>1167336</v>
      </c>
      <c r="L31" s="375">
        <v>1248382</v>
      </c>
      <c r="M31" s="375">
        <v>9294935</v>
      </c>
      <c r="N31" s="372">
        <v>0.42599999999999999</v>
      </c>
      <c r="O31" s="703">
        <v>6.1791015814051571</v>
      </c>
      <c r="P31" s="375" t="s">
        <v>623</v>
      </c>
      <c r="Q31" s="375" t="s">
        <v>623</v>
      </c>
      <c r="R31" s="695">
        <v>19991008</v>
      </c>
      <c r="S31" s="375" t="s">
        <v>976</v>
      </c>
      <c r="T31" s="696">
        <v>0.26400000000000001</v>
      </c>
      <c r="U31" s="375" t="s">
        <v>977</v>
      </c>
      <c r="V31" s="722">
        <v>8.34</v>
      </c>
      <c r="W31" s="722">
        <v>1.1200000000000001</v>
      </c>
      <c r="X31" s="722">
        <v>2.02</v>
      </c>
      <c r="Y31" s="722">
        <v>13.14</v>
      </c>
      <c r="Z31" s="382">
        <v>3.36922297130271E-2</v>
      </c>
      <c r="AA31" s="372">
        <v>50553.114879000001</v>
      </c>
      <c r="AB31" s="372">
        <v>52283.515965300001</v>
      </c>
      <c r="AC31" s="372">
        <v>58514.06</v>
      </c>
      <c r="AD31" s="372">
        <v>58626.080000000002</v>
      </c>
      <c r="AE31" s="372">
        <v>60830.67</v>
      </c>
      <c r="AF31" s="372">
        <v>63612.800000000003</v>
      </c>
      <c r="AG31" s="372">
        <v>66935.399999999994</v>
      </c>
      <c r="AH31" s="372">
        <v>0</v>
      </c>
    </row>
    <row r="32" spans="1:34">
      <c r="A32" s="372" t="s">
        <v>978</v>
      </c>
      <c r="B32" s="373" t="s">
        <v>979</v>
      </c>
      <c r="C32" s="372" t="s">
        <v>980</v>
      </c>
      <c r="D32" s="374">
        <v>1101110398556</v>
      </c>
      <c r="E32" s="372" t="s">
        <v>981</v>
      </c>
      <c r="F32" s="375" t="s">
        <v>982</v>
      </c>
      <c r="G32" s="375" t="s">
        <v>983</v>
      </c>
      <c r="H32" s="375" t="s">
        <v>823</v>
      </c>
      <c r="I32" s="375" t="s">
        <v>755</v>
      </c>
      <c r="J32" s="375">
        <v>13276844.20487</v>
      </c>
      <c r="K32" s="375">
        <v>808230.94660000002</v>
      </c>
      <c r="L32" s="375">
        <v>985508.37135999999</v>
      </c>
      <c r="M32" s="375">
        <v>8975571.1419300009</v>
      </c>
      <c r="N32" s="372">
        <v>0.754</v>
      </c>
      <c r="O32" s="703">
        <v>7.0077577850126822</v>
      </c>
      <c r="P32" s="375" t="s">
        <v>623</v>
      </c>
      <c r="Q32" s="375" t="s">
        <v>623</v>
      </c>
      <c r="R32" s="695">
        <v>20141114</v>
      </c>
      <c r="S32" s="375" t="s">
        <v>984</v>
      </c>
      <c r="T32" s="696">
        <v>0.26400000000000001</v>
      </c>
      <c r="U32" s="375" t="s">
        <v>985</v>
      </c>
      <c r="V32" s="722">
        <v>9.48</v>
      </c>
      <c r="W32" s="722">
        <v>1.52</v>
      </c>
      <c r="X32" s="722">
        <v>0.99</v>
      </c>
      <c r="Y32" s="722">
        <v>18.97</v>
      </c>
      <c r="Z32" s="382">
        <v>4.7906116553672717E-2</v>
      </c>
      <c r="AA32" s="372">
        <v>110174.3152552</v>
      </c>
      <c r="AB32" s="372">
        <v>136300.0243892</v>
      </c>
      <c r="AC32" s="372">
        <v>172347.49537660001</v>
      </c>
      <c r="AD32" s="372">
        <v>132768.4420487</v>
      </c>
      <c r="AE32" s="372">
        <v>140223.71</v>
      </c>
      <c r="AF32" s="372">
        <v>148762.23000000001</v>
      </c>
      <c r="AG32" s="372">
        <v>160097.43</v>
      </c>
      <c r="AH32" s="372">
        <v>0</v>
      </c>
    </row>
    <row r="33" spans="1:34">
      <c r="A33" s="372" t="s">
        <v>986</v>
      </c>
      <c r="B33" s="373" t="s">
        <v>987</v>
      </c>
      <c r="C33" s="372" t="s">
        <v>988</v>
      </c>
      <c r="D33" s="374">
        <v>1101113710385</v>
      </c>
      <c r="E33" s="372" t="s">
        <v>989</v>
      </c>
      <c r="F33" s="375" t="s">
        <v>990</v>
      </c>
      <c r="G33" s="375" t="s">
        <v>990</v>
      </c>
      <c r="H33" s="375" t="s">
        <v>832</v>
      </c>
      <c r="I33" s="375" t="s">
        <v>755</v>
      </c>
      <c r="J33" s="375">
        <v>77288485.863999993</v>
      </c>
      <c r="K33" s="375">
        <v>1286847.8529999999</v>
      </c>
      <c r="L33" s="375">
        <v>932185.00300000003</v>
      </c>
      <c r="M33" s="375">
        <v>30019967.513</v>
      </c>
      <c r="N33" s="372">
        <v>1.327</v>
      </c>
      <c r="O33" s="703">
        <v>288.64198497198163</v>
      </c>
      <c r="P33" s="375" t="s">
        <v>623</v>
      </c>
      <c r="Q33" s="375" t="s">
        <v>623</v>
      </c>
      <c r="R33" s="695">
        <v>20070725</v>
      </c>
      <c r="S33" s="375" t="s">
        <v>991</v>
      </c>
      <c r="T33" s="696">
        <v>0.26400000000000001</v>
      </c>
      <c r="U33" s="375" t="s">
        <v>992</v>
      </c>
      <c r="V33" s="722">
        <v>11.78</v>
      </c>
      <c r="W33" s="722">
        <v>0.62</v>
      </c>
      <c r="X33" s="722">
        <v>0.18</v>
      </c>
      <c r="Y33" s="722">
        <v>53.02</v>
      </c>
      <c r="Z33" s="382">
        <v>3.9357458448324723E-2</v>
      </c>
      <c r="AA33" s="372">
        <v>345499.40259000001</v>
      </c>
      <c r="AB33" s="372">
        <v>468534.15717999998</v>
      </c>
      <c r="AC33" s="372">
        <v>780569.39448000002</v>
      </c>
      <c r="AD33" s="372">
        <v>772884.85863999999</v>
      </c>
      <c r="AE33" s="372">
        <v>786010.4</v>
      </c>
      <c r="AF33" s="372">
        <v>830563.3</v>
      </c>
      <c r="AG33" s="372">
        <v>901933.56</v>
      </c>
      <c r="AH33" s="372">
        <v>954600</v>
      </c>
    </row>
    <row r="34" spans="1:34">
      <c r="A34" s="372" t="s">
        <v>993</v>
      </c>
      <c r="B34" s="373" t="s">
        <v>994</v>
      </c>
      <c r="C34" s="372" t="s">
        <v>995</v>
      </c>
      <c r="D34" s="374">
        <v>1101110371346</v>
      </c>
      <c r="E34" s="372" t="s">
        <v>996</v>
      </c>
      <c r="F34" s="372" t="s">
        <v>997</v>
      </c>
      <c r="G34" s="375" t="s">
        <v>997</v>
      </c>
      <c r="H34" s="375" t="s">
        <v>998</v>
      </c>
      <c r="I34" s="375" t="s">
        <v>755</v>
      </c>
      <c r="J34" s="375">
        <v>17608511</v>
      </c>
      <c r="K34" s="375">
        <v>1753204</v>
      </c>
      <c r="L34" s="375">
        <v>1488179</v>
      </c>
      <c r="M34" s="375">
        <v>12228399</v>
      </c>
      <c r="N34" s="372">
        <v>0.50900000000000001</v>
      </c>
      <c r="O34" s="703">
        <v>100.93264361012746</v>
      </c>
      <c r="P34" s="375" t="s">
        <v>623</v>
      </c>
      <c r="Q34" s="372" t="s">
        <v>623</v>
      </c>
      <c r="R34" s="695">
        <v>19891107</v>
      </c>
      <c r="S34" s="372" t="s">
        <v>999</v>
      </c>
      <c r="T34" s="696">
        <v>0.26400000000000001</v>
      </c>
      <c r="U34" s="375" t="s">
        <v>1000</v>
      </c>
      <c r="V34" s="722">
        <v>3.81</v>
      </c>
      <c r="W34" s="722">
        <v>0.94</v>
      </c>
      <c r="X34" s="722">
        <v>0.62</v>
      </c>
      <c r="Y34" s="722">
        <v>10.029999999999999</v>
      </c>
      <c r="Z34" s="382">
        <v>1.4715992550602852E-2</v>
      </c>
      <c r="AA34" s="372">
        <v>160877.47</v>
      </c>
      <c r="AB34" s="372">
        <v>167485.85</v>
      </c>
      <c r="AC34" s="372">
        <v>173049.73</v>
      </c>
      <c r="AD34" s="372">
        <v>176085.11</v>
      </c>
      <c r="AE34" s="372">
        <v>179530.07</v>
      </c>
      <c r="AF34" s="372">
        <v>183010.33</v>
      </c>
      <c r="AG34" s="372">
        <v>186681.23</v>
      </c>
      <c r="AH34" s="372">
        <v>0</v>
      </c>
    </row>
    <row r="35" spans="1:34">
      <c r="A35" s="372" t="s">
        <v>1001</v>
      </c>
      <c r="B35" s="373" t="s">
        <v>1002</v>
      </c>
      <c r="C35" s="372" t="s">
        <v>1003</v>
      </c>
      <c r="D35" s="374">
        <v>1301110001626</v>
      </c>
      <c r="E35" s="372" t="s">
        <v>1004</v>
      </c>
      <c r="F35" s="375" t="s">
        <v>1005</v>
      </c>
      <c r="G35" s="375" t="s">
        <v>1006</v>
      </c>
      <c r="H35" s="375" t="s">
        <v>754</v>
      </c>
      <c r="I35" s="375" t="s">
        <v>755</v>
      </c>
      <c r="J35" s="375">
        <v>8909448.48391</v>
      </c>
      <c r="K35" s="375">
        <v>639423.73711999995</v>
      </c>
      <c r="L35" s="375">
        <v>543210.12193000002</v>
      </c>
      <c r="M35" s="375">
        <v>8030324.9754400002</v>
      </c>
      <c r="N35" s="372">
        <v>1.0249999999999999</v>
      </c>
      <c r="O35" s="703">
        <v>14.087360249312809</v>
      </c>
      <c r="P35" s="375" t="s">
        <v>623</v>
      </c>
      <c r="Q35" s="375" t="s">
        <v>623</v>
      </c>
      <c r="R35" s="695">
        <v>19790227</v>
      </c>
      <c r="S35" s="375" t="s">
        <v>1007</v>
      </c>
      <c r="T35" s="696">
        <v>0.26400000000000001</v>
      </c>
      <c r="U35" s="375" t="s">
        <v>1008</v>
      </c>
      <c r="V35" s="722">
        <v>8.02</v>
      </c>
      <c r="W35" s="722">
        <v>1.49</v>
      </c>
      <c r="X35" s="722">
        <v>1.33</v>
      </c>
      <c r="Y35" s="722">
        <v>28.11</v>
      </c>
      <c r="Z35" s="382">
        <v>7.2142938552275382E-2</v>
      </c>
      <c r="AA35" s="372">
        <v>77532.592863900005</v>
      </c>
      <c r="AB35" s="372">
        <v>96750.361277200005</v>
      </c>
      <c r="AC35" s="372">
        <v>94245.518680199995</v>
      </c>
      <c r="AD35" s="372">
        <v>89094.484839099998</v>
      </c>
      <c r="AE35" s="372">
        <v>100340.29</v>
      </c>
      <c r="AF35" s="372">
        <v>108557.57</v>
      </c>
      <c r="AG35" s="372">
        <v>117723.07</v>
      </c>
      <c r="AH35" s="372">
        <v>0</v>
      </c>
    </row>
    <row r="36" spans="1:34">
      <c r="A36" s="372" t="s">
        <v>1009</v>
      </c>
      <c r="B36" s="373" t="s">
        <v>1010</v>
      </c>
      <c r="C36" s="372" t="s">
        <v>1011</v>
      </c>
      <c r="D36" s="374">
        <v>1101113645772</v>
      </c>
      <c r="E36" s="372" t="s">
        <v>1012</v>
      </c>
      <c r="F36" s="375" t="s">
        <v>1013</v>
      </c>
      <c r="G36" s="375" t="s">
        <v>1013</v>
      </c>
      <c r="H36" s="375" t="s">
        <v>823</v>
      </c>
      <c r="I36" s="375" t="s">
        <v>755</v>
      </c>
      <c r="J36" s="375">
        <v>1910576.18028</v>
      </c>
      <c r="K36" s="375">
        <v>768045.60896999994</v>
      </c>
      <c r="L36" s="375">
        <v>828615.33554</v>
      </c>
      <c r="M36" s="375">
        <v>5558820.2610299997</v>
      </c>
      <c r="N36" s="372">
        <v>1.006</v>
      </c>
      <c r="O36" s="703">
        <v>1.8625114604208528</v>
      </c>
      <c r="P36" s="375" t="s">
        <v>623</v>
      </c>
      <c r="Q36" s="375" t="s">
        <v>623</v>
      </c>
      <c r="R36" s="695">
        <v>20210810</v>
      </c>
      <c r="S36" s="375" t="s">
        <v>1014</v>
      </c>
      <c r="T36" s="696">
        <v>0.26400000000000001</v>
      </c>
      <c r="U36" s="375" t="s">
        <v>1015</v>
      </c>
      <c r="V36" s="722">
        <v>10.69</v>
      </c>
      <c r="W36" s="722">
        <v>1.69</v>
      </c>
      <c r="X36" s="722">
        <v>4.9400000000000004</v>
      </c>
      <c r="Y36" s="722">
        <v>15.84</v>
      </c>
      <c r="Z36" s="382">
        <v>0.10130034036918434</v>
      </c>
      <c r="AA36" s="372">
        <v>16704.279186200001</v>
      </c>
      <c r="AB36" s="372">
        <v>18853.518107100001</v>
      </c>
      <c r="AC36" s="372">
        <v>18540.160905199999</v>
      </c>
      <c r="AD36" s="372">
        <v>19105.7618028</v>
      </c>
      <c r="AE36" s="372">
        <v>23138.95</v>
      </c>
      <c r="AF36" s="372">
        <v>26467.14</v>
      </c>
      <c r="AG36" s="372">
        <v>28105.25</v>
      </c>
      <c r="AH36" s="372">
        <v>0</v>
      </c>
    </row>
    <row r="37" spans="1:34">
      <c r="A37" s="372" t="s">
        <v>1016</v>
      </c>
      <c r="B37" s="373" t="s">
        <v>1017</v>
      </c>
      <c r="C37" s="372" t="s">
        <v>1018</v>
      </c>
      <c r="D37" s="374">
        <v>2301110312741</v>
      </c>
      <c r="E37" s="372" t="s">
        <v>1019</v>
      </c>
      <c r="F37" s="375" t="s">
        <v>1020</v>
      </c>
      <c r="G37" s="375" t="s">
        <v>1020</v>
      </c>
      <c r="H37" s="375" t="s">
        <v>797</v>
      </c>
      <c r="I37" s="375" t="s">
        <v>755</v>
      </c>
      <c r="J37" s="375">
        <v>11963925.991</v>
      </c>
      <c r="K37" s="375">
        <v>178639.965</v>
      </c>
      <c r="L37" s="375">
        <v>34363.002</v>
      </c>
      <c r="M37" s="375">
        <v>5207440.3099999996</v>
      </c>
      <c r="N37" s="372">
        <v>0.78</v>
      </c>
      <c r="O37" s="703">
        <v>25.91659851441354</v>
      </c>
      <c r="P37" s="375" t="s">
        <v>623</v>
      </c>
      <c r="Q37" s="375" t="s">
        <v>623</v>
      </c>
      <c r="R37" s="695">
        <v>20210917</v>
      </c>
      <c r="S37" s="375" t="s">
        <v>1021</v>
      </c>
      <c r="T37" s="696">
        <v>0.23100000000000001</v>
      </c>
      <c r="U37" s="375" t="s">
        <v>1022</v>
      </c>
      <c r="V37" s="722">
        <v>29.03</v>
      </c>
      <c r="W37" s="722">
        <v>2.2000000000000002</v>
      </c>
      <c r="X37" s="722">
        <v>0.96</v>
      </c>
      <c r="Y37" s="722">
        <v>463.89</v>
      </c>
      <c r="Z37" s="382">
        <v>7.7691295515395664E-2</v>
      </c>
      <c r="AA37" s="372">
        <v>83120.098230000003</v>
      </c>
      <c r="AB37" s="372">
        <v>83112.759239999999</v>
      </c>
      <c r="AC37" s="372">
        <v>90454.804879999996</v>
      </c>
      <c r="AD37" s="372">
        <v>119639.25990999999</v>
      </c>
      <c r="AE37" s="372">
        <v>133726.13</v>
      </c>
      <c r="AF37" s="372">
        <v>150366.19</v>
      </c>
      <c r="AG37" s="372">
        <v>161380.56</v>
      </c>
      <c r="AH37" s="372">
        <v>217230</v>
      </c>
    </row>
    <row r="38" spans="1:34">
      <c r="A38" s="372" t="s">
        <v>1023</v>
      </c>
      <c r="B38" s="373" t="s">
        <v>1024</v>
      </c>
      <c r="C38" s="372" t="s">
        <v>1025</v>
      </c>
      <c r="D38" s="374">
        <v>1101116981206</v>
      </c>
      <c r="E38" s="372" t="s">
        <v>1026</v>
      </c>
      <c r="F38" s="375" t="s">
        <v>860</v>
      </c>
      <c r="G38" s="375" t="s">
        <v>861</v>
      </c>
      <c r="H38" s="375" t="s">
        <v>862</v>
      </c>
      <c r="I38" s="375" t="s">
        <v>755</v>
      </c>
      <c r="J38" s="375">
        <v>20641554</v>
      </c>
      <c r="K38" s="375">
        <v>3499029</v>
      </c>
      <c r="L38" s="375">
        <v>3517453</v>
      </c>
      <c r="M38" s="375">
        <v>33397490</v>
      </c>
      <c r="N38" s="372">
        <v>0.93799999999999994</v>
      </c>
      <c r="O38" s="703">
        <v>683.54983860721802</v>
      </c>
      <c r="P38" s="375" t="s">
        <v>623</v>
      </c>
      <c r="Q38" s="375" t="s">
        <v>623</v>
      </c>
      <c r="R38" s="695">
        <v>20190213</v>
      </c>
      <c r="S38" s="375" t="s">
        <v>1027</v>
      </c>
      <c r="T38" s="696">
        <v>0.26400000000000001</v>
      </c>
      <c r="U38" s="375" t="s">
        <v>1028</v>
      </c>
      <c r="V38" s="722">
        <v>0</v>
      </c>
      <c r="W38" s="722">
        <v>0.31</v>
      </c>
      <c r="X38" s="722">
        <v>0.23</v>
      </c>
      <c r="Y38" s="722">
        <v>3.84</v>
      </c>
      <c r="Z38" s="382">
        <v>2.8440440124876121E-2</v>
      </c>
      <c r="AA38" s="372">
        <v>95238.53</v>
      </c>
      <c r="AB38" s="372">
        <v>98947.49</v>
      </c>
      <c r="AC38" s="372">
        <v>146545.49</v>
      </c>
      <c r="AD38" s="372">
        <v>206415.54</v>
      </c>
      <c r="AE38" s="372">
        <v>223339.7</v>
      </c>
      <c r="AF38" s="372">
        <v>227001.44</v>
      </c>
      <c r="AG38" s="372">
        <v>230918.63</v>
      </c>
      <c r="AH38" s="372">
        <v>0</v>
      </c>
    </row>
    <row r="39" spans="1:34">
      <c r="A39" s="372" t="s">
        <v>1029</v>
      </c>
      <c r="B39" s="373" t="s">
        <v>1030</v>
      </c>
      <c r="C39" s="372" t="s">
        <v>1031</v>
      </c>
      <c r="D39" s="374">
        <v>1717110132339</v>
      </c>
      <c r="E39" s="372" t="s">
        <v>1032</v>
      </c>
      <c r="F39" s="375" t="s">
        <v>779</v>
      </c>
      <c r="G39" s="375" t="s">
        <v>779</v>
      </c>
      <c r="H39" s="375" t="s">
        <v>754</v>
      </c>
      <c r="I39" s="375" t="s">
        <v>755</v>
      </c>
      <c r="J39" s="375">
        <v>952523.31584000005</v>
      </c>
      <c r="K39" s="375">
        <v>8772.7724099999996</v>
      </c>
      <c r="L39" s="375">
        <v>-3247.5503199999998</v>
      </c>
      <c r="M39" s="375">
        <v>799097.39619</v>
      </c>
      <c r="N39" s="372" t="s">
        <v>1033</v>
      </c>
      <c r="O39" s="703">
        <v>3.1228272452209196</v>
      </c>
      <c r="P39" s="375" t="s">
        <v>623</v>
      </c>
      <c r="Q39" s="375" t="s">
        <v>623</v>
      </c>
      <c r="R39" s="695">
        <v>20231117</v>
      </c>
      <c r="S39" s="375" t="s">
        <v>1034</v>
      </c>
      <c r="T39" s="696" t="s">
        <v>772</v>
      </c>
      <c r="U39" s="375" t="s">
        <v>1035</v>
      </c>
      <c r="V39" s="722">
        <v>0</v>
      </c>
      <c r="W39" s="722">
        <v>16.27</v>
      </c>
      <c r="X39" s="722">
        <v>0</v>
      </c>
      <c r="Y39" s="722">
        <v>0</v>
      </c>
      <c r="Z39" s="382" t="s">
        <v>934</v>
      </c>
      <c r="AA39" s="372">
        <v>2166.6710699999999</v>
      </c>
      <c r="AB39" s="372">
        <v>3428.8830638999998</v>
      </c>
      <c r="AC39" s="372">
        <v>6652.4827896999996</v>
      </c>
      <c r="AD39" s="372">
        <v>9525.2331584000003</v>
      </c>
      <c r="AE39" s="372">
        <v>0</v>
      </c>
      <c r="AF39" s="372">
        <v>0</v>
      </c>
      <c r="AG39" s="372">
        <v>0</v>
      </c>
      <c r="AH39" s="372">
        <v>0</v>
      </c>
    </row>
    <row r="40" spans="1:34">
      <c r="A40" s="372" t="s">
        <v>1036</v>
      </c>
      <c r="B40" s="373" t="s">
        <v>1037</v>
      </c>
      <c r="C40" s="372" t="s">
        <v>1038</v>
      </c>
      <c r="D40" s="374">
        <v>1101110168404</v>
      </c>
      <c r="E40" s="372" t="s">
        <v>1039</v>
      </c>
      <c r="F40" s="375" t="s">
        <v>1040</v>
      </c>
      <c r="G40" s="375" t="s">
        <v>1041</v>
      </c>
      <c r="H40" s="375" t="s">
        <v>817</v>
      </c>
      <c r="I40" s="375" t="s">
        <v>755</v>
      </c>
      <c r="J40" s="375">
        <v>9704521.3430199996</v>
      </c>
      <c r="K40" s="375">
        <v>659935.42460000003</v>
      </c>
      <c r="L40" s="375">
        <v>728073.26147000003</v>
      </c>
      <c r="M40" s="375">
        <v>9642002.8688699994</v>
      </c>
      <c r="N40" s="372">
        <v>0.85299999999999998</v>
      </c>
      <c r="O40" s="703">
        <v>10.129783918373649</v>
      </c>
      <c r="P40" s="375" t="s">
        <v>623</v>
      </c>
      <c r="Q40" s="375" t="s">
        <v>623</v>
      </c>
      <c r="R40" s="695">
        <v>19900728</v>
      </c>
      <c r="S40" s="375" t="s">
        <v>1042</v>
      </c>
      <c r="T40" s="696">
        <v>0.26400000000000001</v>
      </c>
      <c r="U40" s="375" t="s">
        <v>1043</v>
      </c>
      <c r="V40" s="722">
        <v>10.89</v>
      </c>
      <c r="W40" s="722">
        <v>1.1000000000000001</v>
      </c>
      <c r="X40" s="722">
        <v>1.04</v>
      </c>
      <c r="Y40" s="722">
        <v>19.059999999999999</v>
      </c>
      <c r="Z40" s="382">
        <v>4.5879355594841797E-2</v>
      </c>
      <c r="AA40" s="372">
        <v>75819.268584399993</v>
      </c>
      <c r="AB40" s="372">
        <v>99767.7644363</v>
      </c>
      <c r="AC40" s="372">
        <v>112193.586001</v>
      </c>
      <c r="AD40" s="372">
        <v>97045.213430200005</v>
      </c>
      <c r="AE40" s="372">
        <v>105640.88</v>
      </c>
      <c r="AF40" s="372">
        <v>110230.44</v>
      </c>
      <c r="AG40" s="372">
        <v>116118.25</v>
      </c>
      <c r="AH40" s="372">
        <v>113780</v>
      </c>
    </row>
    <row r="41" spans="1:34">
      <c r="A41" s="372" t="s">
        <v>1044</v>
      </c>
      <c r="B41" s="373" t="s">
        <v>1045</v>
      </c>
      <c r="C41" s="372" t="s">
        <v>1046</v>
      </c>
      <c r="D41" s="374">
        <v>1942110000943</v>
      </c>
      <c r="E41" s="372" t="s">
        <v>1047</v>
      </c>
      <c r="F41" s="375" t="s">
        <v>1048</v>
      </c>
      <c r="G41" s="375" t="s">
        <v>1049</v>
      </c>
      <c r="H41" s="375" t="s">
        <v>1050</v>
      </c>
      <c r="I41" s="375" t="s">
        <v>755</v>
      </c>
      <c r="J41" s="375">
        <v>17589887.709509999</v>
      </c>
      <c r="K41" s="375">
        <v>1467318.33813</v>
      </c>
      <c r="L41" s="375">
        <v>738481.75508999999</v>
      </c>
      <c r="M41" s="375">
        <v>10841508.936520001</v>
      </c>
      <c r="N41" s="372">
        <v>1.2509999999999999</v>
      </c>
      <c r="O41" s="703">
        <v>48.530060776968639</v>
      </c>
      <c r="P41" s="375" t="s">
        <v>623</v>
      </c>
      <c r="Q41" s="375" t="s">
        <v>623</v>
      </c>
      <c r="R41" s="695">
        <v>20001025</v>
      </c>
      <c r="S41" s="375" t="s">
        <v>1051</v>
      </c>
      <c r="T41" s="696">
        <v>0.26400000000000001</v>
      </c>
      <c r="U41" s="375" t="s">
        <v>15971</v>
      </c>
      <c r="V41" s="722">
        <v>8.3800000000000008</v>
      </c>
      <c r="W41" s="722">
        <v>1.43</v>
      </c>
      <c r="X41" s="722">
        <v>0.57999999999999996</v>
      </c>
      <c r="Y41" s="722">
        <v>183.19</v>
      </c>
      <c r="Z41" s="382">
        <v>1.985652920256209E-2</v>
      </c>
      <c r="AA41" s="372">
        <v>91715.122264399994</v>
      </c>
      <c r="AB41" s="372">
        <v>109908.9021585</v>
      </c>
      <c r="AC41" s="372">
        <v>154210.5808238</v>
      </c>
      <c r="AD41" s="372">
        <v>175898.8770951</v>
      </c>
      <c r="AE41" s="372">
        <v>170152</v>
      </c>
      <c r="AF41" s="372">
        <v>181345.33</v>
      </c>
      <c r="AG41" s="372">
        <v>190291.5</v>
      </c>
      <c r="AH41" s="372">
        <v>0</v>
      </c>
    </row>
    <row r="42" spans="1:34">
      <c r="A42" s="372" t="s">
        <v>1052</v>
      </c>
      <c r="B42" s="373" t="s">
        <v>1053</v>
      </c>
      <c r="C42" s="372" t="s">
        <v>1054</v>
      </c>
      <c r="D42" s="374">
        <v>1101350000903</v>
      </c>
      <c r="E42" s="372" t="s">
        <v>1055</v>
      </c>
      <c r="F42" s="375" t="s">
        <v>929</v>
      </c>
      <c r="G42" s="375" t="s">
        <v>930</v>
      </c>
      <c r="H42" s="375" t="s">
        <v>931</v>
      </c>
      <c r="I42" s="375" t="s">
        <v>755</v>
      </c>
      <c r="J42" s="375">
        <v>18364055</v>
      </c>
      <c r="K42" s="375">
        <v>3432281</v>
      </c>
      <c r="L42" s="375">
        <v>3493037</v>
      </c>
      <c r="M42" s="375">
        <v>31816761</v>
      </c>
      <c r="N42" s="372">
        <v>0.73699999999999999</v>
      </c>
      <c r="O42" s="703">
        <v>2006.7346906588803</v>
      </c>
      <c r="P42" s="375" t="s">
        <v>623</v>
      </c>
      <c r="Q42" s="375" t="s">
        <v>623</v>
      </c>
      <c r="R42" s="695">
        <v>19941130</v>
      </c>
      <c r="S42" s="375" t="s">
        <v>1056</v>
      </c>
      <c r="T42" s="696">
        <v>0.26400000000000001</v>
      </c>
      <c r="U42" s="375" t="s">
        <v>1057</v>
      </c>
      <c r="V42" s="722">
        <v>0</v>
      </c>
      <c r="W42" s="722">
        <v>0.3</v>
      </c>
      <c r="X42" s="722">
        <v>0.33</v>
      </c>
      <c r="Y42" s="722">
        <v>3.54</v>
      </c>
      <c r="Z42" s="382">
        <v>3.0610156244133879E-2</v>
      </c>
      <c r="AA42" s="372">
        <v>86538.92</v>
      </c>
      <c r="AB42" s="372">
        <v>86894.62</v>
      </c>
      <c r="AC42" s="372">
        <v>126024.91</v>
      </c>
      <c r="AD42" s="372">
        <v>183640.55</v>
      </c>
      <c r="AE42" s="372">
        <v>194973.6</v>
      </c>
      <c r="AF42" s="372">
        <v>200944</v>
      </c>
      <c r="AG42" s="372">
        <v>207179.25</v>
      </c>
      <c r="AH42" s="372">
        <v>0</v>
      </c>
    </row>
    <row r="43" spans="1:34">
      <c r="A43" s="372" t="s">
        <v>1058</v>
      </c>
      <c r="B43" s="373" t="s">
        <v>1059</v>
      </c>
      <c r="C43" s="372" t="s">
        <v>1060</v>
      </c>
      <c r="D43" s="374">
        <v>1701110021600</v>
      </c>
      <c r="E43" s="372" t="s">
        <v>1061</v>
      </c>
      <c r="F43" s="375" t="s">
        <v>1062</v>
      </c>
      <c r="G43" s="375" t="s">
        <v>1062</v>
      </c>
      <c r="H43" s="375" t="s">
        <v>868</v>
      </c>
      <c r="I43" s="375" t="s">
        <v>869</v>
      </c>
      <c r="J43" s="375">
        <v>42900.56119</v>
      </c>
      <c r="K43" s="375">
        <v>-125024.7406</v>
      </c>
      <c r="L43" s="375">
        <v>-212796.31422</v>
      </c>
      <c r="M43" s="375">
        <v>582246.43018000002</v>
      </c>
      <c r="N43" s="372">
        <v>0.96</v>
      </c>
      <c r="O43" s="703">
        <v>0.43157580723535921</v>
      </c>
      <c r="P43" s="375" t="s">
        <v>623</v>
      </c>
      <c r="Q43" s="375" t="s">
        <v>623</v>
      </c>
      <c r="R43" s="695">
        <v>19960720</v>
      </c>
      <c r="S43" s="375" t="s">
        <v>1063</v>
      </c>
      <c r="T43" s="696" t="s">
        <v>772</v>
      </c>
      <c r="U43" s="375" t="s">
        <v>1064</v>
      </c>
      <c r="V43" s="722" t="s">
        <v>774</v>
      </c>
      <c r="W43" s="722">
        <v>12.4</v>
      </c>
      <c r="X43" s="722">
        <v>152.53</v>
      </c>
      <c r="Y43" s="722" t="s">
        <v>774</v>
      </c>
      <c r="Z43" s="382" t="s">
        <v>934</v>
      </c>
      <c r="AA43" s="372">
        <v>561.77400699999998</v>
      </c>
      <c r="AB43" s="372">
        <v>698.25991450000004</v>
      </c>
      <c r="AC43" s="372">
        <v>1797.0791311</v>
      </c>
      <c r="AD43" s="372">
        <v>429.00561190000002</v>
      </c>
      <c r="AE43" s="372">
        <v>0</v>
      </c>
      <c r="AF43" s="372">
        <v>0</v>
      </c>
      <c r="AG43" s="372">
        <v>0</v>
      </c>
      <c r="AH43" s="372">
        <v>0</v>
      </c>
    </row>
    <row r="44" spans="1:34">
      <c r="A44" s="372" t="s">
        <v>1065</v>
      </c>
      <c r="B44" s="373" t="s">
        <v>1066</v>
      </c>
      <c r="C44" s="372" t="s">
        <v>1067</v>
      </c>
      <c r="D44" s="374">
        <v>1101111468754</v>
      </c>
      <c r="E44" s="372" t="s">
        <v>1068</v>
      </c>
      <c r="F44" s="375" t="s">
        <v>1069</v>
      </c>
      <c r="G44" s="375" t="s">
        <v>1069</v>
      </c>
      <c r="H44" s="375" t="s">
        <v>998</v>
      </c>
      <c r="I44" s="375" t="s">
        <v>755</v>
      </c>
      <c r="J44" s="375">
        <v>26376273</v>
      </c>
      <c r="K44" s="375">
        <v>1649774</v>
      </c>
      <c r="L44" s="375">
        <v>1324085</v>
      </c>
      <c r="M44" s="375">
        <v>18561137</v>
      </c>
      <c r="N44" s="372">
        <v>0.52600000000000002</v>
      </c>
      <c r="O44" s="703">
        <v>134.0661271056274</v>
      </c>
      <c r="P44" s="375" t="s">
        <v>623</v>
      </c>
      <c r="Q44" s="375" t="s">
        <v>623</v>
      </c>
      <c r="R44" s="695">
        <v>19981223</v>
      </c>
      <c r="S44" s="375" t="s">
        <v>1070</v>
      </c>
      <c r="T44" s="696">
        <v>0.26400000000000001</v>
      </c>
      <c r="U44" s="375" t="s">
        <v>1071</v>
      </c>
      <c r="V44" s="722">
        <v>3.22</v>
      </c>
      <c r="W44" s="722">
        <v>0.52</v>
      </c>
      <c r="X44" s="722">
        <v>0.34</v>
      </c>
      <c r="Y44" s="722">
        <v>8.85</v>
      </c>
      <c r="Z44" s="382">
        <v>1.7485599805452834E-2</v>
      </c>
      <c r="AA44" s="372">
        <v>239166.67</v>
      </c>
      <c r="AB44" s="372">
        <v>248980.05</v>
      </c>
      <c r="AC44" s="372">
        <v>256500.11</v>
      </c>
      <c r="AD44" s="372">
        <v>263762.73</v>
      </c>
      <c r="AE44" s="372">
        <v>268977.33</v>
      </c>
      <c r="AF44" s="372">
        <v>277765.73</v>
      </c>
      <c r="AG44" s="372">
        <v>282700.46000000002</v>
      </c>
      <c r="AH44" s="372">
        <v>0</v>
      </c>
    </row>
    <row r="45" spans="1:34">
      <c r="A45" s="372" t="s">
        <v>1072</v>
      </c>
      <c r="B45" s="373" t="s">
        <v>1073</v>
      </c>
      <c r="C45" s="372" t="s">
        <v>1074</v>
      </c>
      <c r="D45" s="374">
        <v>1101112137358</v>
      </c>
      <c r="E45" s="372" t="s">
        <v>1075</v>
      </c>
      <c r="F45" s="375" t="s">
        <v>1076</v>
      </c>
      <c r="G45" s="375" t="s">
        <v>1076</v>
      </c>
      <c r="H45" s="375" t="s">
        <v>853</v>
      </c>
      <c r="I45" s="375" t="s">
        <v>755</v>
      </c>
      <c r="J45" s="375">
        <v>33132821.374000002</v>
      </c>
      <c r="K45" s="375">
        <v>1163112.0349999999</v>
      </c>
      <c r="L45" s="375">
        <v>914622.21100000001</v>
      </c>
      <c r="M45" s="375">
        <v>6624761.9800000004</v>
      </c>
      <c r="N45" s="372">
        <v>1.379</v>
      </c>
      <c r="O45" s="703">
        <v>78.666979174792885</v>
      </c>
      <c r="P45" s="375" t="s">
        <v>623</v>
      </c>
      <c r="Q45" s="375" t="s">
        <v>623</v>
      </c>
      <c r="R45" s="695">
        <v>20010323</v>
      </c>
      <c r="S45" s="375" t="s">
        <v>1077</v>
      </c>
      <c r="T45" s="696">
        <v>0.26400000000000001</v>
      </c>
      <c r="U45" s="375" t="s">
        <v>1078</v>
      </c>
      <c r="V45" s="722">
        <v>9.56</v>
      </c>
      <c r="W45" s="722">
        <v>1.79</v>
      </c>
      <c r="X45" s="722">
        <v>0.33</v>
      </c>
      <c r="Y45" s="722">
        <v>16.28</v>
      </c>
      <c r="Z45" s="382">
        <v>2.2760182067378842E-2</v>
      </c>
      <c r="AA45" s="372">
        <v>214723.86358</v>
      </c>
      <c r="AB45" s="372">
        <v>339488.64785000001</v>
      </c>
      <c r="AC45" s="372">
        <v>379895.88329999999</v>
      </c>
      <c r="AD45" s="372">
        <v>331328.21373999998</v>
      </c>
      <c r="AE45" s="372">
        <v>324294.90000000002</v>
      </c>
      <c r="AF45" s="372">
        <v>347008.9</v>
      </c>
      <c r="AG45" s="372">
        <v>362538.11</v>
      </c>
      <c r="AH45" s="372">
        <v>390132</v>
      </c>
    </row>
    <row r="46" spans="1:34">
      <c r="A46" s="372" t="s">
        <v>1079</v>
      </c>
      <c r="B46" s="373" t="s">
        <v>1080</v>
      </c>
      <c r="C46" s="372" t="s">
        <v>1081</v>
      </c>
      <c r="D46" s="374">
        <v>1101113166546</v>
      </c>
      <c r="E46" s="372" t="s">
        <v>1082</v>
      </c>
      <c r="F46" s="375" t="s">
        <v>1083</v>
      </c>
      <c r="G46" s="375" t="s">
        <v>1083</v>
      </c>
      <c r="H46" s="375" t="s">
        <v>823</v>
      </c>
      <c r="I46" s="375" t="s">
        <v>755</v>
      </c>
      <c r="J46" s="375">
        <v>2178088.2069999999</v>
      </c>
      <c r="K46" s="375">
        <v>295643.30699999997</v>
      </c>
      <c r="L46" s="375">
        <v>250133.242</v>
      </c>
      <c r="M46" s="375">
        <v>3109914.9679999999</v>
      </c>
      <c r="N46" s="372">
        <v>1.0660000000000001</v>
      </c>
      <c r="O46" s="703">
        <v>13.142719506361761</v>
      </c>
      <c r="P46" s="375" t="s">
        <v>623</v>
      </c>
      <c r="Q46" s="375" t="s">
        <v>623</v>
      </c>
      <c r="R46" s="695">
        <v>20201015</v>
      </c>
      <c r="S46" s="375" t="s">
        <v>1084</v>
      </c>
      <c r="T46" s="696">
        <v>0.23100000000000001</v>
      </c>
      <c r="U46" s="375" t="s">
        <v>15972</v>
      </c>
      <c r="V46" s="722">
        <v>23.44</v>
      </c>
      <c r="W46" s="722">
        <v>3.33</v>
      </c>
      <c r="X46" s="722">
        <v>4.46</v>
      </c>
      <c r="Y46" s="722">
        <v>51.84</v>
      </c>
      <c r="Z46" s="382">
        <v>9.2301599922543165E-2</v>
      </c>
      <c r="AA46" s="372">
        <v>7962.8339699999997</v>
      </c>
      <c r="AB46" s="372">
        <v>12559.26483</v>
      </c>
      <c r="AC46" s="372">
        <v>17761.539570000001</v>
      </c>
      <c r="AD46" s="372">
        <v>21780.88207</v>
      </c>
      <c r="AE46" s="372">
        <v>23774.44</v>
      </c>
      <c r="AF46" s="372">
        <v>28181.07</v>
      </c>
      <c r="AG46" s="372">
        <v>31006</v>
      </c>
      <c r="AH46" s="372">
        <v>41340</v>
      </c>
    </row>
    <row r="47" spans="1:34">
      <c r="A47" s="372" t="s">
        <v>1085</v>
      </c>
      <c r="B47" s="373" t="s">
        <v>1086</v>
      </c>
      <c r="C47" s="372" t="s">
        <v>1087</v>
      </c>
      <c r="D47" s="374">
        <v>1101110658637</v>
      </c>
      <c r="E47" s="372" t="s">
        <v>1088</v>
      </c>
      <c r="F47" s="375" t="s">
        <v>1089</v>
      </c>
      <c r="G47" s="375" t="s">
        <v>1090</v>
      </c>
      <c r="H47" s="375" t="s">
        <v>823</v>
      </c>
      <c r="I47" s="375" t="s">
        <v>755</v>
      </c>
      <c r="J47" s="375">
        <v>1485875.62093</v>
      </c>
      <c r="K47" s="375">
        <v>110563.78459</v>
      </c>
      <c r="L47" s="375">
        <v>113017.74111</v>
      </c>
      <c r="M47" s="375">
        <v>461449.38219999999</v>
      </c>
      <c r="N47" s="372">
        <v>1.548</v>
      </c>
      <c r="O47" s="703">
        <v>3.9127410907268449E-2</v>
      </c>
      <c r="P47" s="375" t="s">
        <v>623</v>
      </c>
      <c r="Q47" s="372" t="s">
        <v>623</v>
      </c>
      <c r="R47" s="695">
        <v>20001124</v>
      </c>
      <c r="S47" s="375" t="s">
        <v>1091</v>
      </c>
      <c r="T47" s="696">
        <v>0.23100000000000001</v>
      </c>
      <c r="U47" s="375" t="s">
        <v>1092</v>
      </c>
      <c r="V47" s="722">
        <v>93.36</v>
      </c>
      <c r="W47" s="722">
        <v>24.5</v>
      </c>
      <c r="X47" s="722">
        <v>7.59</v>
      </c>
      <c r="Y47" s="722">
        <v>122.78</v>
      </c>
      <c r="Z47" s="382" t="s">
        <v>934</v>
      </c>
      <c r="AA47" s="372">
        <v>9642.0234013999998</v>
      </c>
      <c r="AB47" s="372">
        <v>8692.7414365000004</v>
      </c>
      <c r="AC47" s="372">
        <v>11526.801994199999</v>
      </c>
      <c r="AD47" s="372">
        <v>14858.7562093</v>
      </c>
      <c r="AE47" s="372">
        <v>20862</v>
      </c>
      <c r="AF47" s="372">
        <v>0</v>
      </c>
      <c r="AG47" s="372">
        <v>0</v>
      </c>
      <c r="AH47" s="372">
        <v>0</v>
      </c>
    </row>
    <row r="48" spans="1:34">
      <c r="A48" s="372" t="s">
        <v>1093</v>
      </c>
      <c r="B48" s="373" t="s">
        <v>1094</v>
      </c>
      <c r="C48" s="372" t="s">
        <v>1095</v>
      </c>
      <c r="D48" s="374">
        <v>1101110108484</v>
      </c>
      <c r="E48" s="372" t="s">
        <v>1096</v>
      </c>
      <c r="F48" s="375" t="s">
        <v>1097</v>
      </c>
      <c r="G48" s="375" t="s">
        <v>1097</v>
      </c>
      <c r="H48" s="375" t="s">
        <v>916</v>
      </c>
      <c r="I48" s="375" t="s">
        <v>755</v>
      </c>
      <c r="J48" s="375">
        <v>16111796.106140001</v>
      </c>
      <c r="K48" s="375">
        <v>1790089.1908</v>
      </c>
      <c r="L48" s="375">
        <v>1575690.36402</v>
      </c>
      <c r="M48" s="375">
        <v>9815208.2416299991</v>
      </c>
      <c r="N48" s="372">
        <v>0.92300000000000004</v>
      </c>
      <c r="O48" s="703">
        <v>141.90500853740201</v>
      </c>
      <c r="P48" s="375" t="s">
        <v>623</v>
      </c>
      <c r="Q48" s="375" t="s">
        <v>623</v>
      </c>
      <c r="R48" s="695">
        <v>19660318</v>
      </c>
      <c r="S48" s="375" t="s">
        <v>1098</v>
      </c>
      <c r="T48" s="696">
        <v>0.26400000000000001</v>
      </c>
      <c r="U48" s="375" t="s">
        <v>1099</v>
      </c>
      <c r="V48" s="722">
        <v>3.94</v>
      </c>
      <c r="W48" s="722">
        <v>0.93</v>
      </c>
      <c r="X48" s="722">
        <v>0.55000000000000004</v>
      </c>
      <c r="Y48" s="722">
        <v>8.32</v>
      </c>
      <c r="Z48" s="382">
        <v>3.2774380748144427E-2</v>
      </c>
      <c r="AA48" s="372">
        <v>76105.309162699996</v>
      </c>
      <c r="AB48" s="372">
        <v>90168.246402999997</v>
      </c>
      <c r="AC48" s="372">
        <v>140960.94819140001</v>
      </c>
      <c r="AD48" s="372">
        <v>161117.96106140001</v>
      </c>
      <c r="AE48" s="372">
        <v>176629.2</v>
      </c>
      <c r="AF48" s="372">
        <v>179026.47</v>
      </c>
      <c r="AG48" s="372">
        <v>183301.4</v>
      </c>
      <c r="AH48" s="372">
        <v>0</v>
      </c>
    </row>
    <row r="49" spans="1:34">
      <c r="A49" s="372" t="s">
        <v>1100</v>
      </c>
      <c r="B49" s="373" t="s">
        <v>1101</v>
      </c>
      <c r="C49" s="372" t="s">
        <v>1102</v>
      </c>
      <c r="D49" s="374">
        <v>1101113471036</v>
      </c>
      <c r="E49" s="372" t="s">
        <v>1103</v>
      </c>
      <c r="F49" s="375" t="s">
        <v>1104</v>
      </c>
      <c r="G49" s="375" t="s">
        <v>1105</v>
      </c>
      <c r="H49" s="375" t="s">
        <v>832</v>
      </c>
      <c r="I49" s="375" t="s">
        <v>755</v>
      </c>
      <c r="J49" s="375">
        <v>3673963.5931500001</v>
      </c>
      <c r="K49" s="375">
        <v>108171.25706</v>
      </c>
      <c r="L49" s="375">
        <v>280633.58126000001</v>
      </c>
      <c r="M49" s="375">
        <v>4872705.21105</v>
      </c>
      <c r="N49" s="372">
        <v>0.96</v>
      </c>
      <c r="O49" s="703">
        <v>3.540049687571805</v>
      </c>
      <c r="P49" s="375" t="s">
        <v>623</v>
      </c>
      <c r="Q49" s="375" t="s">
        <v>623</v>
      </c>
      <c r="R49" s="695">
        <v>20060629</v>
      </c>
      <c r="S49" s="375" t="s">
        <v>1106</v>
      </c>
      <c r="T49" s="696">
        <v>0.23100000000000001</v>
      </c>
      <c r="U49" s="375" t="s">
        <v>1107</v>
      </c>
      <c r="V49" s="722">
        <v>24.56</v>
      </c>
      <c r="W49" s="722">
        <v>2.04</v>
      </c>
      <c r="X49" s="722">
        <v>2.73</v>
      </c>
      <c r="Y49" s="722">
        <v>55.59</v>
      </c>
      <c r="Z49" s="382">
        <v>9.9359103701576856E-2</v>
      </c>
      <c r="AA49" s="372">
        <v>44321.790393900003</v>
      </c>
      <c r="AB49" s="372">
        <v>48631.284966899999</v>
      </c>
      <c r="AC49" s="372">
        <v>41349.325121100002</v>
      </c>
      <c r="AD49" s="372">
        <v>36739.635931500001</v>
      </c>
      <c r="AE49" s="372">
        <v>42792.79</v>
      </c>
      <c r="AF49" s="372">
        <v>49274.5</v>
      </c>
      <c r="AG49" s="372">
        <v>53665.25</v>
      </c>
      <c r="AH49" s="372">
        <v>0</v>
      </c>
    </row>
    <row r="50" spans="1:34">
      <c r="A50" s="372" t="s">
        <v>1108</v>
      </c>
      <c r="B50" s="373" t="s">
        <v>1109</v>
      </c>
      <c r="C50" s="372" t="s">
        <v>1110</v>
      </c>
      <c r="D50" s="374">
        <v>1812110000386</v>
      </c>
      <c r="E50" s="372" t="s">
        <v>1111</v>
      </c>
      <c r="F50" s="372" t="s">
        <v>900</v>
      </c>
      <c r="G50" s="375" t="s">
        <v>901</v>
      </c>
      <c r="H50" s="375" t="s">
        <v>862</v>
      </c>
      <c r="I50" s="375" t="s">
        <v>755</v>
      </c>
      <c r="J50" s="375">
        <v>21296205.574000001</v>
      </c>
      <c r="K50" s="375">
        <v>282260.71899999998</v>
      </c>
      <c r="L50" s="375">
        <v>-8045.6840000000002</v>
      </c>
      <c r="M50" s="375">
        <v>12370102.932</v>
      </c>
      <c r="N50" s="372">
        <v>1.016</v>
      </c>
      <c r="O50" s="703">
        <v>43.165574319345765</v>
      </c>
      <c r="P50" s="375" t="s">
        <v>623</v>
      </c>
      <c r="Q50" s="372" t="s">
        <v>623</v>
      </c>
      <c r="R50" s="695">
        <v>19940627</v>
      </c>
      <c r="S50" s="372" t="s">
        <v>1112</v>
      </c>
      <c r="T50" s="696" t="s">
        <v>772</v>
      </c>
      <c r="U50" s="375" t="s">
        <v>15973</v>
      </c>
      <c r="V50" s="722">
        <v>14.62</v>
      </c>
      <c r="W50" s="722">
        <v>0.86</v>
      </c>
      <c r="X50" s="722">
        <v>0.4</v>
      </c>
      <c r="Y50" s="722">
        <v>38.590000000000003</v>
      </c>
      <c r="Z50" s="382">
        <v>8.9261473283988257E-2</v>
      </c>
      <c r="AA50" s="372">
        <v>149036.57733999999</v>
      </c>
      <c r="AB50" s="372">
        <v>154933.81773000001</v>
      </c>
      <c r="AC50" s="372">
        <v>173020.20185000001</v>
      </c>
      <c r="AD50" s="372">
        <v>212962.05574000001</v>
      </c>
      <c r="AE50" s="372">
        <v>242708.67</v>
      </c>
      <c r="AF50" s="372">
        <v>274744.21999999997</v>
      </c>
      <c r="AG50" s="372">
        <v>299799.43</v>
      </c>
      <c r="AH50" s="372">
        <v>381290</v>
      </c>
    </row>
    <row r="51" spans="1:34">
      <c r="A51" s="372" t="s">
        <v>1113</v>
      </c>
      <c r="B51" s="373" t="s">
        <v>1114</v>
      </c>
      <c r="C51" s="372" t="s">
        <v>1115</v>
      </c>
      <c r="D51" s="374">
        <v>1101110189955</v>
      </c>
      <c r="E51" s="372" t="s">
        <v>1116</v>
      </c>
      <c r="F51" s="375" t="s">
        <v>1117</v>
      </c>
      <c r="G51" s="375" t="s">
        <v>1117</v>
      </c>
      <c r="H51" s="375" t="s">
        <v>832</v>
      </c>
      <c r="I51" s="375" t="s">
        <v>755</v>
      </c>
      <c r="J51" s="375">
        <v>35726694</v>
      </c>
      <c r="K51" s="375">
        <v>1354582</v>
      </c>
      <c r="L51" s="375">
        <v>1131705</v>
      </c>
      <c r="M51" s="375">
        <v>9037565</v>
      </c>
      <c r="N51" s="372">
        <v>0.81499999999999995</v>
      </c>
      <c r="O51" s="703">
        <v>71.302391251375781</v>
      </c>
      <c r="P51" s="375" t="s">
        <v>623</v>
      </c>
      <c r="Q51" s="375" t="s">
        <v>623</v>
      </c>
      <c r="R51" s="695">
        <v>19870527</v>
      </c>
      <c r="S51" s="375" t="s">
        <v>1118</v>
      </c>
      <c r="T51" s="696">
        <v>0.26400000000000001</v>
      </c>
      <c r="U51" s="375" t="s">
        <v>1119</v>
      </c>
      <c r="V51" s="722">
        <v>5.72</v>
      </c>
      <c r="W51" s="722">
        <v>0.9</v>
      </c>
      <c r="X51" s="722">
        <v>0.23</v>
      </c>
      <c r="Y51" s="722">
        <v>8.5500000000000007</v>
      </c>
      <c r="Z51" s="382">
        <v>1.3395425809857198E-2</v>
      </c>
      <c r="AA51" s="372">
        <v>168296.81</v>
      </c>
      <c r="AB51" s="372">
        <v>274639.18</v>
      </c>
      <c r="AC51" s="372">
        <v>424460.28</v>
      </c>
      <c r="AD51" s="372">
        <v>357266.94</v>
      </c>
      <c r="AE51" s="372">
        <v>381208.47</v>
      </c>
      <c r="AF51" s="372">
        <v>370621.11</v>
      </c>
      <c r="AG51" s="372">
        <v>376798</v>
      </c>
      <c r="AH51" s="372">
        <v>0</v>
      </c>
    </row>
    <row r="52" spans="1:34">
      <c r="A52" s="372" t="s">
        <v>1120</v>
      </c>
      <c r="B52" s="373" t="s">
        <v>1121</v>
      </c>
      <c r="C52" s="372" t="s">
        <v>1122</v>
      </c>
      <c r="D52" s="374">
        <v>1101114570720</v>
      </c>
      <c r="E52" s="372" t="s">
        <v>1123</v>
      </c>
      <c r="F52" s="375" t="s">
        <v>1124</v>
      </c>
      <c r="G52" s="375" t="s">
        <v>1124</v>
      </c>
      <c r="H52" s="375" t="s">
        <v>823</v>
      </c>
      <c r="I52" s="375" t="s">
        <v>755</v>
      </c>
      <c r="J52" s="375">
        <v>354891.55551999999</v>
      </c>
      <c r="K52" s="375">
        <v>-37522.197050000002</v>
      </c>
      <c r="L52" s="375">
        <v>-43857.762620000001</v>
      </c>
      <c r="M52" s="375">
        <v>320951.19455999997</v>
      </c>
      <c r="N52" s="372">
        <v>1.173</v>
      </c>
      <c r="O52" s="703">
        <v>2.5953907217861905</v>
      </c>
      <c r="P52" s="375" t="s">
        <v>623</v>
      </c>
      <c r="Q52" s="375" t="s">
        <v>623</v>
      </c>
      <c r="R52" s="695">
        <v>20200702</v>
      </c>
      <c r="S52" s="375" t="s">
        <v>1125</v>
      </c>
      <c r="T52" s="696" t="s">
        <v>772</v>
      </c>
      <c r="U52" s="375" t="s">
        <v>1126</v>
      </c>
      <c r="V52" s="722" t="s">
        <v>774</v>
      </c>
      <c r="W52" s="722">
        <v>27.72</v>
      </c>
      <c r="X52" s="722">
        <v>22.16</v>
      </c>
      <c r="Y52" s="722" t="s">
        <v>774</v>
      </c>
      <c r="Z52" s="382">
        <v>0.23770978399331155</v>
      </c>
      <c r="AA52" s="372">
        <v>259.99026720000001</v>
      </c>
      <c r="AB52" s="372">
        <v>4186.4452911999997</v>
      </c>
      <c r="AC52" s="372">
        <v>2461.7912001999998</v>
      </c>
      <c r="AD52" s="372">
        <v>3548.9155552000002</v>
      </c>
      <c r="AE52" s="372">
        <v>4881</v>
      </c>
      <c r="AF52" s="372">
        <v>6393.06</v>
      </c>
      <c r="AG52" s="372">
        <v>8328.58</v>
      </c>
      <c r="AH52" s="372">
        <v>10640.88</v>
      </c>
    </row>
    <row r="53" spans="1:34">
      <c r="A53" s="372" t="s">
        <v>1127</v>
      </c>
      <c r="B53" s="373" t="s">
        <v>1128</v>
      </c>
      <c r="C53" s="372" t="s">
        <v>1129</v>
      </c>
      <c r="D53" s="374">
        <v>1101118077821</v>
      </c>
      <c r="E53" s="372" t="s">
        <v>1130</v>
      </c>
      <c r="F53" s="375" t="s">
        <v>900</v>
      </c>
      <c r="G53" s="375" t="s">
        <v>901</v>
      </c>
      <c r="H53" s="375" t="s">
        <v>862</v>
      </c>
      <c r="I53" s="375" t="s">
        <v>755</v>
      </c>
      <c r="J53" s="375">
        <v>2276508</v>
      </c>
      <c r="K53" s="375">
        <v>-287105</v>
      </c>
      <c r="L53" s="375">
        <v>-2597520</v>
      </c>
      <c r="M53" s="375">
        <v>15816517</v>
      </c>
      <c r="N53" s="372">
        <v>1.31</v>
      </c>
      <c r="O53" s="703">
        <v>1.4367122209063086</v>
      </c>
      <c r="P53" s="375" t="s">
        <v>623</v>
      </c>
      <c r="Q53" s="375" t="s">
        <v>623</v>
      </c>
      <c r="R53" s="695">
        <v>20211129</v>
      </c>
      <c r="S53" s="375" t="s">
        <v>861</v>
      </c>
      <c r="T53" s="696" t="s">
        <v>772</v>
      </c>
      <c r="U53" s="375" t="s">
        <v>1131</v>
      </c>
      <c r="V53" s="722" t="s">
        <v>774</v>
      </c>
      <c r="W53" s="722">
        <v>0.48</v>
      </c>
      <c r="X53" s="722">
        <v>3.25</v>
      </c>
      <c r="Y53" s="722" t="s">
        <v>774</v>
      </c>
      <c r="Z53" s="382">
        <v>4.741875360145964E-2</v>
      </c>
      <c r="AA53" s="372">
        <v>0</v>
      </c>
      <c r="AB53" s="372">
        <v>11464.14</v>
      </c>
      <c r="AC53" s="372">
        <v>23705.53</v>
      </c>
      <c r="AD53" s="372">
        <v>22765.08</v>
      </c>
      <c r="AE53" s="372">
        <v>28807.83</v>
      </c>
      <c r="AF53" s="372">
        <v>32960.67</v>
      </c>
      <c r="AG53" s="372">
        <v>27400</v>
      </c>
      <c r="AH53" s="372">
        <v>0</v>
      </c>
    </row>
    <row r="54" spans="1:34">
      <c r="A54" s="372" t="s">
        <v>1132</v>
      </c>
      <c r="B54" s="373" t="s">
        <v>1133</v>
      </c>
      <c r="C54" s="372" t="s">
        <v>1134</v>
      </c>
      <c r="D54" s="374">
        <v>1942110000480</v>
      </c>
      <c r="E54" s="372" t="s">
        <v>1135</v>
      </c>
      <c r="F54" s="375" t="s">
        <v>1136</v>
      </c>
      <c r="G54" s="375" t="s">
        <v>1137</v>
      </c>
      <c r="H54" s="375" t="s">
        <v>797</v>
      </c>
      <c r="I54" s="375" t="s">
        <v>755</v>
      </c>
      <c r="J54" s="375">
        <v>9359005.9813000001</v>
      </c>
      <c r="K54" s="375">
        <v>691114.68241000001</v>
      </c>
      <c r="L54" s="375">
        <v>1214768.88114</v>
      </c>
      <c r="M54" s="375">
        <v>4684225.3179000001</v>
      </c>
      <c r="N54" s="372">
        <v>0.95099999999999996</v>
      </c>
      <c r="O54" s="703">
        <v>39.129319998026617</v>
      </c>
      <c r="P54" s="375" t="s">
        <v>623</v>
      </c>
      <c r="Q54" s="375" t="s">
        <v>623</v>
      </c>
      <c r="R54" s="695">
        <v>19870527</v>
      </c>
      <c r="S54" s="375" t="s">
        <v>1138</v>
      </c>
      <c r="T54" s="696">
        <v>0.26400000000000001</v>
      </c>
      <c r="U54" s="375" t="s">
        <v>1139</v>
      </c>
      <c r="V54" s="722">
        <v>9.4499999999999993</v>
      </c>
      <c r="W54" s="722">
        <v>1.79</v>
      </c>
      <c r="X54" s="722">
        <v>0.67</v>
      </c>
      <c r="Y54" s="722">
        <v>7.71</v>
      </c>
      <c r="Z54" s="382">
        <v>0.10508745346599091</v>
      </c>
      <c r="AA54" s="372">
        <v>53214.4427067</v>
      </c>
      <c r="AB54" s="372">
        <v>55413.891412700003</v>
      </c>
      <c r="AC54" s="372">
        <v>70603.932099800004</v>
      </c>
      <c r="AD54" s="372">
        <v>93590.059813</v>
      </c>
      <c r="AE54" s="372">
        <v>108105.63</v>
      </c>
      <c r="AF54" s="372">
        <v>123173.26</v>
      </c>
      <c r="AG54" s="372">
        <v>139577.79</v>
      </c>
      <c r="AH54" s="372">
        <v>121319</v>
      </c>
    </row>
    <row r="55" spans="1:34">
      <c r="A55" s="372" t="s">
        <v>1140</v>
      </c>
      <c r="B55" s="373" t="s">
        <v>1141</v>
      </c>
      <c r="C55" s="372" t="s">
        <v>1142</v>
      </c>
      <c r="D55" s="374">
        <v>1101112095837</v>
      </c>
      <c r="E55" s="372" t="s">
        <v>1143</v>
      </c>
      <c r="F55" s="375" t="s">
        <v>1144</v>
      </c>
      <c r="G55" s="375" t="s">
        <v>1145</v>
      </c>
      <c r="H55" s="375" t="s">
        <v>797</v>
      </c>
      <c r="I55" s="375" t="s">
        <v>755</v>
      </c>
      <c r="J55" s="375">
        <v>7408312.2656399999</v>
      </c>
      <c r="K55" s="375">
        <v>-196498.30037000001</v>
      </c>
      <c r="L55" s="375">
        <v>-116279.18098</v>
      </c>
      <c r="M55" s="375">
        <v>4312157.1206900002</v>
      </c>
      <c r="N55" s="372">
        <v>0.83299999999999996</v>
      </c>
      <c r="O55" s="703">
        <v>23.077538869127899</v>
      </c>
      <c r="P55" s="375" t="s">
        <v>623</v>
      </c>
      <c r="Q55" s="375" t="s">
        <v>623</v>
      </c>
      <c r="R55" s="695">
        <v>20010202</v>
      </c>
      <c r="S55" s="375" t="s">
        <v>1146</v>
      </c>
      <c r="T55" s="696" t="s">
        <v>772</v>
      </c>
      <c r="U55" s="375" t="s">
        <v>15974</v>
      </c>
      <c r="V55" s="722" t="s">
        <v>774</v>
      </c>
      <c r="W55" s="722">
        <v>1.78</v>
      </c>
      <c r="X55" s="722">
        <v>0.68</v>
      </c>
      <c r="Y55" s="722">
        <v>31.58</v>
      </c>
      <c r="Z55" s="382">
        <v>0.1037950448516447</v>
      </c>
      <c r="AA55" s="372">
        <v>70301.751971599995</v>
      </c>
      <c r="AB55" s="372">
        <v>44865.856813600003</v>
      </c>
      <c r="AC55" s="372">
        <v>48601.502495300003</v>
      </c>
      <c r="AD55" s="372">
        <v>74083.122656399995</v>
      </c>
      <c r="AE55" s="372">
        <v>95953.8</v>
      </c>
      <c r="AF55" s="372">
        <v>101632.13</v>
      </c>
      <c r="AG55" s="372">
        <v>109969.7</v>
      </c>
      <c r="AH55" s="372">
        <v>94330</v>
      </c>
    </row>
    <row r="56" spans="1:34">
      <c r="A56" s="372" t="s">
        <v>1147</v>
      </c>
      <c r="B56" s="373" t="s">
        <v>1148</v>
      </c>
      <c r="C56" s="372" t="s">
        <v>1149</v>
      </c>
      <c r="D56" s="374">
        <v>1311110478337</v>
      </c>
      <c r="E56" s="372" t="s">
        <v>1150</v>
      </c>
      <c r="F56" s="375" t="s">
        <v>1151</v>
      </c>
      <c r="G56" s="375" t="s">
        <v>1152</v>
      </c>
      <c r="H56" s="375" t="s">
        <v>862</v>
      </c>
      <c r="I56" s="375" t="s">
        <v>755</v>
      </c>
      <c r="J56" s="375">
        <v>615362.83440000005</v>
      </c>
      <c r="K56" s="375">
        <v>-56589.696680000001</v>
      </c>
      <c r="L56" s="375">
        <v>-5646.0410599999996</v>
      </c>
      <c r="M56" s="375">
        <v>1934775.6100600001</v>
      </c>
      <c r="N56" s="372">
        <v>1.7829999999999999</v>
      </c>
      <c r="O56" s="703">
        <v>2.0763690307146696</v>
      </c>
      <c r="P56" s="375" t="s">
        <v>623</v>
      </c>
      <c r="Q56" s="372" t="s">
        <v>623</v>
      </c>
      <c r="R56" s="695">
        <v>20211103</v>
      </c>
      <c r="S56" s="375" t="s">
        <v>1153</v>
      </c>
      <c r="T56" s="696" t="s">
        <v>772</v>
      </c>
      <c r="U56" s="375" t="s">
        <v>1154</v>
      </c>
      <c r="V56" s="722" t="s">
        <v>774</v>
      </c>
      <c r="W56" s="722">
        <v>3.53</v>
      </c>
      <c r="X56" s="722">
        <v>10.73</v>
      </c>
      <c r="Y56" s="722">
        <v>2624.59</v>
      </c>
      <c r="Z56" s="382">
        <v>0.13201960900416387</v>
      </c>
      <c r="AA56" s="372">
        <v>2843.7076883</v>
      </c>
      <c r="AB56" s="372">
        <v>4586.4679907</v>
      </c>
      <c r="AC56" s="372">
        <v>5213.6428907999998</v>
      </c>
      <c r="AD56" s="372">
        <v>6153.6283439999997</v>
      </c>
      <c r="AE56" s="372">
        <v>7334.83</v>
      </c>
      <c r="AF56" s="372">
        <v>8610.4</v>
      </c>
      <c r="AG56" s="372">
        <v>10105.25</v>
      </c>
      <c r="AH56" s="372">
        <v>0</v>
      </c>
    </row>
    <row r="57" spans="1:34">
      <c r="A57" s="372" t="s">
        <v>1155</v>
      </c>
      <c r="B57" s="373" t="s">
        <v>1156</v>
      </c>
      <c r="C57" s="372" t="s">
        <v>1157</v>
      </c>
      <c r="D57" s="374">
        <v>1101112177388</v>
      </c>
      <c r="E57" s="372" t="s">
        <v>1158</v>
      </c>
      <c r="F57" s="375" t="s">
        <v>1159</v>
      </c>
      <c r="G57" s="375" t="s">
        <v>1160</v>
      </c>
      <c r="H57" s="375" t="s">
        <v>916</v>
      </c>
      <c r="I57" s="375" t="s">
        <v>755</v>
      </c>
      <c r="J57" s="375">
        <v>25683197.16406</v>
      </c>
      <c r="K57" s="375">
        <v>1554032.51009</v>
      </c>
      <c r="L57" s="375">
        <v>1453438.1214399999</v>
      </c>
      <c r="M57" s="375">
        <v>7783923.6202499997</v>
      </c>
      <c r="N57" s="372">
        <v>0.89200000000000002</v>
      </c>
      <c r="O57" s="703">
        <v>51.057152837362644</v>
      </c>
      <c r="P57" s="375" t="s">
        <v>623</v>
      </c>
      <c r="Q57" s="375" t="s">
        <v>623</v>
      </c>
      <c r="R57" s="695">
        <v>20051226</v>
      </c>
      <c r="S57" s="375" t="s">
        <v>1161</v>
      </c>
      <c r="T57" s="696">
        <v>0.26400000000000001</v>
      </c>
      <c r="U57" s="375" t="s">
        <v>1162</v>
      </c>
      <c r="V57" s="722">
        <v>3.42</v>
      </c>
      <c r="W57" s="722">
        <v>0.93</v>
      </c>
      <c r="X57" s="722">
        <v>0.28000000000000003</v>
      </c>
      <c r="Y57" s="722">
        <v>6.77</v>
      </c>
      <c r="Z57" s="382">
        <v>3.2520177151048824E-2</v>
      </c>
      <c r="AA57" s="372">
        <v>165198.84633100001</v>
      </c>
      <c r="AB57" s="372">
        <v>217795.81930999999</v>
      </c>
      <c r="AC57" s="372">
        <v>269818.80971120001</v>
      </c>
      <c r="AD57" s="372">
        <v>256831.97164060001</v>
      </c>
      <c r="AE57" s="372">
        <v>266790.33</v>
      </c>
      <c r="AF57" s="372">
        <v>278873.2</v>
      </c>
      <c r="AG57" s="372">
        <v>291906.17</v>
      </c>
      <c r="AH57" s="372">
        <v>0</v>
      </c>
    </row>
    <row r="58" spans="1:34">
      <c r="A58" s="372" t="s">
        <v>1163</v>
      </c>
      <c r="B58" s="373" t="s">
        <v>1164</v>
      </c>
      <c r="C58" s="372" t="s">
        <v>1165</v>
      </c>
      <c r="D58" s="374">
        <v>1101110168595</v>
      </c>
      <c r="E58" s="372" t="s">
        <v>1166</v>
      </c>
      <c r="F58" s="375" t="s">
        <v>1144</v>
      </c>
      <c r="G58" s="375" t="s">
        <v>1145</v>
      </c>
      <c r="H58" s="375" t="s">
        <v>797</v>
      </c>
      <c r="I58" s="375" t="s">
        <v>755</v>
      </c>
      <c r="J58" s="375">
        <v>8009429.9121000003</v>
      </c>
      <c r="K58" s="375">
        <v>233344.76805000001</v>
      </c>
      <c r="L58" s="375">
        <v>-295712.42807000002</v>
      </c>
      <c r="M58" s="375">
        <v>3409207.5980600002</v>
      </c>
      <c r="N58" s="372">
        <v>0.83</v>
      </c>
      <c r="O58" s="703">
        <v>47.203637848569684</v>
      </c>
      <c r="P58" s="375" t="s">
        <v>623</v>
      </c>
      <c r="Q58" s="375" t="s">
        <v>623</v>
      </c>
      <c r="R58" s="695">
        <v>19940128</v>
      </c>
      <c r="S58" s="375" t="s">
        <v>1167</v>
      </c>
      <c r="T58" s="696" t="s">
        <v>772</v>
      </c>
      <c r="U58" s="375" t="s">
        <v>1168</v>
      </c>
      <c r="V58" s="722">
        <v>17.75</v>
      </c>
      <c r="W58" s="722">
        <v>1.55</v>
      </c>
      <c r="X58" s="722">
        <v>0.85</v>
      </c>
      <c r="Y58" s="722" t="s">
        <v>774</v>
      </c>
      <c r="Z58" s="382">
        <v>0.10752415766637591</v>
      </c>
      <c r="AA58" s="372">
        <v>68603.176424999998</v>
      </c>
      <c r="AB58" s="372">
        <v>66220.014873199994</v>
      </c>
      <c r="AC58" s="372">
        <v>59446.6745228</v>
      </c>
      <c r="AD58" s="372">
        <v>80094.299121000004</v>
      </c>
      <c r="AE58" s="372">
        <v>97300.13</v>
      </c>
      <c r="AF58" s="372">
        <v>108309.53</v>
      </c>
      <c r="AG58" s="372">
        <v>120507.6</v>
      </c>
      <c r="AH58" s="372">
        <v>156710</v>
      </c>
    </row>
    <row r="59" spans="1:34">
      <c r="A59" s="372" t="s">
        <v>1169</v>
      </c>
      <c r="B59" s="373" t="s">
        <v>1170</v>
      </c>
      <c r="C59" s="372" t="s">
        <v>1171</v>
      </c>
      <c r="D59" s="374">
        <v>1101114952093</v>
      </c>
      <c r="E59" s="372" t="s">
        <v>1172</v>
      </c>
      <c r="F59" s="375" t="s">
        <v>1173</v>
      </c>
      <c r="G59" s="375" t="s">
        <v>1174</v>
      </c>
      <c r="H59" s="375" t="s">
        <v>832</v>
      </c>
      <c r="I59" s="375" t="s">
        <v>755</v>
      </c>
      <c r="J59" s="375">
        <v>8939621.4755000006</v>
      </c>
      <c r="K59" s="375">
        <v>1327945.32079</v>
      </c>
      <c r="L59" s="375">
        <v>1171218.9327</v>
      </c>
      <c r="M59" s="375">
        <v>9629553.1763400007</v>
      </c>
      <c r="N59" s="372">
        <v>0.77400000000000002</v>
      </c>
      <c r="O59" s="703">
        <v>16.201651923770484</v>
      </c>
      <c r="P59" s="375" t="s">
        <v>623</v>
      </c>
      <c r="Q59" s="375" t="s">
        <v>623</v>
      </c>
      <c r="R59" s="695">
        <v>20121004</v>
      </c>
      <c r="S59" s="375" t="s">
        <v>1175</v>
      </c>
      <c r="T59" s="696">
        <v>0.26400000000000001</v>
      </c>
      <c r="U59" s="375" t="s">
        <v>1176</v>
      </c>
      <c r="V59" s="722">
        <v>3.11</v>
      </c>
      <c r="W59" s="722">
        <v>0.59</v>
      </c>
      <c r="X59" s="722">
        <v>0.63</v>
      </c>
      <c r="Y59" s="722">
        <v>7.81</v>
      </c>
      <c r="Z59" s="382">
        <v>2.7031545017049741E-2</v>
      </c>
      <c r="AA59" s="372">
        <v>64530.717853599999</v>
      </c>
      <c r="AB59" s="372">
        <v>71411.368277700007</v>
      </c>
      <c r="AC59" s="372">
        <v>83942.030365099999</v>
      </c>
      <c r="AD59" s="372">
        <v>89396.214754999994</v>
      </c>
      <c r="AE59" s="372">
        <v>92131.73</v>
      </c>
      <c r="AF59" s="372">
        <v>95986.73</v>
      </c>
      <c r="AG59" s="372">
        <v>99461.33</v>
      </c>
      <c r="AH59" s="372">
        <v>0</v>
      </c>
    </row>
    <row r="60" spans="1:34">
      <c r="A60" s="372" t="s">
        <v>1177</v>
      </c>
      <c r="B60" s="373" t="s">
        <v>1178</v>
      </c>
      <c r="C60" s="372" t="s">
        <v>1179</v>
      </c>
      <c r="D60" s="374">
        <v>1101110095285</v>
      </c>
      <c r="E60" s="372" t="s">
        <v>1180</v>
      </c>
      <c r="F60" s="375" t="s">
        <v>965</v>
      </c>
      <c r="G60" s="375" t="s">
        <v>966</v>
      </c>
      <c r="H60" s="375" t="s">
        <v>940</v>
      </c>
      <c r="I60" s="375" t="s">
        <v>755</v>
      </c>
      <c r="J60" s="375">
        <v>14756207.528999999</v>
      </c>
      <c r="K60" s="375">
        <v>2234997.55748</v>
      </c>
      <c r="L60" s="375">
        <v>2255821.1500599999</v>
      </c>
      <c r="M60" s="375">
        <v>10303747.2632</v>
      </c>
      <c r="N60" s="372">
        <v>0.751</v>
      </c>
      <c r="O60" s="703">
        <v>38.196428043913784</v>
      </c>
      <c r="P60" s="375" t="s">
        <v>623</v>
      </c>
      <c r="Q60" s="375" t="s">
        <v>623</v>
      </c>
      <c r="R60" s="695">
        <v>19730628</v>
      </c>
      <c r="S60" s="375" t="s">
        <v>1181</v>
      </c>
      <c r="T60" s="696">
        <v>0.26400000000000001</v>
      </c>
      <c r="U60" s="375" t="s">
        <v>1182</v>
      </c>
      <c r="V60" s="722">
        <v>0</v>
      </c>
      <c r="W60" s="722">
        <v>0.56999999999999995</v>
      </c>
      <c r="X60" s="722">
        <v>0.3</v>
      </c>
      <c r="Y60" s="722">
        <v>3.41</v>
      </c>
      <c r="Z60" s="382" t="s">
        <v>934</v>
      </c>
      <c r="AA60" s="372">
        <v>154561.34292639999</v>
      </c>
      <c r="AB60" s="372">
        <v>163894.60151529999</v>
      </c>
      <c r="AC60" s="372">
        <v>139618.57227</v>
      </c>
      <c r="AD60" s="372">
        <v>147562.07529000001</v>
      </c>
      <c r="AE60" s="372">
        <v>0</v>
      </c>
      <c r="AF60" s="372">
        <v>0</v>
      </c>
      <c r="AG60" s="372">
        <v>0</v>
      </c>
      <c r="AH60" s="372">
        <v>0</v>
      </c>
    </row>
    <row r="61" spans="1:34">
      <c r="A61" s="372" t="s">
        <v>1183</v>
      </c>
      <c r="B61" s="373" t="s">
        <v>1184</v>
      </c>
      <c r="C61" s="372" t="s">
        <v>1185</v>
      </c>
      <c r="D61" s="374">
        <v>1101110393134</v>
      </c>
      <c r="E61" s="372" t="s">
        <v>1186</v>
      </c>
      <c r="F61" s="375" t="s">
        <v>1187</v>
      </c>
      <c r="G61" s="375" t="s">
        <v>1188</v>
      </c>
      <c r="H61" s="375" t="s">
        <v>754</v>
      </c>
      <c r="I61" s="375" t="s">
        <v>755</v>
      </c>
      <c r="J61" s="375">
        <v>21330819</v>
      </c>
      <c r="K61" s="375">
        <v>-2510164</v>
      </c>
      <c r="L61" s="375">
        <v>-3339441</v>
      </c>
      <c r="M61" s="375">
        <v>8770544</v>
      </c>
      <c r="N61" s="372">
        <v>1.077</v>
      </c>
      <c r="O61" s="703">
        <v>315.03781783681217</v>
      </c>
      <c r="P61" s="375" t="s">
        <v>623</v>
      </c>
      <c r="Q61" s="375" t="s">
        <v>623</v>
      </c>
      <c r="R61" s="695">
        <v>20040723</v>
      </c>
      <c r="S61" s="375" t="s">
        <v>1189</v>
      </c>
      <c r="T61" s="696" t="s">
        <v>772</v>
      </c>
      <c r="U61" s="375" t="s">
        <v>1190</v>
      </c>
      <c r="V61" s="722">
        <v>11.37</v>
      </c>
      <c r="W61" s="722">
        <v>0.63</v>
      </c>
      <c r="X61" s="722">
        <v>0.21</v>
      </c>
      <c r="Y61" s="722" t="s">
        <v>774</v>
      </c>
      <c r="Z61" s="382">
        <v>7.1985970393147136E-2</v>
      </c>
      <c r="AA61" s="372">
        <v>242615.61</v>
      </c>
      <c r="AB61" s="372">
        <v>298780.43</v>
      </c>
      <c r="AC61" s="372">
        <v>261517.81</v>
      </c>
      <c r="AD61" s="372">
        <v>213308.19</v>
      </c>
      <c r="AE61" s="372">
        <v>262455.5</v>
      </c>
      <c r="AF61" s="372">
        <v>271640.67</v>
      </c>
      <c r="AG61" s="372">
        <v>281685.14</v>
      </c>
      <c r="AH61" s="372">
        <v>0</v>
      </c>
    </row>
    <row r="62" spans="1:34">
      <c r="A62" s="372" t="s">
        <v>1191</v>
      </c>
      <c r="B62" s="373" t="s">
        <v>1192</v>
      </c>
      <c r="C62" s="372" t="s">
        <v>1193</v>
      </c>
      <c r="D62" s="374">
        <v>1201110038423</v>
      </c>
      <c r="E62" s="372" t="s">
        <v>1194</v>
      </c>
      <c r="F62" s="375" t="s">
        <v>1195</v>
      </c>
      <c r="G62" s="375" t="s">
        <v>1196</v>
      </c>
      <c r="H62" s="375" t="s">
        <v>1050</v>
      </c>
      <c r="I62" s="375" t="s">
        <v>755</v>
      </c>
      <c r="J62" s="375">
        <v>159008.52836</v>
      </c>
      <c r="K62" s="375">
        <v>34571.410989999997</v>
      </c>
      <c r="L62" s="375">
        <v>345279.56177999999</v>
      </c>
      <c r="M62" s="375">
        <v>571898.62511999998</v>
      </c>
      <c r="N62" s="372">
        <v>1.264</v>
      </c>
      <c r="O62" s="703">
        <v>8.5678578919267095E-3</v>
      </c>
      <c r="P62" s="375" t="s">
        <v>623</v>
      </c>
      <c r="Q62" s="375" t="s">
        <v>623</v>
      </c>
      <c r="R62" s="695">
        <v>20050722</v>
      </c>
      <c r="S62" s="375" t="s">
        <v>1197</v>
      </c>
      <c r="T62" s="696">
        <v>0.26400000000000001</v>
      </c>
      <c r="U62" s="375" t="s">
        <v>1198</v>
      </c>
      <c r="V62" s="722">
        <v>138.96</v>
      </c>
      <c r="W62" s="722">
        <v>9.98</v>
      </c>
      <c r="X62" s="722">
        <v>37.770000000000003</v>
      </c>
      <c r="Y62" s="722">
        <v>22.48</v>
      </c>
      <c r="Z62" s="382">
        <v>0.55665397052277754</v>
      </c>
      <c r="AA62" s="372">
        <v>2573.8589766</v>
      </c>
      <c r="AB62" s="372">
        <v>3731.6940190999999</v>
      </c>
      <c r="AC62" s="372">
        <v>3275.9205870999999</v>
      </c>
      <c r="AD62" s="372">
        <v>1590.0852835999999</v>
      </c>
      <c r="AE62" s="372">
        <v>4827.38</v>
      </c>
      <c r="AF62" s="372">
        <v>6560.75</v>
      </c>
      <c r="AG62" s="372">
        <v>9336.6</v>
      </c>
      <c r="AH62" s="372">
        <v>6220</v>
      </c>
    </row>
    <row r="63" spans="1:34">
      <c r="A63" s="372" t="s">
        <v>1199</v>
      </c>
      <c r="B63" s="373" t="s">
        <v>1200</v>
      </c>
      <c r="C63" s="372" t="s">
        <v>1201</v>
      </c>
      <c r="D63" s="374">
        <v>1101110360935</v>
      </c>
      <c r="E63" s="372" t="s">
        <v>1202</v>
      </c>
      <c r="F63" s="375" t="s">
        <v>830</v>
      </c>
      <c r="G63" s="375" t="s">
        <v>831</v>
      </c>
      <c r="H63" s="375" t="s">
        <v>832</v>
      </c>
      <c r="I63" s="375" t="s">
        <v>755</v>
      </c>
      <c r="J63" s="375">
        <v>13288744.76293</v>
      </c>
      <c r="K63" s="375">
        <v>604528.96290000004</v>
      </c>
      <c r="L63" s="375">
        <v>-102033.02122</v>
      </c>
      <c r="M63" s="375">
        <v>9010546.1548100002</v>
      </c>
      <c r="N63" s="372">
        <v>1.284</v>
      </c>
      <c r="O63" s="703">
        <v>220.4055280619356</v>
      </c>
      <c r="P63" s="375" t="s">
        <v>623</v>
      </c>
      <c r="Q63" s="375" t="s">
        <v>623</v>
      </c>
      <c r="R63" s="695">
        <v>19740619</v>
      </c>
      <c r="S63" s="375" t="s">
        <v>1203</v>
      </c>
      <c r="T63" s="696" t="s">
        <v>772</v>
      </c>
      <c r="U63" s="375" t="s">
        <v>1204</v>
      </c>
      <c r="V63" s="722">
        <v>11.98</v>
      </c>
      <c r="W63" s="722">
        <v>0.87</v>
      </c>
      <c r="X63" s="722">
        <v>0.53</v>
      </c>
      <c r="Y63" s="722" t="s">
        <v>774</v>
      </c>
      <c r="Z63" s="382">
        <v>8.7548744747867335E-3</v>
      </c>
      <c r="AA63" s="372">
        <v>91950.081283599997</v>
      </c>
      <c r="AB63" s="372">
        <v>107251.92384819999</v>
      </c>
      <c r="AC63" s="372">
        <v>131307.52887519999</v>
      </c>
      <c r="AD63" s="372">
        <v>132887.4476293</v>
      </c>
      <c r="AE63" s="372">
        <v>122646.2</v>
      </c>
      <c r="AF63" s="372">
        <v>135601.54999999999</v>
      </c>
      <c r="AG63" s="372">
        <v>137602.57</v>
      </c>
      <c r="AH63" s="372">
        <v>155480</v>
      </c>
    </row>
    <row r="64" spans="1:34">
      <c r="A64" s="372" t="s">
        <v>1205</v>
      </c>
      <c r="B64" s="373" t="s">
        <v>1206</v>
      </c>
      <c r="C64" s="372" t="s">
        <v>1207</v>
      </c>
      <c r="D64" s="374">
        <v>1101110193196</v>
      </c>
      <c r="E64" s="372" t="s">
        <v>1208</v>
      </c>
      <c r="F64" s="375" t="s">
        <v>830</v>
      </c>
      <c r="G64" s="375" t="s">
        <v>831</v>
      </c>
      <c r="H64" s="375" t="s">
        <v>832</v>
      </c>
      <c r="I64" s="375" t="s">
        <v>755</v>
      </c>
      <c r="J64" s="375">
        <v>19946396.629900001</v>
      </c>
      <c r="K64" s="375">
        <v>-347702.49946999998</v>
      </c>
      <c r="L64" s="375">
        <v>-452271.27408</v>
      </c>
      <c r="M64" s="375">
        <v>20232540.579849999</v>
      </c>
      <c r="N64" s="372">
        <v>1.087</v>
      </c>
      <c r="O64" s="703">
        <v>221.03497782003294</v>
      </c>
      <c r="P64" s="375" t="s">
        <v>623</v>
      </c>
      <c r="Q64" s="375" t="s">
        <v>623</v>
      </c>
      <c r="R64" s="695">
        <v>19910530</v>
      </c>
      <c r="S64" s="375" t="s">
        <v>1209</v>
      </c>
      <c r="T64" s="696" t="s">
        <v>772</v>
      </c>
      <c r="U64" s="375" t="s">
        <v>1210</v>
      </c>
      <c r="V64" s="722">
        <v>20.65</v>
      </c>
      <c r="W64" s="722">
        <v>0.42</v>
      </c>
      <c r="X64" s="722">
        <v>0.32</v>
      </c>
      <c r="Y64" s="722" t="s">
        <v>774</v>
      </c>
      <c r="Z64" s="382">
        <v>2.7763354740096613E-2</v>
      </c>
      <c r="AA64" s="372">
        <v>122230.31551260001</v>
      </c>
      <c r="AB64" s="372">
        <v>181204.6242275</v>
      </c>
      <c r="AC64" s="372">
        <v>222760.82763690001</v>
      </c>
      <c r="AD64" s="372">
        <v>199463.96629899999</v>
      </c>
      <c r="AE64" s="372">
        <v>210128.95</v>
      </c>
      <c r="AF64" s="372">
        <v>217204.21</v>
      </c>
      <c r="AG64" s="372">
        <v>222554.8</v>
      </c>
      <c r="AH64" s="372">
        <v>206580</v>
      </c>
    </row>
    <row r="65" spans="1:34">
      <c r="A65" s="372" t="s">
        <v>1211</v>
      </c>
      <c r="B65" s="373" t="s">
        <v>1212</v>
      </c>
      <c r="C65" s="372" t="s">
        <v>1213</v>
      </c>
      <c r="D65" s="374">
        <v>1701110638661</v>
      </c>
      <c r="E65" s="372" t="s">
        <v>1214</v>
      </c>
      <c r="F65" s="375" t="s">
        <v>900</v>
      </c>
      <c r="G65" s="375" t="s">
        <v>901</v>
      </c>
      <c r="H65" s="375" t="s">
        <v>862</v>
      </c>
      <c r="I65" s="375" t="s">
        <v>755</v>
      </c>
      <c r="J65" s="375">
        <v>61331302.784999996</v>
      </c>
      <c r="K65" s="375">
        <v>2031563.5870000001</v>
      </c>
      <c r="L65" s="375">
        <v>958247.98800000001</v>
      </c>
      <c r="M65" s="375">
        <v>23231837.100000001</v>
      </c>
      <c r="N65" s="372">
        <v>0.91400000000000003</v>
      </c>
      <c r="O65" s="703">
        <v>418.4431545453096</v>
      </c>
      <c r="P65" s="375" t="s">
        <v>623</v>
      </c>
      <c r="Q65" s="375" t="s">
        <v>623</v>
      </c>
      <c r="R65" s="695">
        <v>20170510</v>
      </c>
      <c r="S65" s="375" t="s">
        <v>861</v>
      </c>
      <c r="T65" s="696">
        <v>0.26400000000000001</v>
      </c>
      <c r="U65" s="375" t="s">
        <v>15975</v>
      </c>
      <c r="V65" s="722">
        <v>8.89</v>
      </c>
      <c r="W65" s="722">
        <v>0.64</v>
      </c>
      <c r="X65" s="722">
        <v>0.08</v>
      </c>
      <c r="Y65" s="722">
        <v>18.91</v>
      </c>
      <c r="Z65" s="382">
        <v>4.9579028136964354E-2</v>
      </c>
      <c r="AA65" s="372">
        <v>189109.81518999999</v>
      </c>
      <c r="AB65" s="372">
        <v>283536.71477999998</v>
      </c>
      <c r="AC65" s="372">
        <v>608496.68073000002</v>
      </c>
      <c r="AD65" s="372">
        <v>613313.02784999995</v>
      </c>
      <c r="AE65" s="372">
        <v>657346.67000000004</v>
      </c>
      <c r="AF65" s="372">
        <v>695869.83</v>
      </c>
      <c r="AG65" s="372">
        <v>744291</v>
      </c>
      <c r="AH65" s="372">
        <v>0</v>
      </c>
    </row>
    <row r="66" spans="1:34">
      <c r="A66" s="372" t="s">
        <v>1215</v>
      </c>
      <c r="B66" s="373" t="s">
        <v>1216</v>
      </c>
      <c r="C66" s="372" t="s">
        <v>1217</v>
      </c>
      <c r="D66" s="374">
        <v>1101117064217</v>
      </c>
      <c r="E66" s="372" t="s">
        <v>1218</v>
      </c>
      <c r="F66" s="372" t="s">
        <v>779</v>
      </c>
      <c r="G66" s="375" t="s">
        <v>779</v>
      </c>
      <c r="H66" s="375" t="s">
        <v>754</v>
      </c>
      <c r="I66" s="375" t="s">
        <v>755</v>
      </c>
      <c r="J66" s="375">
        <v>649568.30500000005</v>
      </c>
      <c r="K66" s="375">
        <v>32027.919999999998</v>
      </c>
      <c r="L66" s="375">
        <v>98685.133000000002</v>
      </c>
      <c r="M66" s="375">
        <v>2411660.7659999998</v>
      </c>
      <c r="N66" s="372">
        <v>1.4810000000000001</v>
      </c>
      <c r="O66" s="703">
        <v>33.643061190944742</v>
      </c>
      <c r="P66" s="375" t="s">
        <v>623</v>
      </c>
      <c r="Q66" s="375" t="s">
        <v>623</v>
      </c>
      <c r="R66" s="695">
        <v>20210511</v>
      </c>
      <c r="S66" s="375" t="s">
        <v>1219</v>
      </c>
      <c r="T66" s="696">
        <v>0.23100000000000001</v>
      </c>
      <c r="U66" s="375" t="s">
        <v>1220</v>
      </c>
      <c r="V66" s="722">
        <v>34.700000000000003</v>
      </c>
      <c r="W66" s="722">
        <v>2.33</v>
      </c>
      <c r="X66" s="722">
        <v>8.66</v>
      </c>
      <c r="Y66" s="722">
        <v>68.47</v>
      </c>
      <c r="Z66" s="382">
        <v>0.19220130716060257</v>
      </c>
      <c r="AA66" s="372">
        <v>4693.0922600000004</v>
      </c>
      <c r="AB66" s="372">
        <v>6037.6742100000001</v>
      </c>
      <c r="AC66" s="372">
        <v>5857.9863299999997</v>
      </c>
      <c r="AD66" s="372">
        <v>6495.6830499999996</v>
      </c>
      <c r="AE66" s="372">
        <v>5878.28</v>
      </c>
      <c r="AF66" s="372">
        <v>10205.61</v>
      </c>
      <c r="AG66" s="372">
        <v>13122.7</v>
      </c>
      <c r="AH66" s="372">
        <v>27010</v>
      </c>
    </row>
    <row r="67" spans="1:34">
      <c r="A67" s="372" t="s">
        <v>1221</v>
      </c>
      <c r="B67" s="373" t="s">
        <v>1222</v>
      </c>
      <c r="C67" s="372" t="s">
        <v>1223</v>
      </c>
      <c r="D67" s="374">
        <v>1101114731299</v>
      </c>
      <c r="E67" s="372" t="s">
        <v>1224</v>
      </c>
      <c r="F67" s="375" t="s">
        <v>1013</v>
      </c>
      <c r="G67" s="375" t="s">
        <v>1225</v>
      </c>
      <c r="H67" s="375" t="s">
        <v>823</v>
      </c>
      <c r="I67" s="375" t="s">
        <v>755</v>
      </c>
      <c r="J67" s="375">
        <v>2502055.5997700002</v>
      </c>
      <c r="K67" s="375">
        <v>-68468.184309999997</v>
      </c>
      <c r="L67" s="375">
        <v>-158603.69553999999</v>
      </c>
      <c r="M67" s="375">
        <v>5079044.7885299996</v>
      </c>
      <c r="N67" s="372">
        <v>1.1659999999999999</v>
      </c>
      <c r="O67" s="703">
        <v>40.195622797391728</v>
      </c>
      <c r="P67" s="375" t="s">
        <v>623</v>
      </c>
      <c r="Q67" s="375" t="s">
        <v>623</v>
      </c>
      <c r="R67" s="695">
        <v>20170512</v>
      </c>
      <c r="S67" s="375" t="s">
        <v>1226</v>
      </c>
      <c r="T67" s="696" t="s">
        <v>772</v>
      </c>
      <c r="U67" s="375" t="s">
        <v>1227</v>
      </c>
      <c r="V67" s="722">
        <v>54.91</v>
      </c>
      <c r="W67" s="722">
        <v>0.93</v>
      </c>
      <c r="X67" s="722">
        <v>2</v>
      </c>
      <c r="Y67" s="722" t="s">
        <v>774</v>
      </c>
      <c r="Z67" s="382">
        <v>6.1952863826225446E-2</v>
      </c>
      <c r="AA67" s="372">
        <v>24847.6498589</v>
      </c>
      <c r="AB67" s="372">
        <v>25069.063741099999</v>
      </c>
      <c r="AC67" s="372">
        <v>26734.082758299999</v>
      </c>
      <c r="AD67" s="372">
        <v>25020.555997700001</v>
      </c>
      <c r="AE67" s="372">
        <v>28845.95</v>
      </c>
      <c r="AF67" s="372">
        <v>29621</v>
      </c>
      <c r="AG67" s="372">
        <v>31821.3</v>
      </c>
      <c r="AH67" s="372">
        <v>0</v>
      </c>
    </row>
    <row r="68" spans="1:34">
      <c r="A68" s="372" t="s">
        <v>1228</v>
      </c>
      <c r="B68" s="373" t="s">
        <v>1229</v>
      </c>
      <c r="C68" s="372" t="s">
        <v>1230</v>
      </c>
      <c r="D68" s="374">
        <v>1760110022654</v>
      </c>
      <c r="E68" s="372" t="s">
        <v>1231</v>
      </c>
      <c r="F68" s="375" t="s">
        <v>779</v>
      </c>
      <c r="G68" s="375" t="s">
        <v>839</v>
      </c>
      <c r="H68" s="375" t="s">
        <v>754</v>
      </c>
      <c r="I68" s="375" t="s">
        <v>755</v>
      </c>
      <c r="J68" s="375">
        <v>4644090.3675800003</v>
      </c>
      <c r="K68" s="375">
        <v>-222296.6519</v>
      </c>
      <c r="L68" s="375">
        <v>-295687.38118000003</v>
      </c>
      <c r="M68" s="375">
        <v>1109988.6037999999</v>
      </c>
      <c r="N68" s="372">
        <v>1.319</v>
      </c>
      <c r="O68" s="703">
        <v>32.977828888188284</v>
      </c>
      <c r="P68" s="375" t="s">
        <v>623</v>
      </c>
      <c r="Q68" s="375" t="s">
        <v>623</v>
      </c>
      <c r="R68" s="695">
        <v>20021227</v>
      </c>
      <c r="S68" s="375" t="s">
        <v>1232</v>
      </c>
      <c r="T68" s="696" t="s">
        <v>772</v>
      </c>
      <c r="U68" s="375" t="s">
        <v>1233</v>
      </c>
      <c r="V68" s="722" t="s">
        <v>774</v>
      </c>
      <c r="W68" s="722">
        <v>6.7</v>
      </c>
      <c r="X68" s="722">
        <v>1.59</v>
      </c>
      <c r="Y68" s="722" t="s">
        <v>774</v>
      </c>
      <c r="Z68" s="382">
        <v>0.1128988414244918</v>
      </c>
      <c r="AA68" s="372">
        <v>3561.0595600000001</v>
      </c>
      <c r="AB68" s="372">
        <v>9707.6087447999998</v>
      </c>
      <c r="AC68" s="372">
        <v>38872.937133500003</v>
      </c>
      <c r="AD68" s="372">
        <v>46440.9036758</v>
      </c>
      <c r="AE68" s="372">
        <v>34927.410000000003</v>
      </c>
      <c r="AF68" s="372">
        <v>53089.71</v>
      </c>
      <c r="AG68" s="372">
        <v>71239.92</v>
      </c>
      <c r="AH68" s="372">
        <v>104735</v>
      </c>
    </row>
    <row r="69" spans="1:34">
      <c r="A69" s="372" t="s">
        <v>1234</v>
      </c>
      <c r="B69" s="373" t="s">
        <v>1235</v>
      </c>
      <c r="C69" s="372" t="s">
        <v>1236</v>
      </c>
      <c r="D69" s="374">
        <v>1101112208000</v>
      </c>
      <c r="E69" s="372" t="s">
        <v>1237</v>
      </c>
      <c r="F69" s="375" t="s">
        <v>1104</v>
      </c>
      <c r="G69" s="375" t="s">
        <v>1238</v>
      </c>
      <c r="H69" s="375" t="s">
        <v>832</v>
      </c>
      <c r="I69" s="375" t="s">
        <v>755</v>
      </c>
      <c r="J69" s="375">
        <v>6804839.3701200001</v>
      </c>
      <c r="K69" s="375">
        <v>486981.22473999998</v>
      </c>
      <c r="L69" s="375">
        <v>276383.37838000001</v>
      </c>
      <c r="M69" s="375">
        <v>5548926.4658000004</v>
      </c>
      <c r="N69" s="372">
        <v>1.1279999999999999</v>
      </c>
      <c r="O69" s="703">
        <v>5.6311858403302448</v>
      </c>
      <c r="P69" s="375" t="s">
        <v>623</v>
      </c>
      <c r="Q69" s="375" t="s">
        <v>623</v>
      </c>
      <c r="R69" s="695">
        <v>20010425</v>
      </c>
      <c r="S69" s="375" t="s">
        <v>1239</v>
      </c>
      <c r="T69" s="696">
        <v>0.23100000000000001</v>
      </c>
      <c r="U69" s="375" t="s">
        <v>1240</v>
      </c>
      <c r="V69" s="722">
        <v>7.92</v>
      </c>
      <c r="W69" s="722">
        <v>1.1399999999999999</v>
      </c>
      <c r="X69" s="722">
        <v>0.92</v>
      </c>
      <c r="Y69" s="722">
        <v>44.06</v>
      </c>
      <c r="Z69" s="382">
        <v>3.2440611912475381E-2</v>
      </c>
      <c r="AA69" s="372">
        <v>78445.060571299997</v>
      </c>
      <c r="AB69" s="372">
        <v>80915.112979600002</v>
      </c>
      <c r="AC69" s="372">
        <v>71857.591843300004</v>
      </c>
      <c r="AD69" s="372">
        <v>68048.393701199995</v>
      </c>
      <c r="AE69" s="372">
        <v>70768.33</v>
      </c>
      <c r="AF69" s="372">
        <v>73845.070000000007</v>
      </c>
      <c r="AG69" s="372">
        <v>77317.570000000007</v>
      </c>
      <c r="AH69" s="372">
        <v>0</v>
      </c>
    </row>
    <row r="70" spans="1:34">
      <c r="A70" s="372" t="s">
        <v>1241</v>
      </c>
      <c r="B70" s="373" t="s">
        <v>1242</v>
      </c>
      <c r="C70" s="372" t="s">
        <v>1243</v>
      </c>
      <c r="D70" s="374">
        <v>1311110523736</v>
      </c>
      <c r="E70" s="372" t="s">
        <v>1244</v>
      </c>
      <c r="F70" s="372" t="s">
        <v>786</v>
      </c>
      <c r="G70" s="375" t="s">
        <v>786</v>
      </c>
      <c r="H70" s="375" t="s">
        <v>788</v>
      </c>
      <c r="I70" s="375" t="s">
        <v>755</v>
      </c>
      <c r="J70" s="375">
        <v>369505.55585</v>
      </c>
      <c r="K70" s="375">
        <v>-11987.76477</v>
      </c>
      <c r="L70" s="375">
        <v>7327.2273800000003</v>
      </c>
      <c r="M70" s="375">
        <v>1703855.3163699999</v>
      </c>
      <c r="N70" s="372">
        <v>1.399</v>
      </c>
      <c r="O70" s="703">
        <v>0.45697564305541749</v>
      </c>
      <c r="P70" s="375" t="s">
        <v>623</v>
      </c>
      <c r="Q70" s="375" t="s">
        <v>623</v>
      </c>
      <c r="R70" s="695">
        <v>20210318</v>
      </c>
      <c r="S70" s="375" t="s">
        <v>1245</v>
      </c>
      <c r="T70" s="696">
        <v>0.20900000000000002</v>
      </c>
      <c r="U70" s="375" t="s">
        <v>1246</v>
      </c>
      <c r="V70" s="722">
        <v>242.72</v>
      </c>
      <c r="W70" s="722">
        <v>3.25</v>
      </c>
      <c r="X70" s="722">
        <v>14.96</v>
      </c>
      <c r="Y70" s="722">
        <v>247.72</v>
      </c>
      <c r="Z70" s="382">
        <v>-0.16456458201482749</v>
      </c>
      <c r="AA70" s="372">
        <v>2256.1078486000001</v>
      </c>
      <c r="AB70" s="372">
        <v>9290.0092989999994</v>
      </c>
      <c r="AC70" s="372">
        <v>4567.2587119</v>
      </c>
      <c r="AD70" s="372">
        <v>3695.0555585000002</v>
      </c>
      <c r="AE70" s="372">
        <v>1804.5</v>
      </c>
      <c r="AF70" s="372">
        <v>2250</v>
      </c>
      <c r="AG70" s="372">
        <v>1800</v>
      </c>
      <c r="AH70" s="372">
        <v>4130</v>
      </c>
    </row>
    <row r="71" spans="1:34">
      <c r="A71" s="372" t="s">
        <v>1247</v>
      </c>
      <c r="B71" s="373" t="s">
        <v>1248</v>
      </c>
      <c r="C71" s="372" t="s">
        <v>1249</v>
      </c>
      <c r="D71" s="374">
        <v>1101111827570</v>
      </c>
      <c r="E71" s="372" t="s">
        <v>1250</v>
      </c>
      <c r="F71" s="375" t="s">
        <v>1251</v>
      </c>
      <c r="G71" s="375" t="s">
        <v>1252</v>
      </c>
      <c r="H71" s="375" t="s">
        <v>797</v>
      </c>
      <c r="I71" s="375" t="s">
        <v>755</v>
      </c>
      <c r="J71" s="375">
        <v>3819344.3824399998</v>
      </c>
      <c r="K71" s="375">
        <v>247510.48316</v>
      </c>
      <c r="L71" s="375">
        <v>268715.72047</v>
      </c>
      <c r="M71" s="375">
        <v>1619940.51727</v>
      </c>
      <c r="N71" s="372">
        <v>0.51900000000000002</v>
      </c>
      <c r="O71" s="703">
        <v>12.610922582604683</v>
      </c>
      <c r="P71" s="375" t="s">
        <v>623</v>
      </c>
      <c r="Q71" s="375" t="s">
        <v>623</v>
      </c>
      <c r="R71" s="695">
        <v>20110630</v>
      </c>
      <c r="S71" s="375" t="s">
        <v>1253</v>
      </c>
      <c r="T71" s="696">
        <v>0.23100000000000001</v>
      </c>
      <c r="U71" s="375" t="s">
        <v>1254</v>
      </c>
      <c r="V71" s="722">
        <v>13.29</v>
      </c>
      <c r="W71" s="722">
        <v>3.05</v>
      </c>
      <c r="X71" s="722">
        <v>1.28</v>
      </c>
      <c r="Y71" s="722">
        <v>21.76</v>
      </c>
      <c r="Z71" s="382">
        <v>5.9750275321880375E-2</v>
      </c>
      <c r="AA71" s="372">
        <v>28251.360128200002</v>
      </c>
      <c r="AB71" s="372">
        <v>25622.836751499999</v>
      </c>
      <c r="AC71" s="372">
        <v>27868.882827000001</v>
      </c>
      <c r="AD71" s="372">
        <v>38193.443824399998</v>
      </c>
      <c r="AE71" s="372">
        <v>37727.4</v>
      </c>
      <c r="AF71" s="372">
        <v>43575.25</v>
      </c>
      <c r="AG71" s="372">
        <v>48172.92</v>
      </c>
      <c r="AH71" s="372">
        <v>50540</v>
      </c>
    </row>
    <row r="72" spans="1:34">
      <c r="A72" s="372" t="s">
        <v>1255</v>
      </c>
      <c r="B72" s="373" t="s">
        <v>1256</v>
      </c>
      <c r="C72" s="372" t="s">
        <v>1257</v>
      </c>
      <c r="D72" s="374">
        <v>1101110014409</v>
      </c>
      <c r="E72" s="372" t="s">
        <v>1258</v>
      </c>
      <c r="F72" s="375" t="s">
        <v>1259</v>
      </c>
      <c r="G72" s="375" t="s">
        <v>1259</v>
      </c>
      <c r="H72" s="375" t="s">
        <v>788</v>
      </c>
      <c r="I72" s="375" t="s">
        <v>755</v>
      </c>
      <c r="J72" s="375">
        <v>1858983.75966</v>
      </c>
      <c r="K72" s="375">
        <v>56759.795059999997</v>
      </c>
      <c r="L72" s="375">
        <v>134539.95050000001</v>
      </c>
      <c r="M72" s="375">
        <v>2101732.6434599999</v>
      </c>
      <c r="N72" s="372">
        <v>0.76400000000000001</v>
      </c>
      <c r="O72" s="703">
        <v>4.3045628195418368</v>
      </c>
      <c r="P72" s="375" t="s">
        <v>623</v>
      </c>
      <c r="Q72" s="375" t="s">
        <v>623</v>
      </c>
      <c r="R72" s="695">
        <v>19621101</v>
      </c>
      <c r="S72" s="375" t="s">
        <v>1260</v>
      </c>
      <c r="T72" s="696">
        <v>0.23100000000000001</v>
      </c>
      <c r="U72" s="375" t="s">
        <v>1261</v>
      </c>
      <c r="V72" s="722">
        <v>55.6</v>
      </c>
      <c r="W72" s="722">
        <v>2.36</v>
      </c>
      <c r="X72" s="722">
        <v>2.88</v>
      </c>
      <c r="Y72" s="722">
        <v>39.340000000000003</v>
      </c>
      <c r="Z72" s="382">
        <v>6.9065063925985992E-2</v>
      </c>
      <c r="AA72" s="372">
        <v>16198.653026800001</v>
      </c>
      <c r="AB72" s="372">
        <v>16878.1031774</v>
      </c>
      <c r="AC72" s="372">
        <v>17758.469427399999</v>
      </c>
      <c r="AD72" s="372">
        <v>18589.837596599999</v>
      </c>
      <c r="AE72" s="372">
        <v>20741.330000000002</v>
      </c>
      <c r="AF72" s="372">
        <v>22468.45</v>
      </c>
      <c r="AG72" s="372">
        <v>24282.43</v>
      </c>
      <c r="AH72" s="372">
        <v>0</v>
      </c>
    </row>
    <row r="73" spans="1:34">
      <c r="A73" s="372" t="s">
        <v>1262</v>
      </c>
      <c r="B73" s="373" t="s">
        <v>1263</v>
      </c>
      <c r="C73" s="372" t="s">
        <v>1264</v>
      </c>
      <c r="D73" s="374">
        <v>1101115197193</v>
      </c>
      <c r="E73" s="372" t="s">
        <v>1265</v>
      </c>
      <c r="F73" s="375" t="s">
        <v>900</v>
      </c>
      <c r="G73" s="375" t="s">
        <v>901</v>
      </c>
      <c r="H73" s="375" t="s">
        <v>862</v>
      </c>
      <c r="I73" s="375" t="s">
        <v>755</v>
      </c>
      <c r="J73" s="375">
        <v>275726.81771999999</v>
      </c>
      <c r="K73" s="375">
        <v>42843.08423</v>
      </c>
      <c r="L73" s="375">
        <v>448320.40513999999</v>
      </c>
      <c r="M73" s="375">
        <v>2853875.5197600001</v>
      </c>
      <c r="N73" s="372">
        <v>0.89500000000000002</v>
      </c>
      <c r="O73" s="703">
        <v>15.539729494343568</v>
      </c>
      <c r="P73" s="375" t="s">
        <v>623</v>
      </c>
      <c r="Q73" s="375" t="s">
        <v>623</v>
      </c>
      <c r="R73" s="695">
        <v>20130916</v>
      </c>
      <c r="S73" s="375" t="s">
        <v>1266</v>
      </c>
      <c r="T73" s="696">
        <v>0.26400000000000001</v>
      </c>
      <c r="U73" s="375" t="s">
        <v>1267</v>
      </c>
      <c r="V73" s="722">
        <v>74.37</v>
      </c>
      <c r="W73" s="722">
        <v>1.77</v>
      </c>
      <c r="X73" s="722">
        <v>17.77</v>
      </c>
      <c r="Y73" s="722">
        <v>12.72</v>
      </c>
      <c r="Z73" s="382">
        <v>2.722325275636317E-2</v>
      </c>
      <c r="AA73" s="372">
        <v>4088.2714648000001</v>
      </c>
      <c r="AB73" s="372">
        <v>1484.2484193</v>
      </c>
      <c r="AC73" s="372">
        <v>2003.3608222</v>
      </c>
      <c r="AD73" s="372">
        <v>2757.2681772000001</v>
      </c>
      <c r="AE73" s="372">
        <v>2850</v>
      </c>
      <c r="AF73" s="372">
        <v>2960</v>
      </c>
      <c r="AG73" s="372">
        <v>3070</v>
      </c>
      <c r="AH73" s="372">
        <v>0</v>
      </c>
    </row>
    <row r="74" spans="1:34">
      <c r="A74" s="372" t="s">
        <v>1268</v>
      </c>
      <c r="B74" s="373" t="s">
        <v>1269</v>
      </c>
      <c r="C74" s="372" t="s">
        <v>1270</v>
      </c>
      <c r="D74" s="374">
        <v>1101110011679</v>
      </c>
      <c r="E74" s="372" t="s">
        <v>1271</v>
      </c>
      <c r="F74" s="375" t="s">
        <v>1272</v>
      </c>
      <c r="G74" s="375" t="s">
        <v>1273</v>
      </c>
      <c r="H74" s="375" t="s">
        <v>1274</v>
      </c>
      <c r="I74" s="375" t="s">
        <v>755</v>
      </c>
      <c r="J74" s="375">
        <v>1887369.25544</v>
      </c>
      <c r="K74" s="375">
        <v>521036.81161999999</v>
      </c>
      <c r="L74" s="375">
        <v>379041.85120999999</v>
      </c>
      <c r="M74" s="375">
        <v>11238866.11438</v>
      </c>
      <c r="N74" s="372">
        <v>1.125</v>
      </c>
      <c r="O74" s="703">
        <v>2247.6589595038131</v>
      </c>
      <c r="P74" s="375" t="s">
        <v>623</v>
      </c>
      <c r="Q74" s="375" t="s">
        <v>623</v>
      </c>
      <c r="R74" s="695">
        <v>19750930</v>
      </c>
      <c r="S74" s="375" t="s">
        <v>1275</v>
      </c>
      <c r="T74" s="696">
        <v>0.26400000000000001</v>
      </c>
      <c r="U74" s="375" t="s">
        <v>1276</v>
      </c>
      <c r="V74" s="722">
        <v>0</v>
      </c>
      <c r="W74" s="722">
        <v>0.51</v>
      </c>
      <c r="X74" s="722">
        <v>0.28999999999999998</v>
      </c>
      <c r="Y74" s="722">
        <v>17.75</v>
      </c>
      <c r="Z74" s="382">
        <v>8.9060263603161882E-2</v>
      </c>
      <c r="AA74" s="372">
        <v>24735.068113400001</v>
      </c>
      <c r="AB74" s="372">
        <v>29767.160473</v>
      </c>
      <c r="AC74" s="372">
        <v>21760.129473600002</v>
      </c>
      <c r="AD74" s="372">
        <v>18873.692554400001</v>
      </c>
      <c r="AE74" s="372">
        <v>23010.5</v>
      </c>
      <c r="AF74" s="372">
        <v>24061.85</v>
      </c>
      <c r="AG74" s="372">
        <v>26550</v>
      </c>
      <c r="AH74" s="372">
        <v>0</v>
      </c>
    </row>
    <row r="75" spans="1:34">
      <c r="A75" s="372" t="s">
        <v>1277</v>
      </c>
      <c r="B75" s="373" t="s">
        <v>1278</v>
      </c>
      <c r="C75" s="372" t="s">
        <v>15976</v>
      </c>
      <c r="D75" s="374">
        <v>1101110240509</v>
      </c>
      <c r="E75" s="372" t="s">
        <v>15977</v>
      </c>
      <c r="F75" s="375" t="s">
        <v>1089</v>
      </c>
      <c r="G75" s="375" t="s">
        <v>1090</v>
      </c>
      <c r="H75" s="375" t="s">
        <v>823</v>
      </c>
      <c r="I75" s="375" t="s">
        <v>755</v>
      </c>
      <c r="J75" s="375">
        <v>10624917.993589999</v>
      </c>
      <c r="K75" s="375">
        <v>993128.86618999997</v>
      </c>
      <c r="L75" s="375">
        <v>932633.37398000003</v>
      </c>
      <c r="M75" s="375">
        <v>3298338.2959699999</v>
      </c>
      <c r="N75" s="372">
        <v>0.81200000000000006</v>
      </c>
      <c r="O75" s="703">
        <v>2.748923228849196</v>
      </c>
      <c r="P75" s="375" t="s">
        <v>623</v>
      </c>
      <c r="Q75" s="375" t="s">
        <v>623</v>
      </c>
      <c r="R75" s="695">
        <v>19961224</v>
      </c>
      <c r="S75" s="375" t="s">
        <v>1279</v>
      </c>
      <c r="T75" s="696">
        <v>0.26400000000000001</v>
      </c>
      <c r="U75" s="375" t="s">
        <v>1280</v>
      </c>
      <c r="V75" s="722">
        <v>5.2</v>
      </c>
      <c r="W75" s="722">
        <v>1.64</v>
      </c>
      <c r="X75" s="722">
        <v>0.53</v>
      </c>
      <c r="Y75" s="722">
        <v>7.54</v>
      </c>
      <c r="Z75" s="382">
        <v>2.0166564542277277E-2</v>
      </c>
      <c r="AA75" s="372">
        <v>67491.741451199996</v>
      </c>
      <c r="AB75" s="372">
        <v>74866.961211700007</v>
      </c>
      <c r="AC75" s="372">
        <v>100543.44625179999</v>
      </c>
      <c r="AD75" s="372">
        <v>106249.1799359</v>
      </c>
      <c r="AE75" s="372">
        <v>100909.83</v>
      </c>
      <c r="AF75" s="372">
        <v>107319.06</v>
      </c>
      <c r="AG75" s="372">
        <v>115082.67</v>
      </c>
      <c r="AH75" s="372">
        <v>139950</v>
      </c>
    </row>
    <row r="76" spans="1:34">
      <c r="A76" s="372" t="s">
        <v>1281</v>
      </c>
      <c r="B76" s="373" t="s">
        <v>1282</v>
      </c>
      <c r="C76" s="372" t="s">
        <v>1283</v>
      </c>
      <c r="D76" s="374">
        <v>1101110192180</v>
      </c>
      <c r="E76" s="372" t="s">
        <v>1284</v>
      </c>
      <c r="F76" s="375" t="s">
        <v>1285</v>
      </c>
      <c r="G76" s="375" t="s">
        <v>1285</v>
      </c>
      <c r="H76" s="375" t="s">
        <v>754</v>
      </c>
      <c r="I76" s="375" t="s">
        <v>755</v>
      </c>
      <c r="J76" s="375">
        <v>20605290.042369999</v>
      </c>
      <c r="K76" s="375">
        <v>830824.12283000001</v>
      </c>
      <c r="L76" s="375">
        <v>639251.91495000001</v>
      </c>
      <c r="M76" s="375">
        <v>4714574.5360599998</v>
      </c>
      <c r="N76" s="372">
        <v>1.123</v>
      </c>
      <c r="O76" s="703">
        <v>52.533024173450308</v>
      </c>
      <c r="P76" s="375" t="s">
        <v>623</v>
      </c>
      <c r="Q76" s="375" t="s">
        <v>623</v>
      </c>
      <c r="R76" s="695">
        <v>20080724</v>
      </c>
      <c r="S76" s="375" t="s">
        <v>1286</v>
      </c>
      <c r="T76" s="696">
        <v>0.26400000000000001</v>
      </c>
      <c r="U76" s="375" t="s">
        <v>1287</v>
      </c>
      <c r="V76" s="722">
        <v>3.75</v>
      </c>
      <c r="W76" s="722">
        <v>1.2</v>
      </c>
      <c r="X76" s="722">
        <v>0.28000000000000003</v>
      </c>
      <c r="Y76" s="722">
        <v>10.029999999999999</v>
      </c>
      <c r="Z76" s="382">
        <v>3.5662130154597405E-2</v>
      </c>
      <c r="AA76" s="372">
        <v>95417.895405500007</v>
      </c>
      <c r="AB76" s="372">
        <v>149456.0921905</v>
      </c>
      <c r="AC76" s="372">
        <v>195894.09483379999</v>
      </c>
      <c r="AD76" s="372">
        <v>206052.90042369999</v>
      </c>
      <c r="AE76" s="372">
        <v>214729.16</v>
      </c>
      <c r="AF76" s="372">
        <v>226343.58</v>
      </c>
      <c r="AG76" s="372">
        <v>237056.09</v>
      </c>
      <c r="AH76" s="372">
        <v>0</v>
      </c>
    </row>
    <row r="77" spans="1:34">
      <c r="A77" s="372" t="s">
        <v>1288</v>
      </c>
      <c r="B77" s="373" t="s">
        <v>1289</v>
      </c>
      <c r="C77" s="372" t="s">
        <v>1290</v>
      </c>
      <c r="D77" s="374">
        <v>1101115402237</v>
      </c>
      <c r="E77" s="372" t="s">
        <v>1291</v>
      </c>
      <c r="F77" s="375" t="s">
        <v>1292</v>
      </c>
      <c r="G77" s="375" t="s">
        <v>1293</v>
      </c>
      <c r="H77" s="375" t="s">
        <v>1050</v>
      </c>
      <c r="I77" s="375" t="s">
        <v>755</v>
      </c>
      <c r="J77" s="375">
        <v>9758906.7689999994</v>
      </c>
      <c r="K77" s="375">
        <v>1389900.0190000001</v>
      </c>
      <c r="L77" s="375">
        <v>1257260.0889999999</v>
      </c>
      <c r="M77" s="375">
        <v>5954812.5520000001</v>
      </c>
      <c r="N77" s="372">
        <v>1.147</v>
      </c>
      <c r="O77" s="703">
        <v>27.156861113331978</v>
      </c>
      <c r="P77" s="375" t="s">
        <v>623</v>
      </c>
      <c r="Q77" s="375" t="s">
        <v>623</v>
      </c>
      <c r="R77" s="695">
        <v>20161118</v>
      </c>
      <c r="S77" s="375" t="s">
        <v>1294</v>
      </c>
      <c r="T77" s="696">
        <v>0.26400000000000001</v>
      </c>
      <c r="U77" s="375" t="s">
        <v>1295</v>
      </c>
      <c r="V77" s="722">
        <v>3.1</v>
      </c>
      <c r="W77" s="722">
        <v>0.85</v>
      </c>
      <c r="X77" s="722">
        <v>0.52</v>
      </c>
      <c r="Y77" s="722">
        <v>5.48</v>
      </c>
      <c r="Z77" s="382">
        <v>2.0138981319036464E-2</v>
      </c>
      <c r="AA77" s="372">
        <v>42820.57647</v>
      </c>
      <c r="AB77" s="372">
        <v>58161.999689999997</v>
      </c>
      <c r="AC77" s="372">
        <v>86219.118719999999</v>
      </c>
      <c r="AD77" s="372">
        <v>97589.067689999996</v>
      </c>
      <c r="AE77" s="372">
        <v>98116.64</v>
      </c>
      <c r="AF77" s="372">
        <v>100579.09</v>
      </c>
      <c r="AG77" s="372">
        <v>105691.13</v>
      </c>
      <c r="AH77" s="372">
        <v>0</v>
      </c>
    </row>
    <row r="78" spans="1:34">
      <c r="A78" s="372" t="s">
        <v>1296</v>
      </c>
      <c r="B78" s="373" t="s">
        <v>1297</v>
      </c>
      <c r="C78" s="372" t="s">
        <v>1298</v>
      </c>
      <c r="D78" s="374">
        <v>1101115798272</v>
      </c>
      <c r="E78" s="372" t="s">
        <v>1299</v>
      </c>
      <c r="F78" s="375" t="s">
        <v>1300</v>
      </c>
      <c r="G78" s="375" t="s">
        <v>1300</v>
      </c>
      <c r="H78" s="375" t="s">
        <v>1050</v>
      </c>
      <c r="I78" s="375" t="s">
        <v>755</v>
      </c>
      <c r="J78" s="375">
        <v>0</v>
      </c>
      <c r="K78" s="375">
        <v>0</v>
      </c>
      <c r="L78" s="375">
        <v>0</v>
      </c>
      <c r="M78" s="375">
        <v>438808.09338999999</v>
      </c>
      <c r="N78" s="372" t="s">
        <v>1033</v>
      </c>
      <c r="O78" s="703">
        <v>0.11144079340968634</v>
      </c>
      <c r="P78" s="375" t="s">
        <v>623</v>
      </c>
      <c r="Q78" s="375" t="s">
        <v>623</v>
      </c>
      <c r="R78" s="695">
        <v>20231005</v>
      </c>
      <c r="S78" s="375" t="s">
        <v>1301</v>
      </c>
      <c r="T78" s="696" t="s">
        <v>772</v>
      </c>
      <c r="U78" s="375" t="s">
        <v>1302</v>
      </c>
      <c r="V78" s="722">
        <v>0</v>
      </c>
      <c r="W78" s="722">
        <v>17.149999999999999</v>
      </c>
      <c r="X78" s="722">
        <v>0</v>
      </c>
      <c r="Y78" s="722">
        <v>0</v>
      </c>
      <c r="Z78" s="382">
        <v>0.69809545865331457</v>
      </c>
      <c r="AA78" s="372">
        <v>201.64008240000001</v>
      </c>
      <c r="AB78" s="372">
        <v>369.8022315</v>
      </c>
      <c r="AC78" s="372">
        <v>449.536744</v>
      </c>
      <c r="AD78" s="372">
        <v>530.38372289999995</v>
      </c>
      <c r="AE78" s="372">
        <v>1250</v>
      </c>
      <c r="AF78" s="372">
        <v>2580</v>
      </c>
      <c r="AG78" s="372">
        <v>4410</v>
      </c>
      <c r="AH78" s="372">
        <v>7660</v>
      </c>
    </row>
    <row r="79" spans="1:34">
      <c r="A79" s="372" t="s">
        <v>1303</v>
      </c>
      <c r="B79" s="373" t="s">
        <v>1304</v>
      </c>
      <c r="C79" s="372" t="s">
        <v>1305</v>
      </c>
      <c r="D79" s="374">
        <v>1201110001743</v>
      </c>
      <c r="E79" s="372" t="s">
        <v>1306</v>
      </c>
      <c r="F79" s="375" t="s">
        <v>816</v>
      </c>
      <c r="G79" s="375" t="s">
        <v>816</v>
      </c>
      <c r="H79" s="375" t="s">
        <v>817</v>
      </c>
      <c r="I79" s="375" t="s">
        <v>755</v>
      </c>
      <c r="J79" s="375">
        <v>25914760.456160001</v>
      </c>
      <c r="K79" s="375">
        <v>798325.06807000004</v>
      </c>
      <c r="L79" s="375">
        <v>532075.67579000001</v>
      </c>
      <c r="M79" s="375">
        <v>19496000.328019999</v>
      </c>
      <c r="N79" s="372">
        <v>1.157</v>
      </c>
      <c r="O79" s="703">
        <v>245.58967145995919</v>
      </c>
      <c r="P79" s="375" t="s">
        <v>623</v>
      </c>
      <c r="Q79" s="375" t="s">
        <v>623</v>
      </c>
      <c r="R79" s="695">
        <v>19870523</v>
      </c>
      <c r="S79" s="375" t="s">
        <v>1307</v>
      </c>
      <c r="T79" s="696">
        <v>0.26400000000000001</v>
      </c>
      <c r="U79" s="375" t="s">
        <v>1308</v>
      </c>
      <c r="V79" s="722">
        <v>5.42</v>
      </c>
      <c r="W79" s="722">
        <v>0.25</v>
      </c>
      <c r="X79" s="722">
        <v>0.19</v>
      </c>
      <c r="Y79" s="722">
        <v>10.56</v>
      </c>
      <c r="Z79" s="382">
        <v>1.0447396666186659E-3</v>
      </c>
      <c r="AA79" s="372">
        <v>180233.9834963</v>
      </c>
      <c r="AB79" s="372">
        <v>228499.20977849999</v>
      </c>
      <c r="AC79" s="372">
        <v>273406.01237800001</v>
      </c>
      <c r="AD79" s="372">
        <v>259147.60456159999</v>
      </c>
      <c r="AE79" s="372">
        <v>248697</v>
      </c>
      <c r="AF79" s="372">
        <v>256047.94</v>
      </c>
      <c r="AG79" s="372">
        <v>260232.27</v>
      </c>
      <c r="AH79" s="372">
        <v>278950</v>
      </c>
    </row>
    <row r="80" spans="1:34">
      <c r="A80" s="372" t="s">
        <v>1309</v>
      </c>
      <c r="B80" s="373" t="s">
        <v>1310</v>
      </c>
      <c r="C80" s="372" t="s">
        <v>1311</v>
      </c>
      <c r="D80" s="374">
        <v>1801110003101</v>
      </c>
      <c r="E80" s="372" t="s">
        <v>1312</v>
      </c>
      <c r="F80" s="375" t="s">
        <v>1313</v>
      </c>
      <c r="G80" s="375" t="s">
        <v>1313</v>
      </c>
      <c r="H80" s="375" t="s">
        <v>832</v>
      </c>
      <c r="I80" s="375" t="s">
        <v>755</v>
      </c>
      <c r="J80" s="375">
        <v>152030.95204</v>
      </c>
      <c r="K80" s="375">
        <v>-14608.343489999999</v>
      </c>
      <c r="L80" s="375">
        <v>-74025.974629999997</v>
      </c>
      <c r="M80" s="375">
        <v>246535.27535000001</v>
      </c>
      <c r="N80" s="372">
        <v>1.38</v>
      </c>
      <c r="O80" s="703">
        <v>6.2025671999903293</v>
      </c>
      <c r="P80" s="375" t="s">
        <v>623</v>
      </c>
      <c r="Q80" s="375" t="s">
        <v>623</v>
      </c>
      <c r="R80" s="695">
        <v>19761217</v>
      </c>
      <c r="S80" s="375" t="s">
        <v>1314</v>
      </c>
      <c r="T80" s="696" t="s">
        <v>772</v>
      </c>
      <c r="U80" s="375" t="s">
        <v>1315</v>
      </c>
      <c r="V80" s="722" t="s">
        <v>774</v>
      </c>
      <c r="W80" s="722">
        <v>32.39</v>
      </c>
      <c r="X80" s="722">
        <v>41.7</v>
      </c>
      <c r="Y80" s="722" t="s">
        <v>774</v>
      </c>
      <c r="Z80" s="382" t="s">
        <v>934</v>
      </c>
      <c r="AA80" s="372">
        <v>1761.6981109000001</v>
      </c>
      <c r="AB80" s="372">
        <v>2175.8303194</v>
      </c>
      <c r="AC80" s="372">
        <v>2028.3631307000001</v>
      </c>
      <c r="AD80" s="372">
        <v>1520.3095204000001</v>
      </c>
      <c r="AE80" s="372">
        <v>0</v>
      </c>
      <c r="AF80" s="372">
        <v>0</v>
      </c>
      <c r="AG80" s="372">
        <v>0</v>
      </c>
      <c r="AH80" s="372">
        <v>0</v>
      </c>
    </row>
    <row r="81" spans="1:34">
      <c r="A81" s="372" t="s">
        <v>1316</v>
      </c>
      <c r="B81" s="373" t="s">
        <v>1317</v>
      </c>
      <c r="C81" s="372" t="s">
        <v>1318</v>
      </c>
      <c r="D81" s="374">
        <v>1101111296676</v>
      </c>
      <c r="E81" s="372" t="s">
        <v>1319</v>
      </c>
      <c r="F81" s="372" t="s">
        <v>997</v>
      </c>
      <c r="G81" s="375" t="s">
        <v>997</v>
      </c>
      <c r="H81" s="375" t="s">
        <v>998</v>
      </c>
      <c r="I81" s="375" t="s">
        <v>755</v>
      </c>
      <c r="J81" s="375">
        <v>14372626</v>
      </c>
      <c r="K81" s="375">
        <v>998031</v>
      </c>
      <c r="L81" s="375">
        <v>770947</v>
      </c>
      <c r="M81" s="375">
        <v>8756785</v>
      </c>
      <c r="N81" s="372">
        <v>0.6</v>
      </c>
      <c r="O81" s="703">
        <v>174.21937396055972</v>
      </c>
      <c r="P81" s="375" t="s">
        <v>623</v>
      </c>
      <c r="Q81" s="375" t="s">
        <v>623</v>
      </c>
      <c r="R81" s="695">
        <v>20000919</v>
      </c>
      <c r="S81" s="375" t="s">
        <v>1320</v>
      </c>
      <c r="T81" s="696">
        <v>0.26400000000000001</v>
      </c>
      <c r="U81" s="375" t="s">
        <v>1321</v>
      </c>
      <c r="V81" s="722">
        <v>3.21</v>
      </c>
      <c r="W81" s="722">
        <v>0.52</v>
      </c>
      <c r="X81" s="722">
        <v>0.31</v>
      </c>
      <c r="Y81" s="722">
        <v>7.17</v>
      </c>
      <c r="Z81" s="382">
        <v>1.405804446333847E-2</v>
      </c>
      <c r="AA81" s="372">
        <v>134176.26999999999</v>
      </c>
      <c r="AB81" s="372">
        <v>138511.35</v>
      </c>
      <c r="AC81" s="372">
        <v>139059.9</v>
      </c>
      <c r="AD81" s="372">
        <v>143726.26</v>
      </c>
      <c r="AE81" s="372">
        <v>146061</v>
      </c>
      <c r="AF81" s="372">
        <v>149028</v>
      </c>
      <c r="AG81" s="372">
        <v>151980.32999999999</v>
      </c>
      <c r="AH81" s="372">
        <v>0</v>
      </c>
    </row>
    <row r="82" spans="1:34">
      <c r="A82" s="372" t="s">
        <v>1322</v>
      </c>
      <c r="B82" s="373" t="s">
        <v>1323</v>
      </c>
      <c r="C82" s="372" t="s">
        <v>1324</v>
      </c>
      <c r="D82" s="374">
        <v>1101113748253</v>
      </c>
      <c r="E82" s="372" t="s">
        <v>1325</v>
      </c>
      <c r="F82" s="375" t="s">
        <v>1326</v>
      </c>
      <c r="G82" s="375" t="s">
        <v>1326</v>
      </c>
      <c r="H82" s="375" t="s">
        <v>1327</v>
      </c>
      <c r="I82" s="375" t="s">
        <v>755</v>
      </c>
      <c r="J82" s="375">
        <v>29023472.909000002</v>
      </c>
      <c r="K82" s="375">
        <v>1291582.4129999999</v>
      </c>
      <c r="L82" s="375">
        <v>732033.86499999999</v>
      </c>
      <c r="M82" s="375">
        <v>11779942.25</v>
      </c>
      <c r="N82" s="372">
        <v>0.56499999999999995</v>
      </c>
      <c r="O82" s="703">
        <v>225.90648614714405</v>
      </c>
      <c r="P82" s="375" t="s">
        <v>623</v>
      </c>
      <c r="Q82" s="375" t="s">
        <v>623</v>
      </c>
      <c r="R82" s="695">
        <v>20070928</v>
      </c>
      <c r="S82" s="375" t="s">
        <v>1328</v>
      </c>
      <c r="T82" s="696">
        <v>0.26400000000000001</v>
      </c>
      <c r="U82" s="375" t="s">
        <v>1329</v>
      </c>
      <c r="V82" s="722">
        <v>6.59</v>
      </c>
      <c r="W82" s="722">
        <v>0.73</v>
      </c>
      <c r="X82" s="722">
        <v>0.18</v>
      </c>
      <c r="Y82" s="722">
        <v>13.75</v>
      </c>
      <c r="Z82" s="382">
        <v>3.1335379489636717E-2</v>
      </c>
      <c r="AA82" s="372">
        <v>242457.25654</v>
      </c>
      <c r="AB82" s="372">
        <v>262892.27766999998</v>
      </c>
      <c r="AC82" s="372">
        <v>300795.13121000002</v>
      </c>
      <c r="AD82" s="372">
        <v>290234.72908999998</v>
      </c>
      <c r="AE82" s="372">
        <v>300062.33</v>
      </c>
      <c r="AF82" s="372">
        <v>312488</v>
      </c>
      <c r="AG82" s="372">
        <v>328359.09000000003</v>
      </c>
      <c r="AH82" s="372">
        <v>0</v>
      </c>
    </row>
    <row r="83" spans="1:34">
      <c r="A83" s="372" t="s">
        <v>1330</v>
      </c>
      <c r="B83" s="373" t="s">
        <v>1331</v>
      </c>
      <c r="C83" s="372" t="s">
        <v>1332</v>
      </c>
      <c r="D83" s="374">
        <v>1101112112764</v>
      </c>
      <c r="E83" s="372" t="s">
        <v>1333</v>
      </c>
      <c r="F83" s="375" t="s">
        <v>1334</v>
      </c>
      <c r="G83" s="375" t="s">
        <v>1334</v>
      </c>
      <c r="H83" s="375" t="s">
        <v>868</v>
      </c>
      <c r="I83" s="375" t="s">
        <v>869</v>
      </c>
      <c r="J83" s="375">
        <v>388794.33549000003</v>
      </c>
      <c r="K83" s="375">
        <v>36070.715960000001</v>
      </c>
      <c r="L83" s="375">
        <v>26208.8701</v>
      </c>
      <c r="M83" s="375">
        <v>376665.73560000001</v>
      </c>
      <c r="N83" s="372">
        <v>1.0549999999999999</v>
      </c>
      <c r="O83" s="703">
        <v>4.0832967256315928</v>
      </c>
      <c r="P83" s="375" t="s">
        <v>623</v>
      </c>
      <c r="Q83" s="372" t="s">
        <v>623</v>
      </c>
      <c r="R83" s="695">
        <v>20060203</v>
      </c>
      <c r="S83" s="375" t="s">
        <v>1335</v>
      </c>
      <c r="T83" s="696">
        <v>0.23100000000000001</v>
      </c>
      <c r="U83" s="375" t="s">
        <v>1336</v>
      </c>
      <c r="V83" s="722">
        <v>0</v>
      </c>
      <c r="W83" s="722">
        <v>9.2899999999999991</v>
      </c>
      <c r="X83" s="722">
        <v>0</v>
      </c>
      <c r="Y83" s="722">
        <v>0</v>
      </c>
      <c r="Z83" s="382" t="s">
        <v>934</v>
      </c>
      <c r="AA83" s="372">
        <v>2335.6847770999998</v>
      </c>
      <c r="AB83" s="372">
        <v>3987.3820928999999</v>
      </c>
      <c r="AC83" s="372">
        <v>3860.3961258999998</v>
      </c>
      <c r="AD83" s="372">
        <v>3887.9433549</v>
      </c>
      <c r="AE83" s="372">
        <v>0</v>
      </c>
      <c r="AF83" s="372">
        <v>0</v>
      </c>
      <c r="AG83" s="372">
        <v>0</v>
      </c>
      <c r="AH83" s="372">
        <v>0</v>
      </c>
    </row>
    <row r="84" spans="1:34">
      <c r="A84" s="372" t="s">
        <v>1337</v>
      </c>
      <c r="B84" s="373" t="s">
        <v>1338</v>
      </c>
      <c r="C84" s="372" t="s">
        <v>1339</v>
      </c>
      <c r="D84" s="374">
        <v>1101111387748</v>
      </c>
      <c r="E84" s="372" t="s">
        <v>1340</v>
      </c>
      <c r="F84" s="375" t="s">
        <v>1013</v>
      </c>
      <c r="G84" s="375" t="s">
        <v>1225</v>
      </c>
      <c r="H84" s="375" t="s">
        <v>823</v>
      </c>
      <c r="I84" s="375" t="s">
        <v>755</v>
      </c>
      <c r="J84" s="375">
        <v>1779832.9777599999</v>
      </c>
      <c r="K84" s="375">
        <v>137283.5128</v>
      </c>
      <c r="L84" s="375">
        <v>206228.07217</v>
      </c>
      <c r="M84" s="375">
        <v>3253028.54055</v>
      </c>
      <c r="N84" s="372">
        <v>1.054</v>
      </c>
      <c r="O84" s="703">
        <v>17.980234914728211</v>
      </c>
      <c r="P84" s="375" t="s">
        <v>623</v>
      </c>
      <c r="Q84" s="375" t="s">
        <v>623</v>
      </c>
      <c r="R84" s="695">
        <v>20000707</v>
      </c>
      <c r="S84" s="375" t="s">
        <v>1341</v>
      </c>
      <c r="T84" s="696">
        <v>0.23100000000000001</v>
      </c>
      <c r="U84" s="375" t="s">
        <v>1342</v>
      </c>
      <c r="V84" s="722">
        <v>21.2</v>
      </c>
      <c r="W84" s="722">
        <v>1.37</v>
      </c>
      <c r="X84" s="722">
        <v>2.97</v>
      </c>
      <c r="Y84" s="722">
        <v>24.89</v>
      </c>
      <c r="Z84" s="382">
        <v>6.2054449047986626E-2</v>
      </c>
      <c r="AA84" s="372">
        <v>24161.8421189</v>
      </c>
      <c r="AB84" s="372">
        <v>23088.174088600001</v>
      </c>
      <c r="AC84" s="372">
        <v>25717.922817999999</v>
      </c>
      <c r="AD84" s="372">
        <v>17798.3297776</v>
      </c>
      <c r="AE84" s="372">
        <v>17259.86</v>
      </c>
      <c r="AF84" s="372">
        <v>20446.95</v>
      </c>
      <c r="AG84" s="372">
        <v>22644.69</v>
      </c>
      <c r="AH84" s="372">
        <v>0</v>
      </c>
    </row>
    <row r="85" spans="1:34">
      <c r="A85" s="372" t="s">
        <v>1343</v>
      </c>
      <c r="B85" s="373" t="s">
        <v>1344</v>
      </c>
      <c r="C85" s="372" t="s">
        <v>1345</v>
      </c>
      <c r="D85" s="374">
        <v>1601110242050</v>
      </c>
      <c r="E85" s="372" t="s">
        <v>1346</v>
      </c>
      <c r="F85" s="375" t="s">
        <v>1124</v>
      </c>
      <c r="G85" s="375" t="s">
        <v>1347</v>
      </c>
      <c r="H85" s="375" t="s">
        <v>1348</v>
      </c>
      <c r="I85" s="375" t="s">
        <v>869</v>
      </c>
      <c r="J85" s="375">
        <v>96522.928880000007</v>
      </c>
      <c r="K85" s="375">
        <v>-9736.8384800000003</v>
      </c>
      <c r="L85" s="375">
        <v>-3564.3749899999998</v>
      </c>
      <c r="M85" s="375">
        <v>147841.73433000001</v>
      </c>
      <c r="N85" s="372">
        <v>1.103</v>
      </c>
      <c r="O85" s="703">
        <v>0.89367093471771075</v>
      </c>
      <c r="P85" s="375" t="s">
        <v>623</v>
      </c>
      <c r="Q85" s="375" t="s">
        <v>623</v>
      </c>
      <c r="R85" s="695">
        <v>20141212</v>
      </c>
      <c r="S85" s="375" t="s">
        <v>1349</v>
      </c>
      <c r="T85" s="696" t="s">
        <v>772</v>
      </c>
      <c r="U85" s="375" t="s">
        <v>1350</v>
      </c>
      <c r="V85" s="722" t="s">
        <v>774</v>
      </c>
      <c r="W85" s="722">
        <v>34.94</v>
      </c>
      <c r="X85" s="722">
        <v>53.62</v>
      </c>
      <c r="Y85" s="722" t="s">
        <v>774</v>
      </c>
      <c r="Z85" s="382">
        <v>0.48254788965960338</v>
      </c>
      <c r="AA85" s="372">
        <v>424.25842460000001</v>
      </c>
      <c r="AB85" s="372">
        <v>387.45944020000002</v>
      </c>
      <c r="AC85" s="372">
        <v>288.06344489999998</v>
      </c>
      <c r="AD85" s="372">
        <v>965.22928879999995</v>
      </c>
      <c r="AE85" s="372">
        <v>584.75</v>
      </c>
      <c r="AF85" s="372">
        <v>1228.5</v>
      </c>
      <c r="AG85" s="372">
        <v>4663</v>
      </c>
      <c r="AH85" s="372">
        <v>0</v>
      </c>
    </row>
    <row r="86" spans="1:34">
      <c r="A86" s="372" t="s">
        <v>1351</v>
      </c>
      <c r="B86" s="373" t="s">
        <v>1352</v>
      </c>
      <c r="C86" s="372" t="s">
        <v>1353</v>
      </c>
      <c r="D86" s="374">
        <v>1348110197550</v>
      </c>
      <c r="E86" s="372" t="s">
        <v>1354</v>
      </c>
      <c r="F86" s="375" t="s">
        <v>1334</v>
      </c>
      <c r="G86" s="375" t="s">
        <v>1334</v>
      </c>
      <c r="H86" s="375" t="s">
        <v>788</v>
      </c>
      <c r="I86" s="375" t="s">
        <v>755</v>
      </c>
      <c r="J86" s="375">
        <v>1490887.4637200001</v>
      </c>
      <c r="K86" s="375">
        <v>220691.06503</v>
      </c>
      <c r="L86" s="375">
        <v>193966.77364999999</v>
      </c>
      <c r="M86" s="375">
        <v>1100210.6441500001</v>
      </c>
      <c r="N86" s="372">
        <v>0.75800000000000001</v>
      </c>
      <c r="O86" s="703">
        <v>14.262662353825323</v>
      </c>
      <c r="P86" s="375" t="s">
        <v>623</v>
      </c>
      <c r="Q86" s="375" t="s">
        <v>623</v>
      </c>
      <c r="R86" s="695">
        <v>20100730</v>
      </c>
      <c r="S86" s="375" t="s">
        <v>1355</v>
      </c>
      <c r="T86" s="696">
        <v>0.23100000000000001</v>
      </c>
      <c r="U86" s="375" t="s">
        <v>1356</v>
      </c>
      <c r="V86" s="722">
        <v>15.6</v>
      </c>
      <c r="W86" s="722">
        <v>4.45</v>
      </c>
      <c r="X86" s="722">
        <v>2.97</v>
      </c>
      <c r="Y86" s="722">
        <v>30.28</v>
      </c>
      <c r="Z86" s="382">
        <v>5.8983277743714257E-2</v>
      </c>
      <c r="AA86" s="372">
        <v>10758.5360501</v>
      </c>
      <c r="AB86" s="372">
        <v>12031.856528099999</v>
      </c>
      <c r="AC86" s="372">
        <v>13315.4660012</v>
      </c>
      <c r="AD86" s="372">
        <v>14908.874637200001</v>
      </c>
      <c r="AE86" s="372">
        <v>16303.96</v>
      </c>
      <c r="AF86" s="372">
        <v>17699.740000000002</v>
      </c>
      <c r="AG86" s="372">
        <v>18750</v>
      </c>
      <c r="AH86" s="372">
        <v>0</v>
      </c>
    </row>
    <row r="87" spans="1:34">
      <c r="A87" s="372" t="s">
        <v>1357</v>
      </c>
      <c r="B87" s="373" t="s">
        <v>1358</v>
      </c>
      <c r="C87" s="372" t="s">
        <v>1359</v>
      </c>
      <c r="D87" s="374">
        <v>1101110626501</v>
      </c>
      <c r="E87" s="372" t="s">
        <v>1360</v>
      </c>
      <c r="F87" s="375" t="s">
        <v>1361</v>
      </c>
      <c r="G87" s="375" t="s">
        <v>1361</v>
      </c>
      <c r="H87" s="375" t="s">
        <v>823</v>
      </c>
      <c r="I87" s="375" t="s">
        <v>755</v>
      </c>
      <c r="J87" s="375">
        <v>3966519.7219199999</v>
      </c>
      <c r="K87" s="375">
        <v>731255.07805000001</v>
      </c>
      <c r="L87" s="375">
        <v>660563.06041000003</v>
      </c>
      <c r="M87" s="375">
        <v>2637754.7844600002</v>
      </c>
      <c r="N87" s="372">
        <v>0.78900000000000003</v>
      </c>
      <c r="O87" s="703">
        <v>33.38465594018821</v>
      </c>
      <c r="P87" s="375" t="s">
        <v>623</v>
      </c>
      <c r="Q87" s="375" t="s">
        <v>623</v>
      </c>
      <c r="R87" s="695">
        <v>19960826</v>
      </c>
      <c r="S87" s="375" t="s">
        <v>1362</v>
      </c>
      <c r="T87" s="696">
        <v>0.26400000000000001</v>
      </c>
      <c r="U87" s="375" t="s">
        <v>1363</v>
      </c>
      <c r="V87" s="722">
        <v>3.83</v>
      </c>
      <c r="W87" s="722">
        <v>1.57</v>
      </c>
      <c r="X87" s="722">
        <v>1.06</v>
      </c>
      <c r="Y87" s="722">
        <v>8.9600000000000009</v>
      </c>
      <c r="Z87" s="382">
        <v>4.887773888015623E-2</v>
      </c>
      <c r="AA87" s="372">
        <v>32374.1147509</v>
      </c>
      <c r="AB87" s="372">
        <v>36642.595567800003</v>
      </c>
      <c r="AC87" s="372">
        <v>38561.328950800002</v>
      </c>
      <c r="AD87" s="372">
        <v>39665.197219200003</v>
      </c>
      <c r="AE87" s="372">
        <v>42194.33</v>
      </c>
      <c r="AF87" s="372">
        <v>45158.67</v>
      </c>
      <c r="AG87" s="372">
        <v>48007.5</v>
      </c>
      <c r="AH87" s="372">
        <v>0</v>
      </c>
    </row>
    <row r="88" spans="1:34">
      <c r="A88" s="372" t="s">
        <v>1364</v>
      </c>
      <c r="B88" s="373" t="s">
        <v>1365</v>
      </c>
      <c r="C88" s="372" t="s">
        <v>1366</v>
      </c>
      <c r="D88" s="374">
        <v>1201110018251</v>
      </c>
      <c r="E88" s="372" t="s">
        <v>1367</v>
      </c>
      <c r="F88" s="375" t="s">
        <v>1368</v>
      </c>
      <c r="G88" s="375" t="s">
        <v>1368</v>
      </c>
      <c r="H88" s="375" t="s">
        <v>832</v>
      </c>
      <c r="I88" s="375" t="s">
        <v>755</v>
      </c>
      <c r="J88" s="375">
        <v>629578.77307999996</v>
      </c>
      <c r="K88" s="375">
        <v>32324.547760000001</v>
      </c>
      <c r="L88" s="375">
        <v>28999.122350000001</v>
      </c>
      <c r="M88" s="375">
        <v>478782.33013999998</v>
      </c>
      <c r="N88" s="372">
        <v>1.0389999999999999</v>
      </c>
      <c r="O88" s="703">
        <v>1.1411318556219614</v>
      </c>
      <c r="P88" s="375" t="s">
        <v>623</v>
      </c>
      <c r="Q88" s="375" t="s">
        <v>623</v>
      </c>
      <c r="R88" s="695">
        <v>19870928</v>
      </c>
      <c r="S88" s="375" t="s">
        <v>1369</v>
      </c>
      <c r="T88" s="696">
        <v>0.23100000000000001</v>
      </c>
      <c r="U88" s="375" t="s">
        <v>1370</v>
      </c>
      <c r="V88" s="722">
        <v>0</v>
      </c>
      <c r="W88" s="722">
        <v>10</v>
      </c>
      <c r="X88" s="722">
        <v>0</v>
      </c>
      <c r="Y88" s="722">
        <v>0</v>
      </c>
      <c r="Z88" s="382" t="s">
        <v>934</v>
      </c>
      <c r="AA88" s="372">
        <v>2042.5271829000001</v>
      </c>
      <c r="AB88" s="372">
        <v>3058.9309499999999</v>
      </c>
      <c r="AC88" s="372">
        <v>4856.0524354999998</v>
      </c>
      <c r="AD88" s="372">
        <v>6295.7877307999997</v>
      </c>
      <c r="AE88" s="372">
        <v>0</v>
      </c>
      <c r="AF88" s="372">
        <v>0</v>
      </c>
      <c r="AG88" s="372">
        <v>0</v>
      </c>
      <c r="AH88" s="372">
        <v>0</v>
      </c>
    </row>
    <row r="89" spans="1:34">
      <c r="A89" s="372" t="s">
        <v>1371</v>
      </c>
      <c r="B89" s="373" t="s">
        <v>1372</v>
      </c>
      <c r="C89" s="372" t="s">
        <v>1373</v>
      </c>
      <c r="D89" s="374">
        <v>1101113045112</v>
      </c>
      <c r="E89" s="372" t="s">
        <v>1374</v>
      </c>
      <c r="F89" s="372" t="s">
        <v>900</v>
      </c>
      <c r="G89" s="375" t="s">
        <v>901</v>
      </c>
      <c r="H89" s="375" t="s">
        <v>862</v>
      </c>
      <c r="I89" s="375" t="s">
        <v>755</v>
      </c>
      <c r="J89" s="375">
        <v>25978494</v>
      </c>
      <c r="K89" s="375">
        <v>3721802</v>
      </c>
      <c r="L89" s="375">
        <v>3462407</v>
      </c>
      <c r="M89" s="375">
        <v>17625195</v>
      </c>
      <c r="N89" s="372">
        <v>0.91300000000000003</v>
      </c>
      <c r="O89" s="703">
        <v>276.78495845068414</v>
      </c>
      <c r="P89" s="375" t="s">
        <v>623</v>
      </c>
      <c r="Q89" s="375" t="s">
        <v>623</v>
      </c>
      <c r="R89" s="695">
        <v>20040805</v>
      </c>
      <c r="S89" s="375" t="s">
        <v>1375</v>
      </c>
      <c r="T89" s="696">
        <v>0.26400000000000001</v>
      </c>
      <c r="U89" s="372" t="s">
        <v>1376</v>
      </c>
      <c r="V89" s="722">
        <v>4.53</v>
      </c>
      <c r="W89" s="722">
        <v>0.28999999999999998</v>
      </c>
      <c r="X89" s="722">
        <v>0.15</v>
      </c>
      <c r="Y89" s="722">
        <v>2.98</v>
      </c>
      <c r="Z89" s="382">
        <v>1.1547168245002792E-2</v>
      </c>
      <c r="AA89" s="372">
        <v>154442.14000000001</v>
      </c>
      <c r="AB89" s="372">
        <v>201650.49</v>
      </c>
      <c r="AC89" s="372">
        <v>285825.13</v>
      </c>
      <c r="AD89" s="372">
        <v>259784.94</v>
      </c>
      <c r="AE89" s="372">
        <v>260706.8</v>
      </c>
      <c r="AF89" s="372">
        <v>265886.3</v>
      </c>
      <c r="AG89" s="372">
        <v>271993.5</v>
      </c>
      <c r="AH89" s="372">
        <v>0</v>
      </c>
    </row>
    <row r="90" spans="1:34">
      <c r="A90" s="372" t="s">
        <v>1377</v>
      </c>
      <c r="B90" s="373" t="s">
        <v>1378</v>
      </c>
      <c r="C90" s="372" t="s">
        <v>1379</v>
      </c>
      <c r="D90" s="374">
        <v>1101111935638</v>
      </c>
      <c r="E90" s="372" t="s">
        <v>1380</v>
      </c>
      <c r="F90" s="372" t="s">
        <v>1381</v>
      </c>
      <c r="G90" s="375" t="s">
        <v>1381</v>
      </c>
      <c r="H90" s="375" t="s">
        <v>823</v>
      </c>
      <c r="I90" s="375" t="s">
        <v>755</v>
      </c>
      <c r="J90" s="375">
        <v>3065015.1340000001</v>
      </c>
      <c r="K90" s="375">
        <v>181413.573</v>
      </c>
      <c r="L90" s="375">
        <v>181736.807</v>
      </c>
      <c r="M90" s="375">
        <v>1592312.483</v>
      </c>
      <c r="N90" s="372">
        <v>0.97199999999999998</v>
      </c>
      <c r="O90" s="703">
        <v>4.7035629811999939</v>
      </c>
      <c r="P90" s="375" t="s">
        <v>623</v>
      </c>
      <c r="Q90" s="375" t="s">
        <v>623</v>
      </c>
      <c r="R90" s="695">
        <v>20190328</v>
      </c>
      <c r="S90" s="375" t="s">
        <v>1382</v>
      </c>
      <c r="T90" s="696">
        <v>0.23100000000000001</v>
      </c>
      <c r="U90" s="375" t="s">
        <v>1383</v>
      </c>
      <c r="V90" s="722">
        <v>18.97</v>
      </c>
      <c r="W90" s="722">
        <v>3.67</v>
      </c>
      <c r="X90" s="722">
        <v>1.89</v>
      </c>
      <c r="Y90" s="722">
        <v>42.1</v>
      </c>
      <c r="Z90" s="382">
        <v>9.5792189661757288E-2</v>
      </c>
      <c r="AA90" s="372">
        <v>15625.925485100001</v>
      </c>
      <c r="AB90" s="372">
        <v>20703.821122699999</v>
      </c>
      <c r="AC90" s="372">
        <v>27545.080030000001</v>
      </c>
      <c r="AD90" s="372">
        <v>30650.15134</v>
      </c>
      <c r="AE90" s="372">
        <v>34365</v>
      </c>
      <c r="AF90" s="372">
        <v>38769.269999999997</v>
      </c>
      <c r="AG90" s="372">
        <v>44192.18</v>
      </c>
      <c r="AH90" s="372">
        <v>0</v>
      </c>
    </row>
    <row r="91" spans="1:34">
      <c r="A91" s="372" t="s">
        <v>1384</v>
      </c>
      <c r="B91" s="373" t="s">
        <v>1385</v>
      </c>
      <c r="C91" s="372" t="s">
        <v>1386</v>
      </c>
      <c r="D91" s="374">
        <v>1348110401886</v>
      </c>
      <c r="E91" s="372" t="s">
        <v>1387</v>
      </c>
      <c r="F91" s="375" t="s">
        <v>1195</v>
      </c>
      <c r="G91" s="375" t="s">
        <v>1196</v>
      </c>
      <c r="H91" s="375" t="s">
        <v>1388</v>
      </c>
      <c r="I91" s="375" t="s">
        <v>869</v>
      </c>
      <c r="J91" s="375">
        <v>179086.66083000001</v>
      </c>
      <c r="K91" s="375">
        <v>95206.074429999993</v>
      </c>
      <c r="L91" s="375">
        <v>104224.11063</v>
      </c>
      <c r="M91" s="375">
        <v>277080.28865</v>
      </c>
      <c r="N91" s="372">
        <v>1.2170000000000001</v>
      </c>
      <c r="O91" s="703">
        <v>6.8342898583477002E-2</v>
      </c>
      <c r="P91" s="375" t="s">
        <v>623</v>
      </c>
      <c r="Q91" s="375" t="s">
        <v>623</v>
      </c>
      <c r="R91" s="695">
        <v>20220715</v>
      </c>
      <c r="S91" s="375" t="s">
        <v>1389</v>
      </c>
      <c r="T91" s="696">
        <v>0.23100000000000001</v>
      </c>
      <c r="U91" s="375" t="s">
        <v>1390</v>
      </c>
      <c r="V91" s="722">
        <v>0</v>
      </c>
      <c r="W91" s="722">
        <v>12.93</v>
      </c>
      <c r="X91" s="722">
        <v>0</v>
      </c>
      <c r="Y91" s="722">
        <v>0</v>
      </c>
      <c r="Z91" s="382" t="s">
        <v>934</v>
      </c>
      <c r="AA91" s="372">
        <v>611.7437486</v>
      </c>
      <c r="AB91" s="372">
        <v>917.52311759999998</v>
      </c>
      <c r="AC91" s="372">
        <v>1593.3632282000001</v>
      </c>
      <c r="AD91" s="372">
        <v>1790.8666083000001</v>
      </c>
      <c r="AE91" s="372">
        <v>0</v>
      </c>
      <c r="AF91" s="372">
        <v>0</v>
      </c>
      <c r="AG91" s="372">
        <v>0</v>
      </c>
      <c r="AH91" s="372">
        <v>0</v>
      </c>
    </row>
    <row r="92" spans="1:34">
      <c r="A92" s="372" t="s">
        <v>1391</v>
      </c>
      <c r="B92" s="373" t="s">
        <v>1392</v>
      </c>
      <c r="C92" s="372" t="s">
        <v>1393</v>
      </c>
      <c r="D92" s="374">
        <v>1101110007909</v>
      </c>
      <c r="E92" s="372" t="s">
        <v>1394</v>
      </c>
      <c r="F92" s="375" t="s">
        <v>1395</v>
      </c>
      <c r="G92" s="375" t="s">
        <v>1396</v>
      </c>
      <c r="H92" s="375" t="s">
        <v>1397</v>
      </c>
      <c r="I92" s="375" t="s">
        <v>755</v>
      </c>
      <c r="J92" s="375">
        <v>29651357</v>
      </c>
      <c r="K92" s="375">
        <v>785430</v>
      </c>
      <c r="L92" s="375">
        <v>939545</v>
      </c>
      <c r="M92" s="375">
        <v>10455515</v>
      </c>
      <c r="N92" s="372">
        <v>1.018</v>
      </c>
      <c r="O92" s="703">
        <v>60.712791322390238</v>
      </c>
      <c r="P92" s="375" t="s">
        <v>623</v>
      </c>
      <c r="Q92" s="375" t="s">
        <v>623</v>
      </c>
      <c r="R92" s="695">
        <v>19841222</v>
      </c>
      <c r="S92" s="375" t="s">
        <v>1398</v>
      </c>
      <c r="T92" s="696">
        <v>0.26400000000000001</v>
      </c>
      <c r="U92" s="375" t="s">
        <v>1399</v>
      </c>
      <c r="V92" s="722">
        <v>6.38</v>
      </c>
      <c r="W92" s="722">
        <v>0.48</v>
      </c>
      <c r="X92" s="722">
        <v>0.13</v>
      </c>
      <c r="Y92" s="722">
        <v>7.32</v>
      </c>
      <c r="Z92" s="382">
        <v>5.5284932185550861E-3</v>
      </c>
      <c r="AA92" s="372">
        <v>169708.59</v>
      </c>
      <c r="AB92" s="372">
        <v>180655.34</v>
      </c>
      <c r="AC92" s="372">
        <v>212390.82</v>
      </c>
      <c r="AD92" s="372">
        <v>296513.57</v>
      </c>
      <c r="AE92" s="372">
        <v>328876.28000000003</v>
      </c>
      <c r="AF92" s="372">
        <v>307598.94</v>
      </c>
      <c r="AG92" s="372">
        <v>303125.24</v>
      </c>
      <c r="AH92" s="372">
        <v>0</v>
      </c>
    </row>
    <row r="93" spans="1:34">
      <c r="A93" s="372" t="s">
        <v>1400</v>
      </c>
      <c r="B93" s="373" t="s">
        <v>1401</v>
      </c>
      <c r="C93" s="372" t="s">
        <v>1402</v>
      </c>
      <c r="D93" s="374">
        <v>1101110346901</v>
      </c>
      <c r="E93" s="372" t="s">
        <v>1403</v>
      </c>
      <c r="F93" s="375" t="s">
        <v>1404</v>
      </c>
      <c r="G93" s="375" t="s">
        <v>1405</v>
      </c>
      <c r="H93" s="375" t="s">
        <v>862</v>
      </c>
      <c r="I93" s="375" t="s">
        <v>755</v>
      </c>
      <c r="J93" s="375">
        <v>2710575.6086200001</v>
      </c>
      <c r="K93" s="375">
        <v>810006.98135999998</v>
      </c>
      <c r="L93" s="375">
        <v>811109.78194000002</v>
      </c>
      <c r="M93" s="375">
        <v>8135890.5618000003</v>
      </c>
      <c r="N93" s="372">
        <v>0.70499999999999996</v>
      </c>
      <c r="O93" s="703">
        <v>422.29503396173038</v>
      </c>
      <c r="P93" s="375" t="s">
        <v>623</v>
      </c>
      <c r="Q93" s="375" t="s">
        <v>623</v>
      </c>
      <c r="R93" s="695">
        <v>20070627</v>
      </c>
      <c r="S93" s="375" t="s">
        <v>1406</v>
      </c>
      <c r="T93" s="696">
        <v>0.26400000000000001</v>
      </c>
      <c r="U93" s="375" t="s">
        <v>1407</v>
      </c>
      <c r="V93" s="722">
        <v>0</v>
      </c>
      <c r="W93" s="722">
        <v>0.44</v>
      </c>
      <c r="X93" s="722">
        <v>0.94</v>
      </c>
      <c r="Y93" s="722">
        <v>6.15</v>
      </c>
      <c r="Z93" s="382">
        <v>0.12097405452860732</v>
      </c>
      <c r="AA93" s="372">
        <v>24222.197030700001</v>
      </c>
      <c r="AB93" s="372">
        <v>26739.246550399999</v>
      </c>
      <c r="AC93" s="372">
        <v>27522.661457900002</v>
      </c>
      <c r="AD93" s="372">
        <v>27105.756086199999</v>
      </c>
      <c r="AE93" s="372">
        <v>40962.86</v>
      </c>
      <c r="AF93" s="372">
        <v>41843.33</v>
      </c>
      <c r="AG93" s="372">
        <v>42800</v>
      </c>
      <c r="AH93" s="372">
        <v>0</v>
      </c>
    </row>
    <row r="94" spans="1:34">
      <c r="A94" s="372" t="s">
        <v>1408</v>
      </c>
      <c r="B94" s="373" t="s">
        <v>1409</v>
      </c>
      <c r="C94" s="372" t="s">
        <v>1410</v>
      </c>
      <c r="D94" s="374">
        <v>1101110205975</v>
      </c>
      <c r="E94" s="372" t="s">
        <v>1411</v>
      </c>
      <c r="F94" s="375" t="s">
        <v>1313</v>
      </c>
      <c r="G94" s="375" t="s">
        <v>1313</v>
      </c>
      <c r="H94" s="375" t="s">
        <v>832</v>
      </c>
      <c r="I94" s="375" t="s">
        <v>755</v>
      </c>
      <c r="J94" s="375">
        <v>6322528.1877800003</v>
      </c>
      <c r="K94" s="375">
        <v>358961.88196000003</v>
      </c>
      <c r="L94" s="375">
        <v>485082.74424999999</v>
      </c>
      <c r="M94" s="375">
        <v>5834019.5422999999</v>
      </c>
      <c r="N94" s="372">
        <v>1.198</v>
      </c>
      <c r="O94" s="703">
        <v>27.461440829073041</v>
      </c>
      <c r="P94" s="375" t="s">
        <v>623</v>
      </c>
      <c r="Q94" s="372" t="s">
        <v>623</v>
      </c>
      <c r="R94" s="695">
        <v>19880122</v>
      </c>
      <c r="S94" s="375" t="s">
        <v>1412</v>
      </c>
      <c r="T94" s="696">
        <v>0.26400000000000001</v>
      </c>
      <c r="U94" s="375" t="s">
        <v>1413</v>
      </c>
      <c r="V94" s="722">
        <v>6.53</v>
      </c>
      <c r="W94" s="722">
        <v>0.72</v>
      </c>
      <c r="X94" s="722">
        <v>0.68</v>
      </c>
      <c r="Y94" s="722">
        <v>9.57</v>
      </c>
      <c r="Z94" s="382">
        <v>4.5713384756421283E-2</v>
      </c>
      <c r="AA94" s="372">
        <v>48095.359077599998</v>
      </c>
      <c r="AB94" s="372">
        <v>84618.415002900001</v>
      </c>
      <c r="AC94" s="372">
        <v>79756.259810200005</v>
      </c>
      <c r="AD94" s="372">
        <v>63225.2818778</v>
      </c>
      <c r="AE94" s="372">
        <v>68008</v>
      </c>
      <c r="AF94" s="372">
        <v>71804</v>
      </c>
      <c r="AG94" s="372">
        <v>75603.42</v>
      </c>
      <c r="AH94" s="372">
        <v>75420</v>
      </c>
    </row>
    <row r="95" spans="1:34">
      <c r="A95" s="372" t="s">
        <v>1414</v>
      </c>
      <c r="B95" s="373" t="s">
        <v>1415</v>
      </c>
      <c r="C95" s="372" t="s">
        <v>1416</v>
      </c>
      <c r="D95" s="374">
        <v>1101116417805</v>
      </c>
      <c r="E95" s="372" t="s">
        <v>1417</v>
      </c>
      <c r="F95" s="375" t="s">
        <v>1418</v>
      </c>
      <c r="G95" s="375" t="s">
        <v>1419</v>
      </c>
      <c r="H95" s="375" t="s">
        <v>1327</v>
      </c>
      <c r="I95" s="375" t="s">
        <v>755</v>
      </c>
      <c r="J95" s="375">
        <v>2912358.0514699998</v>
      </c>
      <c r="K95" s="375">
        <v>492391.14951000002</v>
      </c>
      <c r="L95" s="375">
        <v>520017.90742</v>
      </c>
      <c r="M95" s="375">
        <v>2955476.9493399998</v>
      </c>
      <c r="N95" s="372">
        <v>0.20799999999999999</v>
      </c>
      <c r="O95" s="703">
        <v>0.77906137515694329</v>
      </c>
      <c r="P95" s="375" t="s">
        <v>623</v>
      </c>
      <c r="Q95" s="375" t="s">
        <v>623</v>
      </c>
      <c r="R95" s="695">
        <v>20170707</v>
      </c>
      <c r="S95" s="375" t="s">
        <v>1420</v>
      </c>
      <c r="T95" s="696">
        <v>0.26400000000000001</v>
      </c>
      <c r="U95" s="375" t="s">
        <v>1421</v>
      </c>
      <c r="V95" s="722">
        <v>7.21</v>
      </c>
      <c r="W95" s="722">
        <v>1.6</v>
      </c>
      <c r="X95" s="722">
        <v>1.58</v>
      </c>
      <c r="Y95" s="722">
        <v>12.19</v>
      </c>
      <c r="Z95" s="382">
        <v>5.3697522225677696E-2</v>
      </c>
      <c r="AA95" s="372">
        <v>22298.1993363</v>
      </c>
      <c r="AB95" s="372">
        <v>23554.997055299998</v>
      </c>
      <c r="AC95" s="372">
        <v>28732.467713400001</v>
      </c>
      <c r="AD95" s="372">
        <v>29123.580514699999</v>
      </c>
      <c r="AE95" s="372">
        <v>31831.599999999999</v>
      </c>
      <c r="AF95" s="372">
        <v>33938.129999999997</v>
      </c>
      <c r="AG95" s="372">
        <v>35901.17</v>
      </c>
      <c r="AH95" s="372">
        <v>0</v>
      </c>
    </row>
    <row r="96" spans="1:34">
      <c r="A96" s="372" t="s">
        <v>1422</v>
      </c>
      <c r="B96" s="373" t="s">
        <v>1423</v>
      </c>
      <c r="C96" s="372" t="s">
        <v>1424</v>
      </c>
      <c r="D96" s="374">
        <v>1101116363850</v>
      </c>
      <c r="E96" s="372" t="s">
        <v>1425</v>
      </c>
      <c r="F96" s="372" t="s">
        <v>1426</v>
      </c>
      <c r="G96" s="375" t="s">
        <v>1426</v>
      </c>
      <c r="H96" s="375" t="s">
        <v>754</v>
      </c>
      <c r="I96" s="375" t="s">
        <v>755</v>
      </c>
      <c r="J96" s="375">
        <v>2702799.3373699998</v>
      </c>
      <c r="K96" s="375">
        <v>315218.29071999999</v>
      </c>
      <c r="L96" s="375">
        <v>310516.40675000002</v>
      </c>
      <c r="M96" s="375">
        <v>1057030.32617</v>
      </c>
      <c r="N96" s="372">
        <v>0.68200000000000005</v>
      </c>
      <c r="O96" s="703">
        <v>8.35376696937705</v>
      </c>
      <c r="P96" s="375" t="s">
        <v>623</v>
      </c>
      <c r="Q96" s="375" t="s">
        <v>623</v>
      </c>
      <c r="R96" s="695">
        <v>20170510</v>
      </c>
      <c r="S96" s="375" t="s">
        <v>1427</v>
      </c>
      <c r="T96" s="696">
        <v>0.26400000000000001</v>
      </c>
      <c r="U96" s="375" t="s">
        <v>15978</v>
      </c>
      <c r="V96" s="722">
        <v>9.5500000000000007</v>
      </c>
      <c r="W96" s="722">
        <v>2.79</v>
      </c>
      <c r="X96" s="722">
        <v>1.1000000000000001</v>
      </c>
      <c r="Y96" s="722">
        <v>11.43</v>
      </c>
      <c r="Z96" s="382">
        <v>0.140845308628466</v>
      </c>
      <c r="AA96" s="372">
        <v>18113.447343799999</v>
      </c>
      <c r="AB96" s="372">
        <v>18059.917468799998</v>
      </c>
      <c r="AC96" s="372">
        <v>21044.994873299998</v>
      </c>
      <c r="AD96" s="372">
        <v>27027.993373699999</v>
      </c>
      <c r="AE96" s="372">
        <v>34085.54</v>
      </c>
      <c r="AF96" s="372">
        <v>39405.58</v>
      </c>
      <c r="AG96" s="372">
        <v>45784.75</v>
      </c>
      <c r="AH96" s="372">
        <v>52280</v>
      </c>
    </row>
    <row r="97" spans="1:34">
      <c r="A97" s="372" t="s">
        <v>1428</v>
      </c>
      <c r="B97" s="373" t="s">
        <v>1429</v>
      </c>
      <c r="C97" s="372" t="s">
        <v>1430</v>
      </c>
      <c r="D97" s="374">
        <v>1101110098130</v>
      </c>
      <c r="E97" s="372" t="s">
        <v>1431</v>
      </c>
      <c r="F97" s="372" t="s">
        <v>1272</v>
      </c>
      <c r="G97" s="375" t="s">
        <v>1273</v>
      </c>
      <c r="H97" s="375" t="s">
        <v>1274</v>
      </c>
      <c r="I97" s="375" t="s">
        <v>755</v>
      </c>
      <c r="J97" s="375">
        <v>1678477</v>
      </c>
      <c r="K97" s="375">
        <v>725757</v>
      </c>
      <c r="L97" s="375">
        <v>720729</v>
      </c>
      <c r="M97" s="375">
        <v>7613428</v>
      </c>
      <c r="N97" s="372">
        <v>0.90200000000000002</v>
      </c>
      <c r="O97" s="703">
        <v>534.90820962803832</v>
      </c>
      <c r="P97" s="375" t="s">
        <v>623</v>
      </c>
      <c r="Q97" s="375" t="s">
        <v>623</v>
      </c>
      <c r="R97" s="695">
        <v>19750930</v>
      </c>
      <c r="S97" s="375" t="s">
        <v>1432</v>
      </c>
      <c r="T97" s="696">
        <v>0.26400000000000001</v>
      </c>
      <c r="U97" s="375" t="s">
        <v>1433</v>
      </c>
      <c r="V97" s="722">
        <v>0</v>
      </c>
      <c r="W97" s="722">
        <v>0.47</v>
      </c>
      <c r="X97" s="722">
        <v>0.35</v>
      </c>
      <c r="Y97" s="722">
        <v>6.51</v>
      </c>
      <c r="Z97" s="382">
        <v>5.1664514740391354E-2</v>
      </c>
      <c r="AA97" s="372">
        <v>16808.59</v>
      </c>
      <c r="AB97" s="372">
        <v>23405.7</v>
      </c>
      <c r="AC97" s="372">
        <v>13664.33</v>
      </c>
      <c r="AD97" s="372">
        <v>16784.77</v>
      </c>
      <c r="AE97" s="372">
        <v>18290.080000000002</v>
      </c>
      <c r="AF97" s="372">
        <v>19140.91</v>
      </c>
      <c r="AG97" s="372">
        <v>20531.669999999998</v>
      </c>
      <c r="AH97" s="372">
        <v>0</v>
      </c>
    </row>
    <row r="98" spans="1:34">
      <c r="A98" s="372" t="s">
        <v>1434</v>
      </c>
      <c r="B98" s="373" t="s">
        <v>1435</v>
      </c>
      <c r="C98" s="372" t="s">
        <v>1436</v>
      </c>
      <c r="D98" s="374">
        <v>1101112691651</v>
      </c>
      <c r="E98" s="372" t="s">
        <v>1437</v>
      </c>
      <c r="F98" s="375" t="s">
        <v>860</v>
      </c>
      <c r="G98" s="375" t="s">
        <v>861</v>
      </c>
      <c r="H98" s="375" t="s">
        <v>862</v>
      </c>
      <c r="I98" s="375" t="s">
        <v>755</v>
      </c>
      <c r="J98" s="375">
        <v>3272489.7049599998</v>
      </c>
      <c r="K98" s="375">
        <v>820404.54295999999</v>
      </c>
      <c r="L98" s="375">
        <v>885815.80328999995</v>
      </c>
      <c r="M98" s="375">
        <v>8445052.1013500001</v>
      </c>
      <c r="N98" s="372">
        <v>1.32</v>
      </c>
      <c r="O98" s="703">
        <v>1541.1745923043629</v>
      </c>
      <c r="P98" s="375" t="s">
        <v>623</v>
      </c>
      <c r="Q98" s="375" t="s">
        <v>623</v>
      </c>
      <c r="R98" s="695">
        <v>20030721</v>
      </c>
      <c r="S98" s="375" t="s">
        <v>876</v>
      </c>
      <c r="T98" s="696">
        <v>0.26400000000000001</v>
      </c>
      <c r="U98" s="375" t="s">
        <v>1438</v>
      </c>
      <c r="V98" s="722">
        <v>0</v>
      </c>
      <c r="W98" s="722">
        <v>0.45</v>
      </c>
      <c r="X98" s="722">
        <v>0.16</v>
      </c>
      <c r="Y98" s="722">
        <v>5.34</v>
      </c>
      <c r="Z98" s="382">
        <v>7.5915415414269383E-3</v>
      </c>
      <c r="AA98" s="372">
        <v>15708.210982500001</v>
      </c>
      <c r="AB98" s="372">
        <v>16725.4630082</v>
      </c>
      <c r="AC98" s="372">
        <v>23269.3918529</v>
      </c>
      <c r="AD98" s="372">
        <v>32724.8970496</v>
      </c>
      <c r="AE98" s="372">
        <v>34426.67</v>
      </c>
      <c r="AF98" s="372">
        <v>33706.67</v>
      </c>
      <c r="AG98" s="372">
        <v>33730</v>
      </c>
      <c r="AH98" s="372">
        <v>0</v>
      </c>
    </row>
    <row r="99" spans="1:34">
      <c r="A99" s="372" t="s">
        <v>1439</v>
      </c>
      <c r="B99" s="373" t="s">
        <v>1440</v>
      </c>
      <c r="C99" s="372" t="s">
        <v>1441</v>
      </c>
      <c r="D99" s="374">
        <v>1347110002206</v>
      </c>
      <c r="E99" s="372" t="s">
        <v>1442</v>
      </c>
      <c r="F99" s="375" t="s">
        <v>1443</v>
      </c>
      <c r="G99" s="375" t="s">
        <v>1444</v>
      </c>
      <c r="H99" s="375" t="s">
        <v>1050</v>
      </c>
      <c r="I99" s="375" t="s">
        <v>755</v>
      </c>
      <c r="J99" s="375">
        <v>9559328.2484000009</v>
      </c>
      <c r="K99" s="375">
        <v>277278.60159999999</v>
      </c>
      <c r="L99" s="375">
        <v>144600.24062</v>
      </c>
      <c r="M99" s="375">
        <v>2508486.5806</v>
      </c>
      <c r="N99" s="372">
        <v>0.92700000000000005</v>
      </c>
      <c r="O99" s="703">
        <v>139.24067839229147</v>
      </c>
      <c r="P99" s="375" t="s">
        <v>623</v>
      </c>
      <c r="Q99" s="375" t="s">
        <v>623</v>
      </c>
      <c r="R99" s="695">
        <v>19960731</v>
      </c>
      <c r="S99" s="375" t="s">
        <v>1445</v>
      </c>
      <c r="T99" s="696">
        <v>0.23100000000000001</v>
      </c>
      <c r="U99" s="375" t="s">
        <v>1446</v>
      </c>
      <c r="V99" s="722">
        <v>8.41</v>
      </c>
      <c r="W99" s="722">
        <v>1.64</v>
      </c>
      <c r="X99" s="722">
        <v>0.41</v>
      </c>
      <c r="Y99" s="722">
        <v>76.319999999999993</v>
      </c>
      <c r="Z99" s="382">
        <v>3.8725052994348586E-2</v>
      </c>
      <c r="AA99" s="372">
        <v>68728.3257667</v>
      </c>
      <c r="AB99" s="372">
        <v>73514.238256600001</v>
      </c>
      <c r="AC99" s="372">
        <v>86277.275741399993</v>
      </c>
      <c r="AD99" s="372">
        <v>95593.282483999996</v>
      </c>
      <c r="AE99" s="372">
        <v>99176.15</v>
      </c>
      <c r="AF99" s="372">
        <v>105571.35</v>
      </c>
      <c r="AG99" s="372">
        <v>111283.25</v>
      </c>
      <c r="AH99" s="372">
        <v>124280</v>
      </c>
    </row>
    <row r="100" spans="1:34">
      <c r="A100" s="372" t="s">
        <v>1447</v>
      </c>
      <c r="B100" s="373" t="s">
        <v>1448</v>
      </c>
      <c r="C100" s="372" t="s">
        <v>1449</v>
      </c>
      <c r="D100" s="374">
        <v>1101110335649</v>
      </c>
      <c r="E100" s="372" t="s">
        <v>1450</v>
      </c>
      <c r="F100" s="375" t="s">
        <v>1272</v>
      </c>
      <c r="G100" s="375" t="s">
        <v>1273</v>
      </c>
      <c r="H100" s="375" t="s">
        <v>1274</v>
      </c>
      <c r="I100" s="375" t="s">
        <v>755</v>
      </c>
      <c r="J100" s="375">
        <v>1647003.02785</v>
      </c>
      <c r="K100" s="375">
        <v>741117.97383000003</v>
      </c>
      <c r="L100" s="375">
        <v>746814.55952999997</v>
      </c>
      <c r="M100" s="375">
        <v>6622709.3945300002</v>
      </c>
      <c r="N100" s="372">
        <v>1.1140000000000001</v>
      </c>
      <c r="O100" s="703">
        <v>579.4480259554482</v>
      </c>
      <c r="P100" s="375" t="s">
        <v>623</v>
      </c>
      <c r="Q100" s="372" t="s">
        <v>623</v>
      </c>
      <c r="R100" s="695">
        <v>19880328</v>
      </c>
      <c r="S100" s="372" t="s">
        <v>1451</v>
      </c>
      <c r="T100" s="696">
        <v>0.26400000000000001</v>
      </c>
      <c r="U100" s="372" t="s">
        <v>1452</v>
      </c>
      <c r="V100" s="722">
        <v>0</v>
      </c>
      <c r="W100" s="722">
        <v>0.52</v>
      </c>
      <c r="X100" s="722">
        <v>0.26</v>
      </c>
      <c r="Y100" s="722">
        <v>6.28</v>
      </c>
      <c r="Z100" s="382">
        <v>4.7951716847553838E-2</v>
      </c>
      <c r="AA100" s="372">
        <v>14926.3264423</v>
      </c>
      <c r="AB100" s="372">
        <v>22417.7623637</v>
      </c>
      <c r="AC100" s="372">
        <v>14005.5604595</v>
      </c>
      <c r="AD100" s="372">
        <v>16470.030278499999</v>
      </c>
      <c r="AE100" s="372">
        <v>18426.45</v>
      </c>
      <c r="AF100" s="372">
        <v>18710.599999999999</v>
      </c>
      <c r="AG100" s="372">
        <v>19863.669999999998</v>
      </c>
      <c r="AH100" s="372">
        <v>0</v>
      </c>
    </row>
    <row r="101" spans="1:34">
      <c r="A101" s="372" t="s">
        <v>1453</v>
      </c>
      <c r="B101" s="373" t="s">
        <v>1454</v>
      </c>
      <c r="C101" s="372" t="s">
        <v>1455</v>
      </c>
      <c r="D101" s="374">
        <v>1449110001666</v>
      </c>
      <c r="E101" s="372" t="s">
        <v>1456</v>
      </c>
      <c r="F101" s="375" t="s">
        <v>1457</v>
      </c>
      <c r="G101" s="375" t="s">
        <v>1458</v>
      </c>
      <c r="H101" s="375" t="s">
        <v>823</v>
      </c>
      <c r="I101" s="375" t="s">
        <v>755</v>
      </c>
      <c r="J101" s="375">
        <v>1388572.37827</v>
      </c>
      <c r="K101" s="375">
        <v>282263.01486</v>
      </c>
      <c r="L101" s="375">
        <v>457241.38127999997</v>
      </c>
      <c r="M101" s="375">
        <v>3677900.8162600002</v>
      </c>
      <c r="N101" s="372">
        <v>0.82199999999999995</v>
      </c>
      <c r="O101" s="703">
        <v>1.8354958666308305</v>
      </c>
      <c r="P101" s="375" t="s">
        <v>623</v>
      </c>
      <c r="Q101" s="375" t="s">
        <v>623</v>
      </c>
      <c r="R101" s="695">
        <v>20011023</v>
      </c>
      <c r="S101" s="375" t="s">
        <v>1459</v>
      </c>
      <c r="T101" s="696">
        <v>0.26400000000000001</v>
      </c>
      <c r="U101" s="375" t="s">
        <v>1460</v>
      </c>
      <c r="V101" s="722">
        <v>9.44</v>
      </c>
      <c r="W101" s="722">
        <v>0.89</v>
      </c>
      <c r="X101" s="722">
        <v>2.4700000000000002</v>
      </c>
      <c r="Y101" s="722">
        <v>10.039999999999999</v>
      </c>
      <c r="Z101" s="382">
        <v>2.1779211672299015E-2</v>
      </c>
      <c r="AA101" s="372">
        <v>4785.7886633999997</v>
      </c>
      <c r="AB101" s="372">
        <v>7884.3282992000004</v>
      </c>
      <c r="AC101" s="372">
        <v>12706.858190999999</v>
      </c>
      <c r="AD101" s="372">
        <v>13885.723782700001</v>
      </c>
      <c r="AE101" s="372">
        <v>14206.67</v>
      </c>
      <c r="AF101" s="372">
        <v>14806.78</v>
      </c>
      <c r="AG101" s="372">
        <v>15135.5</v>
      </c>
      <c r="AH101" s="372">
        <v>0</v>
      </c>
    </row>
    <row r="102" spans="1:34">
      <c r="A102" s="372" t="s">
        <v>1461</v>
      </c>
      <c r="B102" s="373" t="s">
        <v>1462</v>
      </c>
      <c r="C102" s="372" t="s">
        <v>1463</v>
      </c>
      <c r="D102" s="374">
        <v>1801110220664</v>
      </c>
      <c r="E102" s="372" t="s">
        <v>1464</v>
      </c>
      <c r="F102" s="375" t="s">
        <v>1286</v>
      </c>
      <c r="G102" s="375" t="s">
        <v>1465</v>
      </c>
      <c r="H102" s="375" t="s">
        <v>1388</v>
      </c>
      <c r="I102" s="375" t="s">
        <v>869</v>
      </c>
      <c r="J102" s="375">
        <v>255573.03464999999</v>
      </c>
      <c r="K102" s="375">
        <v>114378.40029000001</v>
      </c>
      <c r="L102" s="375">
        <v>142243.46809000001</v>
      </c>
      <c r="M102" s="375">
        <v>557074.19805999997</v>
      </c>
      <c r="N102" s="372">
        <v>0.70299999999999996</v>
      </c>
      <c r="O102" s="703">
        <v>4.7822557739149703E-3</v>
      </c>
      <c r="P102" s="375" t="s">
        <v>623</v>
      </c>
      <c r="Q102" s="375" t="s">
        <v>623</v>
      </c>
      <c r="R102" s="695">
        <v>20011214</v>
      </c>
      <c r="S102" s="375" t="s">
        <v>1466</v>
      </c>
      <c r="T102" s="696">
        <v>0.23100000000000001</v>
      </c>
      <c r="U102" s="375" t="s">
        <v>1467</v>
      </c>
      <c r="V102" s="722">
        <v>0</v>
      </c>
      <c r="W102" s="722">
        <v>5.52</v>
      </c>
      <c r="X102" s="722">
        <v>0</v>
      </c>
      <c r="Y102" s="722">
        <v>0</v>
      </c>
      <c r="Z102" s="382" t="s">
        <v>934</v>
      </c>
      <c r="AA102" s="372">
        <v>2013.3545935</v>
      </c>
      <c r="AB102" s="372">
        <v>2801.6683306</v>
      </c>
      <c r="AC102" s="372">
        <v>3224.2280307999999</v>
      </c>
      <c r="AD102" s="372">
        <v>2555.7303465</v>
      </c>
      <c r="AE102" s="372">
        <v>0</v>
      </c>
      <c r="AF102" s="372">
        <v>0</v>
      </c>
      <c r="AG102" s="372">
        <v>0</v>
      </c>
      <c r="AH102" s="372">
        <v>0</v>
      </c>
    </row>
    <row r="103" spans="1:34">
      <c r="A103" s="372" t="s">
        <v>1468</v>
      </c>
      <c r="B103" s="373" t="s">
        <v>1469</v>
      </c>
      <c r="C103" s="372" t="s">
        <v>1470</v>
      </c>
      <c r="D103" s="374">
        <v>1101110006167</v>
      </c>
      <c r="E103" s="372" t="s">
        <v>1471</v>
      </c>
      <c r="F103" s="375" t="s">
        <v>1472</v>
      </c>
      <c r="G103" s="375" t="s">
        <v>1472</v>
      </c>
      <c r="H103" s="375" t="s">
        <v>916</v>
      </c>
      <c r="I103" s="375" t="s">
        <v>755</v>
      </c>
      <c r="J103" s="375">
        <v>11767893.66326</v>
      </c>
      <c r="K103" s="375">
        <v>480234.86314999999</v>
      </c>
      <c r="L103" s="375">
        <v>324971.45081000001</v>
      </c>
      <c r="M103" s="375">
        <v>4043096.2428700002</v>
      </c>
      <c r="N103" s="372">
        <v>0.81899999999999995</v>
      </c>
      <c r="O103" s="703">
        <v>131.59385464249232</v>
      </c>
      <c r="P103" s="375" t="s">
        <v>623</v>
      </c>
      <c r="Q103" s="375" t="s">
        <v>623</v>
      </c>
      <c r="R103" s="695">
        <v>19560702</v>
      </c>
      <c r="S103" s="375" t="s">
        <v>1473</v>
      </c>
      <c r="T103" s="696">
        <v>0.26400000000000001</v>
      </c>
      <c r="U103" s="375" t="s">
        <v>1474</v>
      </c>
      <c r="V103" s="722">
        <v>5.72</v>
      </c>
      <c r="W103" s="722">
        <v>0.75</v>
      </c>
      <c r="X103" s="722">
        <v>0.25</v>
      </c>
      <c r="Y103" s="722">
        <v>12.91</v>
      </c>
      <c r="Z103" s="382">
        <v>2.6090982425881259E-2</v>
      </c>
      <c r="AA103" s="372">
        <v>107811.2715021</v>
      </c>
      <c r="AB103" s="372">
        <v>113436.5178749</v>
      </c>
      <c r="AC103" s="372">
        <v>121307.1286237</v>
      </c>
      <c r="AD103" s="372">
        <v>117678.9366326</v>
      </c>
      <c r="AE103" s="372">
        <v>122090.42</v>
      </c>
      <c r="AF103" s="372">
        <v>126651.75</v>
      </c>
      <c r="AG103" s="372">
        <v>130449.44</v>
      </c>
      <c r="AH103" s="372">
        <v>143430</v>
      </c>
    </row>
    <row r="104" spans="1:34">
      <c r="A104" s="372" t="s">
        <v>1475</v>
      </c>
      <c r="B104" s="373" t="s">
        <v>1476</v>
      </c>
      <c r="C104" s="372" t="s">
        <v>1477</v>
      </c>
      <c r="D104" s="374">
        <v>1101110037823</v>
      </c>
      <c r="E104" s="372" t="s">
        <v>1478</v>
      </c>
      <c r="F104" s="375" t="s">
        <v>1479</v>
      </c>
      <c r="G104" s="375" t="s">
        <v>1480</v>
      </c>
      <c r="H104" s="375" t="s">
        <v>1481</v>
      </c>
      <c r="I104" s="375" t="s">
        <v>755</v>
      </c>
      <c r="J104" s="375">
        <v>1869406.4127400001</v>
      </c>
      <c r="K104" s="375">
        <v>184113.12823</v>
      </c>
      <c r="L104" s="375">
        <v>111936.15415</v>
      </c>
      <c r="M104" s="375">
        <v>1578942.4444500001</v>
      </c>
      <c r="N104" s="372">
        <v>0.81799999999999995</v>
      </c>
      <c r="O104" s="703">
        <v>46.044271286002029</v>
      </c>
      <c r="P104" s="375" t="s">
        <v>623</v>
      </c>
      <c r="Q104" s="375" t="s">
        <v>623</v>
      </c>
      <c r="R104" s="695">
        <v>19750503</v>
      </c>
      <c r="S104" s="375" t="s">
        <v>1482</v>
      </c>
      <c r="T104" s="696">
        <v>0.23100000000000001</v>
      </c>
      <c r="U104" s="375" t="s">
        <v>1483</v>
      </c>
      <c r="V104" s="722">
        <v>8.3699999999999992</v>
      </c>
      <c r="W104" s="722">
        <v>1.77</v>
      </c>
      <c r="X104" s="722">
        <v>1.55</v>
      </c>
      <c r="Y104" s="722">
        <v>13.16</v>
      </c>
      <c r="Z104" s="382" t="s">
        <v>934</v>
      </c>
      <c r="AA104" s="372">
        <v>14707.9917393</v>
      </c>
      <c r="AB104" s="372">
        <v>16613.983300600001</v>
      </c>
      <c r="AC104" s="372">
        <v>17059.0674406</v>
      </c>
      <c r="AD104" s="372">
        <v>18694.064127400001</v>
      </c>
      <c r="AE104" s="372">
        <v>18518</v>
      </c>
      <c r="AF104" s="372">
        <v>19224.25</v>
      </c>
      <c r="AG104" s="372">
        <v>0</v>
      </c>
      <c r="AH104" s="372">
        <v>0</v>
      </c>
    </row>
    <row r="105" spans="1:34">
      <c r="A105" s="372" t="s">
        <v>1484</v>
      </c>
      <c r="B105" s="373" t="s">
        <v>1485</v>
      </c>
      <c r="C105" s="372" t="s">
        <v>1486</v>
      </c>
      <c r="D105" s="374">
        <v>1101110076300</v>
      </c>
      <c r="E105" s="372" t="s">
        <v>1487</v>
      </c>
      <c r="F105" s="375" t="s">
        <v>900</v>
      </c>
      <c r="G105" s="375" t="s">
        <v>901</v>
      </c>
      <c r="H105" s="375" t="s">
        <v>862</v>
      </c>
      <c r="I105" s="375" t="s">
        <v>755</v>
      </c>
      <c r="J105" s="375">
        <v>15159775.89563</v>
      </c>
      <c r="K105" s="375">
        <v>493689.28414</v>
      </c>
      <c r="L105" s="375">
        <v>373916.51968999999</v>
      </c>
      <c r="M105" s="375">
        <v>9672841.6074999999</v>
      </c>
      <c r="N105" s="372">
        <v>0.86399999999999999</v>
      </c>
      <c r="O105" s="703">
        <v>464.43825206521359</v>
      </c>
      <c r="P105" s="375" t="s">
        <v>623</v>
      </c>
      <c r="Q105" s="375" t="s">
        <v>623</v>
      </c>
      <c r="R105" s="695">
        <v>19740216</v>
      </c>
      <c r="S105" s="375" t="s">
        <v>861</v>
      </c>
      <c r="T105" s="696">
        <v>0.26400000000000001</v>
      </c>
      <c r="U105" s="375" t="s">
        <v>1488</v>
      </c>
      <c r="V105" s="722">
        <v>9.09</v>
      </c>
      <c r="W105" s="722">
        <v>0.33</v>
      </c>
      <c r="X105" s="722">
        <v>0.19</v>
      </c>
      <c r="Y105" s="722" t="s">
        <v>774</v>
      </c>
      <c r="Z105" s="382" t="s">
        <v>934</v>
      </c>
      <c r="AA105" s="372">
        <v>90866.492295599994</v>
      </c>
      <c r="AB105" s="372">
        <v>99248.640141900003</v>
      </c>
      <c r="AC105" s="372">
        <v>141118.52309169999</v>
      </c>
      <c r="AD105" s="372">
        <v>151597.75895630001</v>
      </c>
      <c r="AE105" s="372">
        <v>161820.96</v>
      </c>
      <c r="AF105" s="372">
        <v>166589.32</v>
      </c>
      <c r="AG105" s="372">
        <v>0</v>
      </c>
      <c r="AH105" s="372">
        <v>0</v>
      </c>
    </row>
    <row r="106" spans="1:34">
      <c r="A106" s="372" t="s">
        <v>1489</v>
      </c>
      <c r="B106" s="373" t="s">
        <v>1490</v>
      </c>
      <c r="C106" s="372" t="s">
        <v>1491</v>
      </c>
      <c r="D106" s="374">
        <v>1601110293889</v>
      </c>
      <c r="E106" s="372" t="s">
        <v>1492</v>
      </c>
      <c r="F106" s="375" t="s">
        <v>1300</v>
      </c>
      <c r="G106" s="375" t="s">
        <v>1300</v>
      </c>
      <c r="H106" s="375" t="s">
        <v>868</v>
      </c>
      <c r="I106" s="375" t="s">
        <v>869</v>
      </c>
      <c r="J106" s="375">
        <v>15258.13487</v>
      </c>
      <c r="K106" s="375">
        <v>-44589.778380000003</v>
      </c>
      <c r="L106" s="375">
        <v>-1086.1568500000001</v>
      </c>
      <c r="M106" s="375">
        <v>130656.20015</v>
      </c>
      <c r="N106" s="372">
        <v>1.272</v>
      </c>
      <c r="O106" s="703">
        <v>1.5952789662423805E-3</v>
      </c>
      <c r="P106" s="375" t="s">
        <v>623</v>
      </c>
      <c r="Q106" s="375" t="s">
        <v>623</v>
      </c>
      <c r="R106" s="695">
        <v>20210203</v>
      </c>
      <c r="S106" s="375" t="s">
        <v>1493</v>
      </c>
      <c r="T106" s="696" t="s">
        <v>772</v>
      </c>
      <c r="U106" s="372" t="s">
        <v>1494</v>
      </c>
      <c r="V106" s="722" t="s">
        <v>774</v>
      </c>
      <c r="W106" s="722">
        <v>26.13</v>
      </c>
      <c r="X106" s="722">
        <v>223.1</v>
      </c>
      <c r="Y106" s="722" t="s">
        <v>774</v>
      </c>
      <c r="Z106" s="382" t="s">
        <v>934</v>
      </c>
      <c r="AA106" s="372">
        <v>54.2696665</v>
      </c>
      <c r="AB106" s="372">
        <v>89.695746900000003</v>
      </c>
      <c r="AC106" s="372">
        <v>136.15411929999999</v>
      </c>
      <c r="AD106" s="372">
        <v>152.58134870000001</v>
      </c>
      <c r="AE106" s="372">
        <v>272</v>
      </c>
      <c r="AF106" s="372">
        <v>764</v>
      </c>
      <c r="AG106" s="372">
        <v>0</v>
      </c>
      <c r="AH106" s="372">
        <v>0</v>
      </c>
    </row>
    <row r="107" spans="1:34">
      <c r="A107" s="372" t="s">
        <v>1495</v>
      </c>
      <c r="B107" s="373" t="s">
        <v>1496</v>
      </c>
      <c r="C107" s="372" t="s">
        <v>1497</v>
      </c>
      <c r="D107" s="374">
        <v>1942110036336</v>
      </c>
      <c r="E107" s="372" t="s">
        <v>1498</v>
      </c>
      <c r="F107" s="375" t="s">
        <v>1499</v>
      </c>
      <c r="G107" s="375" t="s">
        <v>1500</v>
      </c>
      <c r="H107" s="375" t="s">
        <v>797</v>
      </c>
      <c r="I107" s="375" t="s">
        <v>755</v>
      </c>
      <c r="J107" s="375">
        <v>3587382.4530000002</v>
      </c>
      <c r="K107" s="375">
        <v>210046.59400000001</v>
      </c>
      <c r="L107" s="375">
        <v>180840.823</v>
      </c>
      <c r="M107" s="375">
        <v>1646976.156</v>
      </c>
      <c r="N107" s="372">
        <v>0.65500000000000003</v>
      </c>
      <c r="O107" s="703">
        <v>14.613732884958605</v>
      </c>
      <c r="P107" s="375" t="s">
        <v>623</v>
      </c>
      <c r="Q107" s="375" t="s">
        <v>623</v>
      </c>
      <c r="R107" s="695">
        <v>20131030</v>
      </c>
      <c r="S107" s="375" t="s">
        <v>1501</v>
      </c>
      <c r="T107" s="696">
        <v>0.23100000000000001</v>
      </c>
      <c r="U107" s="375" t="s">
        <v>1502</v>
      </c>
      <c r="V107" s="722">
        <v>11.48</v>
      </c>
      <c r="W107" s="722">
        <v>1.73</v>
      </c>
      <c r="X107" s="722">
        <v>0.81</v>
      </c>
      <c r="Y107" s="722">
        <v>18.03</v>
      </c>
      <c r="Z107" s="382">
        <v>8.4955084368601552E-2</v>
      </c>
      <c r="AA107" s="372">
        <v>27853.260539999999</v>
      </c>
      <c r="AB107" s="372">
        <v>28725.11952</v>
      </c>
      <c r="AC107" s="372">
        <v>31633.436150000001</v>
      </c>
      <c r="AD107" s="372">
        <v>35873.824529999998</v>
      </c>
      <c r="AE107" s="372">
        <v>39736.29</v>
      </c>
      <c r="AF107" s="372">
        <v>48677.25</v>
      </c>
      <c r="AG107" s="372">
        <v>49707.82</v>
      </c>
      <c r="AH107" s="372">
        <v>38110</v>
      </c>
    </row>
    <row r="108" spans="1:34">
      <c r="A108" s="372" t="s">
        <v>1503</v>
      </c>
      <c r="B108" s="373" t="s">
        <v>1504</v>
      </c>
      <c r="C108" s="372" t="s">
        <v>1505</v>
      </c>
      <c r="D108" s="374">
        <v>1301110001585</v>
      </c>
      <c r="E108" s="372" t="s">
        <v>1505</v>
      </c>
      <c r="F108" s="372" t="s">
        <v>1368</v>
      </c>
      <c r="G108" s="375" t="s">
        <v>1368</v>
      </c>
      <c r="H108" s="375" t="s">
        <v>832</v>
      </c>
      <c r="I108" s="375" t="s">
        <v>755</v>
      </c>
      <c r="J108" s="375">
        <v>1570751.5809299999</v>
      </c>
      <c r="K108" s="375">
        <v>-216300.85472999999</v>
      </c>
      <c r="L108" s="375">
        <v>-402027.58182999998</v>
      </c>
      <c r="M108" s="375">
        <v>2524424.2489399998</v>
      </c>
      <c r="N108" s="372">
        <v>1.3640000000000001</v>
      </c>
      <c r="O108" s="703">
        <v>91.68636441356972</v>
      </c>
      <c r="P108" s="375" t="s">
        <v>623</v>
      </c>
      <c r="Q108" s="372" t="s">
        <v>623</v>
      </c>
      <c r="R108" s="695">
        <v>19970718</v>
      </c>
      <c r="S108" s="372" t="s">
        <v>1506</v>
      </c>
      <c r="T108" s="696" t="s">
        <v>772</v>
      </c>
      <c r="U108" s="375" t="s">
        <v>1507</v>
      </c>
      <c r="V108" s="722" t="s">
        <v>774</v>
      </c>
      <c r="W108" s="722">
        <v>2.06</v>
      </c>
      <c r="X108" s="722">
        <v>2.1800000000000002</v>
      </c>
      <c r="Y108" s="722" t="s">
        <v>774</v>
      </c>
      <c r="Z108" s="382">
        <v>0.22475430959984877</v>
      </c>
      <c r="AA108" s="372">
        <v>24658.500807299999</v>
      </c>
      <c r="AB108" s="372">
        <v>22642.070864199999</v>
      </c>
      <c r="AC108" s="372">
        <v>23866.500040800001</v>
      </c>
      <c r="AD108" s="372">
        <v>15707.515809299999</v>
      </c>
      <c r="AE108" s="372">
        <v>22032.5</v>
      </c>
      <c r="AF108" s="372">
        <v>31908</v>
      </c>
      <c r="AG108" s="372">
        <v>35343</v>
      </c>
      <c r="AH108" s="372">
        <v>0</v>
      </c>
    </row>
    <row r="109" spans="1:34">
      <c r="A109" s="372" t="s">
        <v>1508</v>
      </c>
      <c r="B109" s="373" t="s">
        <v>1509</v>
      </c>
      <c r="C109" s="372" t="s">
        <v>1510</v>
      </c>
      <c r="D109" s="374">
        <v>1101110035893</v>
      </c>
      <c r="E109" s="372" t="s">
        <v>1511</v>
      </c>
      <c r="F109" s="375" t="s">
        <v>965</v>
      </c>
      <c r="G109" s="375" t="s">
        <v>966</v>
      </c>
      <c r="H109" s="375" t="s">
        <v>940</v>
      </c>
      <c r="I109" s="375" t="s">
        <v>755</v>
      </c>
      <c r="J109" s="375">
        <v>13181325.183390001</v>
      </c>
      <c r="K109" s="375">
        <v>788215.58022</v>
      </c>
      <c r="L109" s="375">
        <v>760405.53104999999</v>
      </c>
      <c r="M109" s="375">
        <v>6055391.8762499997</v>
      </c>
      <c r="N109" s="372">
        <v>0.57599999999999996</v>
      </c>
      <c r="O109" s="703">
        <v>44.211560378220291</v>
      </c>
      <c r="P109" s="375" t="s">
        <v>623</v>
      </c>
      <c r="Q109" s="375" t="s">
        <v>623</v>
      </c>
      <c r="R109" s="695">
        <v>19890825</v>
      </c>
      <c r="S109" s="375" t="s">
        <v>1512</v>
      </c>
      <c r="T109" s="696">
        <v>0.26400000000000001</v>
      </c>
      <c r="U109" s="375" t="s">
        <v>1513</v>
      </c>
      <c r="V109" s="722">
        <v>0</v>
      </c>
      <c r="W109" s="722">
        <v>0.45</v>
      </c>
      <c r="X109" s="722">
        <v>0.17</v>
      </c>
      <c r="Y109" s="722">
        <v>4.5599999999999996</v>
      </c>
      <c r="Z109" s="382" t="s">
        <v>934</v>
      </c>
      <c r="AA109" s="372">
        <v>143905.93722260001</v>
      </c>
      <c r="AB109" s="372">
        <v>153570.58361589999</v>
      </c>
      <c r="AC109" s="372">
        <v>121776.9000793</v>
      </c>
      <c r="AD109" s="372">
        <v>131813.25183389999</v>
      </c>
      <c r="AE109" s="372">
        <v>0</v>
      </c>
      <c r="AF109" s="372">
        <v>0</v>
      </c>
      <c r="AG109" s="372">
        <v>0</v>
      </c>
      <c r="AH109" s="372">
        <v>0</v>
      </c>
    </row>
    <row r="110" spans="1:34">
      <c r="A110" s="372" t="s">
        <v>1514</v>
      </c>
      <c r="B110" s="373" t="s">
        <v>1515</v>
      </c>
      <c r="C110" s="372" t="s">
        <v>1516</v>
      </c>
      <c r="D110" s="374">
        <v>1760110020640</v>
      </c>
      <c r="E110" s="372" t="s">
        <v>1517</v>
      </c>
      <c r="F110" s="375" t="s">
        <v>1286</v>
      </c>
      <c r="G110" s="375" t="s">
        <v>1465</v>
      </c>
      <c r="H110" s="375" t="s">
        <v>754</v>
      </c>
      <c r="I110" s="375" t="s">
        <v>755</v>
      </c>
      <c r="J110" s="375">
        <v>2453079.5419200002</v>
      </c>
      <c r="K110" s="375">
        <v>92870.721109999999</v>
      </c>
      <c r="L110" s="375">
        <v>413446.01361000002</v>
      </c>
      <c r="M110" s="375">
        <v>2154126.1639999999</v>
      </c>
      <c r="N110" s="372">
        <v>1.2669999999999999</v>
      </c>
      <c r="O110" s="703">
        <v>8.9695908272217686</v>
      </c>
      <c r="P110" s="375" t="s">
        <v>623</v>
      </c>
      <c r="Q110" s="375" t="s">
        <v>623</v>
      </c>
      <c r="R110" s="695">
        <v>20191113</v>
      </c>
      <c r="S110" s="375" t="s">
        <v>1518</v>
      </c>
      <c r="T110" s="696">
        <v>0.26400000000000001</v>
      </c>
      <c r="U110" s="375" t="s">
        <v>1519</v>
      </c>
      <c r="V110" s="722">
        <v>15.34</v>
      </c>
      <c r="W110" s="722">
        <v>1.51</v>
      </c>
      <c r="X110" s="722">
        <v>1.34</v>
      </c>
      <c r="Y110" s="722">
        <v>9.39</v>
      </c>
      <c r="Z110" s="382">
        <v>8.1041908772332194E-2</v>
      </c>
      <c r="AA110" s="372">
        <v>16428.5457159</v>
      </c>
      <c r="AB110" s="372">
        <v>20895.030391200002</v>
      </c>
      <c r="AC110" s="372">
        <v>21879.801993900001</v>
      </c>
      <c r="AD110" s="372">
        <v>24530.7954192</v>
      </c>
      <c r="AE110" s="372">
        <v>27603.16</v>
      </c>
      <c r="AF110" s="372">
        <v>30550</v>
      </c>
      <c r="AG110" s="372">
        <v>33502.85</v>
      </c>
      <c r="AH110" s="372">
        <v>30910</v>
      </c>
    </row>
    <row r="111" spans="1:34">
      <c r="A111" s="372" t="s">
        <v>1520</v>
      </c>
      <c r="B111" s="373" t="s">
        <v>1521</v>
      </c>
      <c r="C111" s="372" t="s">
        <v>1522</v>
      </c>
      <c r="D111" s="374">
        <v>1512110026289</v>
      </c>
      <c r="E111" s="372" t="s">
        <v>1523</v>
      </c>
      <c r="F111" s="375" t="s">
        <v>830</v>
      </c>
      <c r="G111" s="375" t="s">
        <v>1524</v>
      </c>
      <c r="H111" s="375" t="s">
        <v>868</v>
      </c>
      <c r="I111" s="375" t="s">
        <v>869</v>
      </c>
      <c r="J111" s="375">
        <v>424691.39932000003</v>
      </c>
      <c r="K111" s="375">
        <v>3047.2632400000002</v>
      </c>
      <c r="L111" s="375">
        <v>-56041.768429999996</v>
      </c>
      <c r="M111" s="375">
        <v>286448.63530000002</v>
      </c>
      <c r="N111" s="372">
        <v>1.198</v>
      </c>
      <c r="O111" s="703">
        <v>6.2573927210915592</v>
      </c>
      <c r="P111" s="375" t="s">
        <v>623</v>
      </c>
      <c r="Q111" s="375" t="s">
        <v>623</v>
      </c>
      <c r="R111" s="695">
        <v>20211101</v>
      </c>
      <c r="S111" s="375" t="s">
        <v>1525</v>
      </c>
      <c r="T111" s="696" t="s">
        <v>772</v>
      </c>
      <c r="U111" s="375" t="s">
        <v>1526</v>
      </c>
      <c r="V111" s="722">
        <v>103.21</v>
      </c>
      <c r="W111" s="722">
        <v>5.19</v>
      </c>
      <c r="X111" s="722">
        <v>3.33</v>
      </c>
      <c r="Y111" s="722" t="s">
        <v>774</v>
      </c>
      <c r="Z111" s="382" t="s">
        <v>934</v>
      </c>
      <c r="AA111" s="372">
        <v>1388.8778752000001</v>
      </c>
      <c r="AB111" s="372">
        <v>2143.2971363000001</v>
      </c>
      <c r="AC111" s="372">
        <v>5097.9282532999996</v>
      </c>
      <c r="AD111" s="372">
        <v>4246.9139931999998</v>
      </c>
      <c r="AE111" s="372">
        <v>9830</v>
      </c>
      <c r="AF111" s="372">
        <v>12290</v>
      </c>
      <c r="AG111" s="372">
        <v>0</v>
      </c>
      <c r="AH111" s="372">
        <v>0</v>
      </c>
    </row>
    <row r="112" spans="1:34">
      <c r="A112" s="372" t="s">
        <v>1527</v>
      </c>
      <c r="B112" s="373" t="s">
        <v>1528</v>
      </c>
      <c r="C112" s="372" t="s">
        <v>1529</v>
      </c>
      <c r="D112" s="374">
        <v>1348110003187</v>
      </c>
      <c r="E112" s="372" t="s">
        <v>1530</v>
      </c>
      <c r="F112" s="372" t="s">
        <v>900</v>
      </c>
      <c r="G112" s="375" t="s">
        <v>901</v>
      </c>
      <c r="H112" s="375" t="s">
        <v>862</v>
      </c>
      <c r="I112" s="375" t="s">
        <v>755</v>
      </c>
      <c r="J112" s="375">
        <v>1247906.3790599999</v>
      </c>
      <c r="K112" s="375">
        <v>57011.915710000001</v>
      </c>
      <c r="L112" s="375">
        <v>130541.64701</v>
      </c>
      <c r="M112" s="375">
        <v>787472.46938000002</v>
      </c>
      <c r="N112" s="372">
        <v>0.93700000000000006</v>
      </c>
      <c r="O112" s="703">
        <v>9.6482964815563488</v>
      </c>
      <c r="P112" s="375" t="s">
        <v>623</v>
      </c>
      <c r="Q112" s="375" t="s">
        <v>623</v>
      </c>
      <c r="R112" s="695">
        <v>19880620</v>
      </c>
      <c r="S112" s="375" t="s">
        <v>1531</v>
      </c>
      <c r="T112" s="696">
        <v>0.23100000000000001</v>
      </c>
      <c r="U112" s="375" t="s">
        <v>1532</v>
      </c>
      <c r="V112" s="722">
        <v>44.56</v>
      </c>
      <c r="W112" s="722">
        <v>3.29</v>
      </c>
      <c r="X112" s="722">
        <v>2.2000000000000002</v>
      </c>
      <c r="Y112" s="722">
        <v>23.82</v>
      </c>
      <c r="Z112" s="382" t="s">
        <v>934</v>
      </c>
      <c r="AA112" s="372">
        <v>8573.8341913999993</v>
      </c>
      <c r="AB112" s="372">
        <v>9501.6481734000008</v>
      </c>
      <c r="AC112" s="372">
        <v>10460.5421083</v>
      </c>
      <c r="AD112" s="372">
        <v>12479.063790599999</v>
      </c>
      <c r="AE112" s="372">
        <v>0</v>
      </c>
      <c r="AF112" s="372">
        <v>0</v>
      </c>
      <c r="AG112" s="372">
        <v>0</v>
      </c>
      <c r="AH112" s="372">
        <v>0</v>
      </c>
    </row>
    <row r="113" spans="1:34">
      <c r="A113" s="372" t="s">
        <v>1533</v>
      </c>
      <c r="B113" s="373" t="s">
        <v>1534</v>
      </c>
      <c r="C113" s="372" t="s">
        <v>1535</v>
      </c>
      <c r="D113" s="374">
        <v>1101110003965</v>
      </c>
      <c r="E113" s="372" t="s">
        <v>1535</v>
      </c>
      <c r="F113" s="372" t="s">
        <v>900</v>
      </c>
      <c r="G113" s="375" t="s">
        <v>901</v>
      </c>
      <c r="H113" s="375" t="s">
        <v>862</v>
      </c>
      <c r="I113" s="375" t="s">
        <v>755</v>
      </c>
      <c r="J113" s="375">
        <v>24480743</v>
      </c>
      <c r="K113" s="375">
        <v>901702</v>
      </c>
      <c r="L113" s="375">
        <v>641042</v>
      </c>
      <c r="M113" s="375">
        <v>6750601</v>
      </c>
      <c r="N113" s="372">
        <v>1.129</v>
      </c>
      <c r="O113" s="703">
        <v>201.80477916378487</v>
      </c>
      <c r="P113" s="375" t="s">
        <v>623</v>
      </c>
      <c r="Q113" s="375" t="s">
        <v>623</v>
      </c>
      <c r="R113" s="695">
        <v>19770630</v>
      </c>
      <c r="S113" s="375" t="s">
        <v>1536</v>
      </c>
      <c r="T113" s="696">
        <v>0.26400000000000001</v>
      </c>
      <c r="U113" s="375" t="s">
        <v>1537</v>
      </c>
      <c r="V113" s="722">
        <v>7.92</v>
      </c>
      <c r="W113" s="722">
        <v>0.62</v>
      </c>
      <c r="X113" s="722">
        <v>0.12</v>
      </c>
      <c r="Y113" s="722">
        <v>6.88</v>
      </c>
      <c r="Z113" s="382">
        <v>4.1639272235128866E-2</v>
      </c>
      <c r="AA113" s="372">
        <v>104443.16</v>
      </c>
      <c r="AB113" s="372">
        <v>128292.74</v>
      </c>
      <c r="AC113" s="372">
        <v>174913.38</v>
      </c>
      <c r="AD113" s="372">
        <v>244807.43</v>
      </c>
      <c r="AE113" s="372">
        <v>251983.5</v>
      </c>
      <c r="AF113" s="372">
        <v>267484.25</v>
      </c>
      <c r="AG113" s="372">
        <v>288200</v>
      </c>
      <c r="AH113" s="372">
        <v>0</v>
      </c>
    </row>
    <row r="114" spans="1:34">
      <c r="A114" s="372" t="s">
        <v>1538</v>
      </c>
      <c r="B114" s="373" t="s">
        <v>1539</v>
      </c>
      <c r="C114" s="372" t="s">
        <v>15979</v>
      </c>
      <c r="D114" s="374">
        <v>1812110000526</v>
      </c>
      <c r="E114" s="372" t="s">
        <v>15980</v>
      </c>
      <c r="F114" s="372" t="s">
        <v>1144</v>
      </c>
      <c r="G114" s="375" t="s">
        <v>1145</v>
      </c>
      <c r="H114" s="375" t="s">
        <v>797</v>
      </c>
      <c r="I114" s="375" t="s">
        <v>755</v>
      </c>
      <c r="J114" s="375">
        <v>4039065.7050000001</v>
      </c>
      <c r="K114" s="375">
        <v>-152916.345</v>
      </c>
      <c r="L114" s="375">
        <v>-156886.568</v>
      </c>
      <c r="M114" s="375">
        <v>2015213.237</v>
      </c>
      <c r="N114" s="372">
        <v>0.70899999999999996</v>
      </c>
      <c r="O114" s="703">
        <v>19.77513665675621</v>
      </c>
      <c r="P114" s="375" t="s">
        <v>623</v>
      </c>
      <c r="Q114" s="372" t="s">
        <v>623</v>
      </c>
      <c r="R114" s="695">
        <v>19831220</v>
      </c>
      <c r="S114" s="372" t="s">
        <v>1540</v>
      </c>
      <c r="T114" s="696" t="s">
        <v>772</v>
      </c>
      <c r="U114" s="375" t="s">
        <v>1541</v>
      </c>
      <c r="V114" s="722" t="s">
        <v>774</v>
      </c>
      <c r="W114" s="722">
        <v>1.72</v>
      </c>
      <c r="X114" s="722">
        <v>0.84</v>
      </c>
      <c r="Y114" s="722" t="s">
        <v>774</v>
      </c>
      <c r="Z114" s="382">
        <v>6.8613361389258332E-2</v>
      </c>
      <c r="AA114" s="372">
        <v>27920.1109</v>
      </c>
      <c r="AB114" s="372">
        <v>28872.122510000001</v>
      </c>
      <c r="AC114" s="372">
        <v>37168.609420000001</v>
      </c>
      <c r="AD114" s="372">
        <v>40390.657050000002</v>
      </c>
      <c r="AE114" s="372">
        <v>42939.8</v>
      </c>
      <c r="AF114" s="372">
        <v>48363.33</v>
      </c>
      <c r="AG114" s="372">
        <v>52670</v>
      </c>
      <c r="AH114" s="372">
        <v>58140</v>
      </c>
    </row>
    <row r="115" spans="1:34">
      <c r="A115" s="372" t="s">
        <v>1542</v>
      </c>
      <c r="B115" s="373" t="s">
        <v>1543</v>
      </c>
      <c r="C115" s="372" t="s">
        <v>1544</v>
      </c>
      <c r="D115" s="374">
        <v>1101111264764</v>
      </c>
      <c r="E115" s="372" t="s">
        <v>1545</v>
      </c>
      <c r="F115" s="375" t="s">
        <v>1083</v>
      </c>
      <c r="G115" s="375" t="s">
        <v>1546</v>
      </c>
      <c r="H115" s="375" t="s">
        <v>1547</v>
      </c>
      <c r="I115" s="375" t="s">
        <v>869</v>
      </c>
      <c r="J115" s="375">
        <v>566500.54287</v>
      </c>
      <c r="K115" s="375">
        <v>169443.90994000001</v>
      </c>
      <c r="L115" s="375">
        <v>155672.86541999999</v>
      </c>
      <c r="M115" s="375">
        <v>398042.67093000002</v>
      </c>
      <c r="N115" s="372">
        <v>0.74199999999999999</v>
      </c>
      <c r="O115" s="703">
        <v>0.45430838989713185</v>
      </c>
      <c r="P115" s="375" t="s">
        <v>623</v>
      </c>
      <c r="Q115" s="375" t="s">
        <v>623</v>
      </c>
      <c r="R115" s="695">
        <v>20010828</v>
      </c>
      <c r="S115" s="375" t="s">
        <v>1548</v>
      </c>
      <c r="T115" s="696">
        <v>0.23100000000000001</v>
      </c>
      <c r="U115" s="375" t="s">
        <v>1549</v>
      </c>
      <c r="V115" s="722">
        <v>19.96</v>
      </c>
      <c r="W115" s="722">
        <v>8.86</v>
      </c>
      <c r="X115" s="722">
        <v>6.35</v>
      </c>
      <c r="Y115" s="722">
        <v>34.1</v>
      </c>
      <c r="Z115" s="382">
        <v>8.8787652826457952E-2</v>
      </c>
      <c r="AA115" s="372">
        <v>1443.9902199000001</v>
      </c>
      <c r="AB115" s="372">
        <v>1938.9956176999999</v>
      </c>
      <c r="AC115" s="372">
        <v>3458.9211021000001</v>
      </c>
      <c r="AD115" s="372">
        <v>5665.0054287000003</v>
      </c>
      <c r="AE115" s="372">
        <v>6206.06</v>
      </c>
      <c r="AF115" s="372">
        <v>6965.2</v>
      </c>
      <c r="AG115" s="372">
        <v>7961.1</v>
      </c>
      <c r="AH115" s="372">
        <v>14810</v>
      </c>
    </row>
    <row r="116" spans="1:34">
      <c r="A116" s="372" t="s">
        <v>1550</v>
      </c>
      <c r="B116" s="373" t="s">
        <v>1551</v>
      </c>
      <c r="C116" s="372" t="s">
        <v>1552</v>
      </c>
      <c r="D116" s="374">
        <v>1101117875440</v>
      </c>
      <c r="E116" s="372" t="s">
        <v>1552</v>
      </c>
      <c r="F116" s="375" t="s">
        <v>1553</v>
      </c>
      <c r="G116" s="375" t="s">
        <v>1554</v>
      </c>
      <c r="H116" s="375" t="s">
        <v>1555</v>
      </c>
      <c r="I116" s="375" t="s">
        <v>755</v>
      </c>
      <c r="J116" s="375">
        <v>1978495.5358899999</v>
      </c>
      <c r="K116" s="375">
        <v>551835.22898999997</v>
      </c>
      <c r="L116" s="375">
        <v>554947.92760000005</v>
      </c>
      <c r="M116" s="375">
        <v>1317741.4135100001</v>
      </c>
      <c r="N116" s="372">
        <v>0.94299999999999995</v>
      </c>
      <c r="O116" s="703">
        <v>10.350689825908429</v>
      </c>
      <c r="P116" s="375" t="s">
        <v>623</v>
      </c>
      <c r="Q116" s="375" t="s">
        <v>623</v>
      </c>
      <c r="R116" s="695">
        <v>20210521</v>
      </c>
      <c r="S116" s="375" t="s">
        <v>1556</v>
      </c>
      <c r="T116" s="696">
        <v>0.26400000000000001</v>
      </c>
      <c r="U116" s="375" t="s">
        <v>1557</v>
      </c>
      <c r="V116" s="722">
        <v>5.53</v>
      </c>
      <c r="W116" s="722">
        <v>2.61</v>
      </c>
      <c r="X116" s="722">
        <v>1.73</v>
      </c>
      <c r="Y116" s="722">
        <v>8.0399999999999991</v>
      </c>
      <c r="Z116" s="382">
        <v>4.9306332237539996E-2</v>
      </c>
      <c r="AA116" s="372">
        <v>0</v>
      </c>
      <c r="AB116" s="372">
        <v>10891.720869299999</v>
      </c>
      <c r="AC116" s="372">
        <v>18088.945467000001</v>
      </c>
      <c r="AD116" s="372">
        <v>19784.955358899999</v>
      </c>
      <c r="AE116" s="372">
        <v>20882.14</v>
      </c>
      <c r="AF116" s="372">
        <v>22617.93</v>
      </c>
      <c r="AG116" s="372">
        <v>23985.25</v>
      </c>
      <c r="AH116" s="372">
        <v>0</v>
      </c>
    </row>
    <row r="117" spans="1:34">
      <c r="A117" s="372" t="s">
        <v>1558</v>
      </c>
      <c r="B117" s="373" t="s">
        <v>1559</v>
      </c>
      <c r="C117" s="372" t="s">
        <v>1560</v>
      </c>
      <c r="D117" s="374">
        <v>1101110015639</v>
      </c>
      <c r="E117" s="372" t="s">
        <v>1561</v>
      </c>
      <c r="F117" s="375" t="s">
        <v>900</v>
      </c>
      <c r="G117" s="375" t="s">
        <v>901</v>
      </c>
      <c r="H117" s="375" t="s">
        <v>862</v>
      </c>
      <c r="I117" s="375" t="s">
        <v>755</v>
      </c>
      <c r="J117" s="375">
        <v>41352688.159000002</v>
      </c>
      <c r="K117" s="375">
        <v>2039057.889</v>
      </c>
      <c r="L117" s="375">
        <v>985934.69700000004</v>
      </c>
      <c r="M117" s="375">
        <v>17892818.574000001</v>
      </c>
      <c r="N117" s="372">
        <v>0.90900000000000003</v>
      </c>
      <c r="O117" s="703">
        <v>524.47373543205026</v>
      </c>
      <c r="P117" s="375" t="s">
        <v>623</v>
      </c>
      <c r="Q117" s="375" t="s">
        <v>623</v>
      </c>
      <c r="R117" s="695">
        <v>19730629</v>
      </c>
      <c r="S117" s="375" t="s">
        <v>861</v>
      </c>
      <c r="T117" s="696">
        <v>0.26400000000000001</v>
      </c>
      <c r="U117" s="375" t="s">
        <v>1562</v>
      </c>
      <c r="V117" s="722">
        <v>5.72</v>
      </c>
      <c r="W117" s="722">
        <v>0.59</v>
      </c>
      <c r="X117" s="722">
        <v>0.08</v>
      </c>
      <c r="Y117" s="722">
        <v>17.28</v>
      </c>
      <c r="Z117" s="382">
        <v>2.0412888182828048E-2</v>
      </c>
      <c r="AA117" s="372">
        <v>319991.02947000001</v>
      </c>
      <c r="AB117" s="372">
        <v>344840.26553999999</v>
      </c>
      <c r="AC117" s="372">
        <v>409248.79772999999</v>
      </c>
      <c r="AD117" s="372">
        <v>413526.88159</v>
      </c>
      <c r="AE117" s="372">
        <v>433831.42</v>
      </c>
      <c r="AF117" s="372">
        <v>460807.08</v>
      </c>
      <c r="AG117" s="372">
        <v>448340</v>
      </c>
      <c r="AH117" s="372">
        <v>0</v>
      </c>
    </row>
    <row r="118" spans="1:34">
      <c r="A118" s="372" t="s">
        <v>1563</v>
      </c>
      <c r="B118" s="373" t="s">
        <v>1564</v>
      </c>
      <c r="C118" s="372" t="s">
        <v>1565</v>
      </c>
      <c r="D118" s="374">
        <v>1101110003204</v>
      </c>
      <c r="E118" s="372" t="s">
        <v>1566</v>
      </c>
      <c r="F118" s="375" t="s">
        <v>939</v>
      </c>
      <c r="G118" s="375" t="s">
        <v>939</v>
      </c>
      <c r="H118" s="375" t="s">
        <v>940</v>
      </c>
      <c r="I118" s="375" t="s">
        <v>755</v>
      </c>
      <c r="J118" s="375">
        <v>9810510.3220000006</v>
      </c>
      <c r="K118" s="375">
        <v>1057044.4249100001</v>
      </c>
      <c r="L118" s="375">
        <v>1079636.2247599999</v>
      </c>
      <c r="M118" s="375">
        <v>15475087.526210001</v>
      </c>
      <c r="N118" s="372">
        <v>1.0760000000000001</v>
      </c>
      <c r="O118" s="703">
        <v>495.44918462403416</v>
      </c>
      <c r="P118" s="375" t="s">
        <v>623</v>
      </c>
      <c r="Q118" s="375" t="s">
        <v>623</v>
      </c>
      <c r="R118" s="695">
        <v>20100317</v>
      </c>
      <c r="S118" s="375" t="s">
        <v>1567</v>
      </c>
      <c r="T118" s="696">
        <v>0.26400000000000001</v>
      </c>
      <c r="U118" s="375" t="s">
        <v>1568</v>
      </c>
      <c r="V118" s="722">
        <v>0</v>
      </c>
      <c r="W118" s="722">
        <v>0.18</v>
      </c>
      <c r="X118" s="722">
        <v>0.11</v>
      </c>
      <c r="Y118" s="722">
        <v>3.24</v>
      </c>
      <c r="Z118" s="382" t="s">
        <v>934</v>
      </c>
      <c r="AA118" s="372">
        <v>162278.1052082</v>
      </c>
      <c r="AB118" s="372">
        <v>164579.21123370001</v>
      </c>
      <c r="AC118" s="372">
        <v>108774.66241</v>
      </c>
      <c r="AD118" s="372">
        <v>98105.103220000005</v>
      </c>
      <c r="AE118" s="372">
        <v>0</v>
      </c>
      <c r="AF118" s="372">
        <v>0</v>
      </c>
      <c r="AG118" s="372">
        <v>0</v>
      </c>
      <c r="AH118" s="372">
        <v>0</v>
      </c>
    </row>
    <row r="119" spans="1:34">
      <c r="A119" s="372" t="s">
        <v>1569</v>
      </c>
      <c r="B119" s="373" t="s">
        <v>1570</v>
      </c>
      <c r="C119" s="372" t="s">
        <v>1571</v>
      </c>
      <c r="D119" s="374">
        <v>1101111867948</v>
      </c>
      <c r="E119" s="372" t="s">
        <v>1572</v>
      </c>
      <c r="F119" s="375" t="s">
        <v>1272</v>
      </c>
      <c r="G119" s="375" t="s">
        <v>1273</v>
      </c>
      <c r="H119" s="375" t="s">
        <v>1274</v>
      </c>
      <c r="I119" s="375" t="s">
        <v>755</v>
      </c>
      <c r="J119" s="375">
        <v>1159634.6163999999</v>
      </c>
      <c r="K119" s="375">
        <v>564659.04217000003</v>
      </c>
      <c r="L119" s="375">
        <v>585056.86436999997</v>
      </c>
      <c r="M119" s="375">
        <v>4904099.1242199996</v>
      </c>
      <c r="N119" s="372">
        <v>1.492</v>
      </c>
      <c r="O119" s="703">
        <v>626.7823548259106</v>
      </c>
      <c r="P119" s="375" t="s">
        <v>623</v>
      </c>
      <c r="Q119" s="375" t="s">
        <v>623</v>
      </c>
      <c r="R119" s="695">
        <v>20040421</v>
      </c>
      <c r="S119" s="375" t="s">
        <v>1573</v>
      </c>
      <c r="T119" s="696">
        <v>0.26400000000000001</v>
      </c>
      <c r="U119" s="375" t="s">
        <v>1574</v>
      </c>
      <c r="V119" s="722">
        <v>0</v>
      </c>
      <c r="W119" s="722">
        <v>0.57999999999999996</v>
      </c>
      <c r="X119" s="722">
        <v>0.3</v>
      </c>
      <c r="Y119" s="722">
        <v>6.62</v>
      </c>
      <c r="Z119" s="382">
        <v>0.11489578433249559</v>
      </c>
      <c r="AA119" s="372">
        <v>14690.8018472</v>
      </c>
      <c r="AB119" s="372">
        <v>18353.342436899999</v>
      </c>
      <c r="AC119" s="372">
        <v>12687.0448194</v>
      </c>
      <c r="AD119" s="372">
        <v>11596.346164</v>
      </c>
      <c r="AE119" s="372">
        <v>16449.580000000002</v>
      </c>
      <c r="AF119" s="372">
        <v>16944.080000000002</v>
      </c>
      <c r="AG119" s="372">
        <v>17916.71</v>
      </c>
      <c r="AH119" s="372">
        <v>0</v>
      </c>
    </row>
    <row r="120" spans="1:34">
      <c r="A120" s="372" t="s">
        <v>1575</v>
      </c>
      <c r="B120" s="373" t="s">
        <v>1576</v>
      </c>
      <c r="C120" s="372" t="s">
        <v>1577</v>
      </c>
      <c r="D120" s="374">
        <v>1101110186307</v>
      </c>
      <c r="E120" s="372" t="s">
        <v>1578</v>
      </c>
      <c r="F120" s="375" t="s">
        <v>1089</v>
      </c>
      <c r="G120" s="375" t="s">
        <v>1090</v>
      </c>
      <c r="H120" s="375" t="s">
        <v>823</v>
      </c>
      <c r="I120" s="375" t="s">
        <v>755</v>
      </c>
      <c r="J120" s="375">
        <v>545091.77260999999</v>
      </c>
      <c r="K120" s="375">
        <v>28562.39833</v>
      </c>
      <c r="L120" s="375">
        <v>44073.117559999999</v>
      </c>
      <c r="M120" s="375">
        <v>547308.41173000005</v>
      </c>
      <c r="N120" s="372">
        <v>0.94299999999999995</v>
      </c>
      <c r="O120" s="703">
        <v>5.564389739822577E-2</v>
      </c>
      <c r="P120" s="375" t="s">
        <v>623</v>
      </c>
      <c r="Q120" s="375" t="s">
        <v>623</v>
      </c>
      <c r="R120" s="695">
        <v>20091214</v>
      </c>
      <c r="S120" s="375" t="s">
        <v>1579</v>
      </c>
      <c r="T120" s="696">
        <v>0.23100000000000001</v>
      </c>
      <c r="U120" s="375" t="s">
        <v>1580</v>
      </c>
      <c r="V120" s="722">
        <v>47.15</v>
      </c>
      <c r="W120" s="722">
        <v>4.26</v>
      </c>
      <c r="X120" s="722">
        <v>4.3499999999999996</v>
      </c>
      <c r="Y120" s="722">
        <v>72.680000000000007</v>
      </c>
      <c r="Z120" s="382">
        <v>6.6499531862415306E-2</v>
      </c>
      <c r="AA120" s="372">
        <v>4317.2262573999997</v>
      </c>
      <c r="AB120" s="372">
        <v>4331.2663941999999</v>
      </c>
      <c r="AC120" s="372">
        <v>5052.9077305999999</v>
      </c>
      <c r="AD120" s="372">
        <v>5450.9177261000004</v>
      </c>
      <c r="AE120" s="372">
        <v>6240</v>
      </c>
      <c r="AF120" s="372">
        <v>6923</v>
      </c>
      <c r="AG120" s="372">
        <v>7052</v>
      </c>
      <c r="AH120" s="372">
        <v>0</v>
      </c>
    </row>
    <row r="121" spans="1:34">
      <c r="A121" s="372" t="s">
        <v>1581</v>
      </c>
      <c r="B121" s="373" t="s">
        <v>1582</v>
      </c>
      <c r="C121" s="372" t="s">
        <v>1583</v>
      </c>
      <c r="D121" s="374">
        <v>1101110792667</v>
      </c>
      <c r="E121" s="372" t="s">
        <v>1584</v>
      </c>
      <c r="F121" s="375" t="s">
        <v>1585</v>
      </c>
      <c r="G121" s="375" t="s">
        <v>1585</v>
      </c>
      <c r="H121" s="375" t="s">
        <v>853</v>
      </c>
      <c r="I121" s="375" t="s">
        <v>755</v>
      </c>
      <c r="J121" s="375">
        <v>4006627.4555100002</v>
      </c>
      <c r="K121" s="375">
        <v>303493.54262000002</v>
      </c>
      <c r="L121" s="375">
        <v>277439.73095</v>
      </c>
      <c r="M121" s="375">
        <v>2553918.90527</v>
      </c>
      <c r="N121" s="372">
        <v>0.79200000000000004</v>
      </c>
      <c r="O121" s="703">
        <v>60.656975355364075</v>
      </c>
      <c r="P121" s="375" t="s">
        <v>623</v>
      </c>
      <c r="Q121" s="375" t="s">
        <v>623</v>
      </c>
      <c r="R121" s="695">
        <v>20100928</v>
      </c>
      <c r="S121" s="375" t="s">
        <v>1586</v>
      </c>
      <c r="T121" s="696">
        <v>0.23100000000000001</v>
      </c>
      <c r="U121" s="375" t="s">
        <v>1587</v>
      </c>
      <c r="V121" s="722">
        <v>8.8000000000000007</v>
      </c>
      <c r="W121" s="722">
        <v>1.22</v>
      </c>
      <c r="X121" s="722">
        <v>0.59</v>
      </c>
      <c r="Y121" s="722">
        <v>55.22</v>
      </c>
      <c r="Z121" s="382">
        <v>2.8011246712431603E-2</v>
      </c>
      <c r="AA121" s="372">
        <v>31288.058528000001</v>
      </c>
      <c r="AB121" s="372">
        <v>37939.586399500004</v>
      </c>
      <c r="AC121" s="372">
        <v>42217.501266200001</v>
      </c>
      <c r="AD121" s="372">
        <v>40066.274555099997</v>
      </c>
      <c r="AE121" s="372">
        <v>42147.45</v>
      </c>
      <c r="AF121" s="372">
        <v>43481</v>
      </c>
      <c r="AG121" s="372">
        <v>44747.67</v>
      </c>
      <c r="AH121" s="372">
        <v>0</v>
      </c>
    </row>
    <row r="122" spans="1:34">
      <c r="A122" s="372" t="s">
        <v>1588</v>
      </c>
      <c r="B122" s="373" t="s">
        <v>1589</v>
      </c>
      <c r="C122" s="372" t="s">
        <v>1590</v>
      </c>
      <c r="D122" s="374">
        <v>1101113509887</v>
      </c>
      <c r="E122" s="372" t="s">
        <v>1591</v>
      </c>
      <c r="F122" s="375" t="s">
        <v>1592</v>
      </c>
      <c r="G122" s="375" t="s">
        <v>1593</v>
      </c>
      <c r="H122" s="375" t="s">
        <v>1050</v>
      </c>
      <c r="I122" s="375" t="s">
        <v>755</v>
      </c>
      <c r="J122" s="375">
        <v>1520162.11549</v>
      </c>
      <c r="K122" s="375">
        <v>104666.10162</v>
      </c>
      <c r="L122" s="375">
        <v>23919.935229999999</v>
      </c>
      <c r="M122" s="375">
        <v>944418.87901000003</v>
      </c>
      <c r="N122" s="372">
        <v>1.1890000000000001</v>
      </c>
      <c r="O122" s="703">
        <v>43.919201633712177</v>
      </c>
      <c r="P122" s="375" t="s">
        <v>623</v>
      </c>
      <c r="Q122" s="375" t="s">
        <v>623</v>
      </c>
      <c r="R122" s="695">
        <v>20141127</v>
      </c>
      <c r="S122" s="375" t="s">
        <v>1594</v>
      </c>
      <c r="T122" s="696">
        <v>0.23100000000000001</v>
      </c>
      <c r="U122" s="375" t="s">
        <v>1595</v>
      </c>
      <c r="V122" s="722">
        <v>20.93</v>
      </c>
      <c r="W122" s="722">
        <v>3.15</v>
      </c>
      <c r="X122" s="722">
        <v>1.95</v>
      </c>
      <c r="Y122" s="722">
        <v>148.94999999999999</v>
      </c>
      <c r="Z122" s="382">
        <v>0.27424964592396539</v>
      </c>
      <c r="AA122" s="372">
        <v>9690.6681991999994</v>
      </c>
      <c r="AB122" s="372">
        <v>11950.364470099999</v>
      </c>
      <c r="AC122" s="372">
        <v>13748.93318</v>
      </c>
      <c r="AD122" s="372">
        <v>15201.6211549</v>
      </c>
      <c r="AE122" s="372">
        <v>27775.8</v>
      </c>
      <c r="AF122" s="372">
        <v>34273.199999999997</v>
      </c>
      <c r="AG122" s="372">
        <v>40078.18</v>
      </c>
      <c r="AH122" s="372">
        <v>52597</v>
      </c>
    </row>
    <row r="123" spans="1:34">
      <c r="A123" s="372" t="s">
        <v>1596</v>
      </c>
      <c r="B123" s="373" t="s">
        <v>1597</v>
      </c>
      <c r="C123" s="372" t="s">
        <v>1598</v>
      </c>
      <c r="D123" s="374">
        <v>1101116555770</v>
      </c>
      <c r="E123" s="372" t="s">
        <v>1599</v>
      </c>
      <c r="F123" s="372" t="s">
        <v>1600</v>
      </c>
      <c r="G123" s="375" t="s">
        <v>1601</v>
      </c>
      <c r="H123" s="375" t="s">
        <v>853</v>
      </c>
      <c r="I123" s="375" t="s">
        <v>755</v>
      </c>
      <c r="J123" s="375">
        <v>8194753.9788899999</v>
      </c>
      <c r="K123" s="375">
        <v>253187.75362999999</v>
      </c>
      <c r="L123" s="375">
        <v>248351.30897000001</v>
      </c>
      <c r="M123" s="375">
        <v>1074453.0477199999</v>
      </c>
      <c r="N123" s="372">
        <v>0.125</v>
      </c>
      <c r="O123" s="703">
        <v>39.31249180296075</v>
      </c>
      <c r="P123" s="375" t="s">
        <v>623</v>
      </c>
      <c r="Q123" s="375" t="s">
        <v>623</v>
      </c>
      <c r="R123" s="695">
        <v>20171208</v>
      </c>
      <c r="S123" s="375" t="s">
        <v>1601</v>
      </c>
      <c r="T123" s="696">
        <v>0.23100000000000001</v>
      </c>
      <c r="U123" s="375" t="s">
        <v>1602</v>
      </c>
      <c r="V123" s="722">
        <v>3.61</v>
      </c>
      <c r="W123" s="722">
        <v>2.11</v>
      </c>
      <c r="X123" s="722">
        <v>0.28000000000000003</v>
      </c>
      <c r="Y123" s="722">
        <v>11.59</v>
      </c>
      <c r="Z123" s="382">
        <v>4.6732225794366311E-2</v>
      </c>
      <c r="AA123" s="372">
        <v>61812.694192900002</v>
      </c>
      <c r="AB123" s="372">
        <v>67811.612590200006</v>
      </c>
      <c r="AC123" s="372">
        <v>76157.694677399995</v>
      </c>
      <c r="AD123" s="372">
        <v>81947.539788900001</v>
      </c>
      <c r="AE123" s="372">
        <v>87628.06</v>
      </c>
      <c r="AF123" s="372">
        <v>93128.06</v>
      </c>
      <c r="AG123" s="372">
        <v>98373.54</v>
      </c>
      <c r="AH123" s="372">
        <v>0</v>
      </c>
    </row>
    <row r="124" spans="1:34">
      <c r="A124" s="372" t="s">
        <v>1603</v>
      </c>
      <c r="B124" s="373" t="s">
        <v>1604</v>
      </c>
      <c r="C124" s="372" t="s">
        <v>1605</v>
      </c>
      <c r="D124" s="374">
        <v>1146710006125</v>
      </c>
      <c r="E124" s="372" t="s">
        <v>1606</v>
      </c>
      <c r="F124" s="375" t="s">
        <v>1607</v>
      </c>
      <c r="G124" s="375" t="s">
        <v>1607</v>
      </c>
      <c r="H124" s="375" t="s">
        <v>953</v>
      </c>
      <c r="I124" s="375" t="s">
        <v>755</v>
      </c>
      <c r="J124" s="375">
        <v>44555995.015019998</v>
      </c>
      <c r="K124" s="375">
        <v>1553418.8576</v>
      </c>
      <c r="L124" s="375">
        <v>-861873.88867000001</v>
      </c>
      <c r="M124" s="375">
        <v>9826038.1029899996</v>
      </c>
      <c r="N124" s="372">
        <v>0.93899999999999995</v>
      </c>
      <c r="O124" s="703">
        <v>1719.2504269481719</v>
      </c>
      <c r="P124" s="375" t="s">
        <v>623</v>
      </c>
      <c r="Q124" s="375" t="s">
        <v>623</v>
      </c>
      <c r="R124" s="695">
        <v>19991215</v>
      </c>
      <c r="S124" s="375" t="s">
        <v>1608</v>
      </c>
      <c r="T124" s="696" t="s">
        <v>772</v>
      </c>
      <c r="U124" s="372" t="s">
        <v>1609</v>
      </c>
      <c r="V124" s="722">
        <v>12.32</v>
      </c>
      <c r="W124" s="722">
        <v>0.23</v>
      </c>
      <c r="X124" s="722">
        <v>0.05</v>
      </c>
      <c r="Y124" s="722" t="s">
        <v>774</v>
      </c>
      <c r="Z124" s="382">
        <v>-2.8130283364016018E-2</v>
      </c>
      <c r="AA124" s="372">
        <v>208337.21595459999</v>
      </c>
      <c r="AB124" s="372">
        <v>275207.56430319999</v>
      </c>
      <c r="AC124" s="372">
        <v>517242.8663236</v>
      </c>
      <c r="AD124" s="372">
        <v>445559.95015019999</v>
      </c>
      <c r="AE124" s="372">
        <v>397638.5</v>
      </c>
      <c r="AF124" s="372">
        <v>391810.58</v>
      </c>
      <c r="AG124" s="372">
        <v>397501.11</v>
      </c>
      <c r="AH124" s="372">
        <v>0</v>
      </c>
    </row>
    <row r="125" spans="1:34">
      <c r="A125" s="372" t="s">
        <v>1610</v>
      </c>
      <c r="B125" s="373" t="s">
        <v>1611</v>
      </c>
      <c r="C125" s="372" t="s">
        <v>1612</v>
      </c>
      <c r="D125" s="374">
        <v>1101110270895</v>
      </c>
      <c r="E125" s="372" t="s">
        <v>1613</v>
      </c>
      <c r="F125" s="372" t="s">
        <v>1614</v>
      </c>
      <c r="G125" s="375" t="s">
        <v>1615</v>
      </c>
      <c r="H125" s="375" t="s">
        <v>832</v>
      </c>
      <c r="I125" s="375" t="s">
        <v>755</v>
      </c>
      <c r="J125" s="375">
        <v>771654.64154999994</v>
      </c>
      <c r="K125" s="375">
        <v>124144.35148</v>
      </c>
      <c r="L125" s="375">
        <v>135592.43591999999</v>
      </c>
      <c r="M125" s="375">
        <v>941487.45330000005</v>
      </c>
      <c r="N125" s="372">
        <v>1.3720000000000001</v>
      </c>
      <c r="O125" s="703">
        <v>13.205043280927711</v>
      </c>
      <c r="P125" s="375" t="s">
        <v>623</v>
      </c>
      <c r="Q125" s="375" t="s">
        <v>623</v>
      </c>
      <c r="R125" s="695">
        <v>19890520</v>
      </c>
      <c r="S125" s="375" t="s">
        <v>1616</v>
      </c>
      <c r="T125" s="696">
        <v>0.23100000000000001</v>
      </c>
      <c r="U125" s="375" t="s">
        <v>1617</v>
      </c>
      <c r="V125" s="722">
        <v>15.92</v>
      </c>
      <c r="W125" s="722">
        <v>2.84</v>
      </c>
      <c r="X125" s="722">
        <v>3.33</v>
      </c>
      <c r="Y125" s="722">
        <v>24.43</v>
      </c>
      <c r="Z125" s="382">
        <v>6.9157528969816751E-2</v>
      </c>
      <c r="AA125" s="372">
        <v>6192.7767873000003</v>
      </c>
      <c r="AB125" s="372">
        <v>7686.8818055000002</v>
      </c>
      <c r="AC125" s="372">
        <v>8854.7079185999992</v>
      </c>
      <c r="AD125" s="372">
        <v>7716.5464155</v>
      </c>
      <c r="AE125" s="372">
        <v>8478.33</v>
      </c>
      <c r="AF125" s="372">
        <v>9615.5</v>
      </c>
      <c r="AG125" s="372">
        <v>10083</v>
      </c>
      <c r="AH125" s="372">
        <v>11345</v>
      </c>
    </row>
    <row r="126" spans="1:34">
      <c r="A126" s="372" t="s">
        <v>1618</v>
      </c>
      <c r="B126" s="373" t="s">
        <v>1619</v>
      </c>
      <c r="C126" s="372" t="s">
        <v>1620</v>
      </c>
      <c r="D126" s="374">
        <v>1801110750893</v>
      </c>
      <c r="E126" s="372" t="s">
        <v>1621</v>
      </c>
      <c r="F126" s="372" t="s">
        <v>860</v>
      </c>
      <c r="G126" s="375" t="s">
        <v>861</v>
      </c>
      <c r="H126" s="375" t="s">
        <v>862</v>
      </c>
      <c r="I126" s="375" t="s">
        <v>755</v>
      </c>
      <c r="J126" s="375">
        <v>6691720.9793800004</v>
      </c>
      <c r="K126" s="375">
        <v>801174.46490000002</v>
      </c>
      <c r="L126" s="375">
        <v>875560.55241999996</v>
      </c>
      <c r="M126" s="375">
        <v>10673702.0813</v>
      </c>
      <c r="N126" s="372">
        <v>0.88600000000000001</v>
      </c>
      <c r="O126" s="703">
        <v>812.77952435772727</v>
      </c>
      <c r="P126" s="375" t="s">
        <v>623</v>
      </c>
      <c r="Q126" s="375" t="s">
        <v>623</v>
      </c>
      <c r="R126" s="695">
        <v>20110330</v>
      </c>
      <c r="S126" s="375" t="s">
        <v>876</v>
      </c>
      <c r="T126" s="696">
        <v>0.26400000000000001</v>
      </c>
      <c r="U126" s="375" t="s">
        <v>1622</v>
      </c>
      <c r="V126" s="722">
        <v>0</v>
      </c>
      <c r="W126" s="722">
        <v>0.22</v>
      </c>
      <c r="X126" s="722">
        <v>0.24</v>
      </c>
      <c r="Y126" s="722">
        <v>3.62</v>
      </c>
      <c r="Z126" s="382">
        <v>2.9477808422633478E-2</v>
      </c>
      <c r="AA126" s="372">
        <v>33035.524849100002</v>
      </c>
      <c r="AB126" s="372">
        <v>35520.106516100001</v>
      </c>
      <c r="AC126" s="372">
        <v>47789.624740300002</v>
      </c>
      <c r="AD126" s="372">
        <v>66917.209793799993</v>
      </c>
      <c r="AE126" s="372">
        <v>71246</v>
      </c>
      <c r="AF126" s="372">
        <v>73256.570000000007</v>
      </c>
      <c r="AG126" s="372">
        <v>75163.289999999994</v>
      </c>
      <c r="AH126" s="372">
        <v>0</v>
      </c>
    </row>
    <row r="127" spans="1:34">
      <c r="A127" s="372" t="s">
        <v>1623</v>
      </c>
      <c r="B127" s="373" t="s">
        <v>1624</v>
      </c>
      <c r="C127" s="372" t="s">
        <v>1625</v>
      </c>
      <c r="D127" s="374">
        <v>1101110090037</v>
      </c>
      <c r="E127" s="372" t="s">
        <v>1626</v>
      </c>
      <c r="F127" s="375" t="s">
        <v>1600</v>
      </c>
      <c r="G127" s="375" t="s">
        <v>1601</v>
      </c>
      <c r="H127" s="375" t="s">
        <v>853</v>
      </c>
      <c r="I127" s="375" t="s">
        <v>755</v>
      </c>
      <c r="J127" s="375">
        <v>11612547.92073</v>
      </c>
      <c r="K127" s="375">
        <v>393955.33963</v>
      </c>
      <c r="L127" s="375">
        <v>147958.76871999999</v>
      </c>
      <c r="M127" s="375">
        <v>4433739.1077300003</v>
      </c>
      <c r="N127" s="372">
        <v>0.61199999999999999</v>
      </c>
      <c r="O127" s="703">
        <v>163.35480402222254</v>
      </c>
      <c r="P127" s="375" t="s">
        <v>623</v>
      </c>
      <c r="Q127" s="375" t="s">
        <v>623</v>
      </c>
      <c r="R127" s="695">
        <v>20111223</v>
      </c>
      <c r="S127" s="375" t="s">
        <v>1627</v>
      </c>
      <c r="T127" s="696">
        <v>0.23100000000000001</v>
      </c>
      <c r="U127" s="375" t="s">
        <v>1628</v>
      </c>
      <c r="V127" s="722">
        <v>4.9400000000000004</v>
      </c>
      <c r="W127" s="722">
        <v>0.57999999999999996</v>
      </c>
      <c r="X127" s="722">
        <v>0.21</v>
      </c>
      <c r="Y127" s="722">
        <v>136.54</v>
      </c>
      <c r="Z127" s="382">
        <v>3.3861274429249022E-2</v>
      </c>
      <c r="AA127" s="372">
        <v>88623.189394100002</v>
      </c>
      <c r="AB127" s="372">
        <v>96906.593223799995</v>
      </c>
      <c r="AC127" s="372">
        <v>110318.9270595</v>
      </c>
      <c r="AD127" s="372">
        <v>116125.4792073</v>
      </c>
      <c r="AE127" s="372">
        <v>122374.58</v>
      </c>
      <c r="AF127" s="372">
        <v>127915.85</v>
      </c>
      <c r="AG127" s="372">
        <v>132671.18</v>
      </c>
      <c r="AH127" s="372">
        <v>0</v>
      </c>
    </row>
    <row r="128" spans="1:34">
      <c r="A128" s="372" t="s">
        <v>1629</v>
      </c>
      <c r="B128" s="373" t="s">
        <v>1630</v>
      </c>
      <c r="C128" s="372" t="s">
        <v>1631</v>
      </c>
      <c r="D128" s="374">
        <v>1101111516933</v>
      </c>
      <c r="E128" s="372" t="s">
        <v>1632</v>
      </c>
      <c r="F128" s="375" t="s">
        <v>1633</v>
      </c>
      <c r="G128" s="375" t="s">
        <v>1633</v>
      </c>
      <c r="H128" s="375" t="s">
        <v>1050</v>
      </c>
      <c r="I128" s="375" t="s">
        <v>755</v>
      </c>
      <c r="J128" s="375">
        <v>2308571.0928699998</v>
      </c>
      <c r="K128" s="375">
        <v>186378.43893999999</v>
      </c>
      <c r="L128" s="375">
        <v>185002.44633999999</v>
      </c>
      <c r="M128" s="375">
        <v>1052359.0092800001</v>
      </c>
      <c r="N128" s="372">
        <v>0.79900000000000004</v>
      </c>
      <c r="O128" s="703">
        <v>7.1943763596732797</v>
      </c>
      <c r="P128" s="375" t="s">
        <v>623</v>
      </c>
      <c r="Q128" s="372" t="s">
        <v>623</v>
      </c>
      <c r="R128" s="695">
        <v>20151002</v>
      </c>
      <c r="S128" s="372" t="s">
        <v>1634</v>
      </c>
      <c r="T128" s="696">
        <v>0.23100000000000001</v>
      </c>
      <c r="U128" s="375" t="s">
        <v>1635</v>
      </c>
      <c r="V128" s="722">
        <v>11.25</v>
      </c>
      <c r="W128" s="722">
        <v>2.71</v>
      </c>
      <c r="X128" s="722">
        <v>1.24</v>
      </c>
      <c r="Y128" s="722">
        <v>16.41</v>
      </c>
      <c r="Z128" s="382">
        <v>0.13023827102251384</v>
      </c>
      <c r="AA128" s="372">
        <v>16003.443150200001</v>
      </c>
      <c r="AB128" s="372">
        <v>18221.9431544</v>
      </c>
      <c r="AC128" s="372">
        <v>22207.518684300001</v>
      </c>
      <c r="AD128" s="372">
        <v>23085.710928699998</v>
      </c>
      <c r="AE128" s="372">
        <v>30199.33</v>
      </c>
      <c r="AF128" s="372">
        <v>34039.29</v>
      </c>
      <c r="AG128" s="372">
        <v>37672.400000000001</v>
      </c>
      <c r="AH128" s="372">
        <v>36367</v>
      </c>
    </row>
    <row r="129" spans="1:34">
      <c r="A129" s="372" t="s">
        <v>1636</v>
      </c>
      <c r="B129" s="373" t="s">
        <v>1637</v>
      </c>
      <c r="C129" s="372" t="s">
        <v>1638</v>
      </c>
      <c r="D129" s="374">
        <v>1101110026644</v>
      </c>
      <c r="E129" s="372" t="s">
        <v>1639</v>
      </c>
      <c r="F129" s="375" t="s">
        <v>1104</v>
      </c>
      <c r="G129" s="375" t="s">
        <v>1105</v>
      </c>
      <c r="H129" s="375" t="s">
        <v>832</v>
      </c>
      <c r="I129" s="375" t="s">
        <v>755</v>
      </c>
      <c r="J129" s="375">
        <v>4021343.0389399999</v>
      </c>
      <c r="K129" s="375">
        <v>152001.47721000001</v>
      </c>
      <c r="L129" s="375">
        <v>353677.27023999998</v>
      </c>
      <c r="M129" s="375">
        <v>6525132.0286400001</v>
      </c>
      <c r="N129" s="372">
        <v>0.97199999999999998</v>
      </c>
      <c r="O129" s="703">
        <v>14.579865021193738</v>
      </c>
      <c r="P129" s="375" t="s">
        <v>623</v>
      </c>
      <c r="Q129" s="375" t="s">
        <v>623</v>
      </c>
      <c r="R129" s="695">
        <v>19730430</v>
      </c>
      <c r="S129" s="375" t="s">
        <v>861</v>
      </c>
      <c r="T129" s="696">
        <v>0.26400000000000001</v>
      </c>
      <c r="U129" s="375" t="s">
        <v>1107</v>
      </c>
      <c r="V129" s="722">
        <v>14.13</v>
      </c>
      <c r="W129" s="722">
        <v>0.8</v>
      </c>
      <c r="X129" s="722">
        <v>0.7</v>
      </c>
      <c r="Y129" s="722">
        <v>23.54</v>
      </c>
      <c r="Z129" s="382">
        <v>9.0027415704576841E-2</v>
      </c>
      <c r="AA129" s="372">
        <v>49300.831498599997</v>
      </c>
      <c r="AB129" s="372">
        <v>53260.800072799997</v>
      </c>
      <c r="AC129" s="372">
        <v>44949.568066500004</v>
      </c>
      <c r="AD129" s="372">
        <v>40213.430389399997</v>
      </c>
      <c r="AE129" s="372">
        <v>45912</v>
      </c>
      <c r="AF129" s="372">
        <v>52137.599999999999</v>
      </c>
      <c r="AG129" s="372">
        <v>56770.25</v>
      </c>
      <c r="AH129" s="372">
        <v>0</v>
      </c>
    </row>
    <row r="130" spans="1:34">
      <c r="A130" s="372" t="s">
        <v>1640</v>
      </c>
      <c r="B130" s="373" t="s">
        <v>1641</v>
      </c>
      <c r="C130" s="372" t="s">
        <v>1642</v>
      </c>
      <c r="D130" s="374">
        <v>1101110145519</v>
      </c>
      <c r="E130" s="372" t="s">
        <v>1643</v>
      </c>
      <c r="F130" s="372" t="s">
        <v>1644</v>
      </c>
      <c r="G130" s="375" t="s">
        <v>1645</v>
      </c>
      <c r="H130" s="375" t="s">
        <v>853</v>
      </c>
      <c r="I130" s="375" t="s">
        <v>755</v>
      </c>
      <c r="J130" s="375">
        <v>3568466.18132</v>
      </c>
      <c r="K130" s="375">
        <v>91230.447820000001</v>
      </c>
      <c r="L130" s="375">
        <v>107369.05873999999</v>
      </c>
      <c r="M130" s="375">
        <v>608492.78018</v>
      </c>
      <c r="N130" s="372">
        <v>0.66700000000000004</v>
      </c>
      <c r="O130" s="703">
        <v>72.33827413235791</v>
      </c>
      <c r="P130" s="375" t="s">
        <v>623</v>
      </c>
      <c r="Q130" s="375" t="s">
        <v>623</v>
      </c>
      <c r="R130" s="695">
        <v>19910312</v>
      </c>
      <c r="S130" s="375" t="s">
        <v>1646</v>
      </c>
      <c r="T130" s="696">
        <v>0.23100000000000001</v>
      </c>
      <c r="U130" s="372" t="s">
        <v>1647</v>
      </c>
      <c r="V130" s="722">
        <v>17.16</v>
      </c>
      <c r="W130" s="722">
        <v>3.67</v>
      </c>
      <c r="X130" s="722">
        <v>0.73</v>
      </c>
      <c r="Y130" s="722">
        <v>30.43</v>
      </c>
      <c r="Z130" s="382">
        <v>0.11038271967340707</v>
      </c>
      <c r="AA130" s="372">
        <v>31880.653380100001</v>
      </c>
      <c r="AB130" s="372">
        <v>37791.290655600002</v>
      </c>
      <c r="AC130" s="372">
        <v>49220.087273600002</v>
      </c>
      <c r="AD130" s="372">
        <v>35684.6618132</v>
      </c>
      <c r="AE130" s="372">
        <v>44643.63</v>
      </c>
      <c r="AF130" s="372">
        <v>50667.69</v>
      </c>
      <c r="AG130" s="372">
        <v>54246.58</v>
      </c>
      <c r="AH130" s="372">
        <v>0</v>
      </c>
    </row>
    <row r="131" spans="1:34">
      <c r="A131" s="372" t="s">
        <v>1648</v>
      </c>
      <c r="B131" s="373" t="s">
        <v>1649</v>
      </c>
      <c r="C131" s="372" t="s">
        <v>1650</v>
      </c>
      <c r="D131" s="374">
        <v>1101110057574</v>
      </c>
      <c r="E131" s="372" t="s">
        <v>1651</v>
      </c>
      <c r="F131" s="372" t="s">
        <v>1652</v>
      </c>
      <c r="G131" s="375" t="s">
        <v>1652</v>
      </c>
      <c r="H131" s="375" t="s">
        <v>1327</v>
      </c>
      <c r="I131" s="375" t="s">
        <v>755</v>
      </c>
      <c r="J131" s="375">
        <v>3410559.3672500001</v>
      </c>
      <c r="K131" s="375">
        <v>212064.74346</v>
      </c>
      <c r="L131" s="375">
        <v>231128.41260000001</v>
      </c>
      <c r="M131" s="375">
        <v>2440801.7611699998</v>
      </c>
      <c r="N131" s="372">
        <v>0.35799999999999998</v>
      </c>
      <c r="O131" s="703">
        <v>2.6532391513688567</v>
      </c>
      <c r="P131" s="375" t="s">
        <v>623</v>
      </c>
      <c r="Q131" s="375" t="s">
        <v>623</v>
      </c>
      <c r="R131" s="695">
        <v>19760630</v>
      </c>
      <c r="S131" s="375" t="s">
        <v>1653</v>
      </c>
      <c r="T131" s="696">
        <v>0.23100000000000001</v>
      </c>
      <c r="U131" s="375" t="s">
        <v>1654</v>
      </c>
      <c r="V131" s="722">
        <v>7.53</v>
      </c>
      <c r="W131" s="722">
        <v>0.99</v>
      </c>
      <c r="X131" s="722">
        <v>0.73</v>
      </c>
      <c r="Y131" s="722">
        <v>14.4</v>
      </c>
      <c r="Z131" s="382">
        <v>4.2315060201130628E-2</v>
      </c>
      <c r="AA131" s="372">
        <v>26397.956333400001</v>
      </c>
      <c r="AB131" s="372">
        <v>26629.829882099999</v>
      </c>
      <c r="AC131" s="372">
        <v>31290.652080799999</v>
      </c>
      <c r="AD131" s="372">
        <v>34105.593672499999</v>
      </c>
      <c r="AE131" s="372">
        <v>35889.75</v>
      </c>
      <c r="AF131" s="372">
        <v>37886.18</v>
      </c>
      <c r="AG131" s="372">
        <v>40255.17</v>
      </c>
      <c r="AH131" s="372">
        <v>0</v>
      </c>
    </row>
    <row r="132" spans="1:34">
      <c r="A132" s="372" t="s">
        <v>1655</v>
      </c>
      <c r="B132" s="373" t="s">
        <v>1656</v>
      </c>
      <c r="C132" s="372" t="s">
        <v>1657</v>
      </c>
      <c r="D132" s="374">
        <v>1101110998629</v>
      </c>
      <c r="E132" s="372" t="s">
        <v>1658</v>
      </c>
      <c r="F132" s="375" t="s">
        <v>1195</v>
      </c>
      <c r="G132" s="375" t="s">
        <v>1196</v>
      </c>
      <c r="H132" s="375" t="s">
        <v>1388</v>
      </c>
      <c r="I132" s="375" t="s">
        <v>869</v>
      </c>
      <c r="J132" s="375">
        <v>316384.01947</v>
      </c>
      <c r="K132" s="375">
        <v>28334.755249999998</v>
      </c>
      <c r="L132" s="375">
        <v>50234.776129999998</v>
      </c>
      <c r="M132" s="375">
        <v>562459.51454</v>
      </c>
      <c r="N132" s="372">
        <v>1.1080000000000001</v>
      </c>
      <c r="O132" s="703">
        <v>0.3119200999515353</v>
      </c>
      <c r="P132" s="375" t="s">
        <v>623</v>
      </c>
      <c r="Q132" s="375" t="s">
        <v>623</v>
      </c>
      <c r="R132" s="695">
        <v>20000822</v>
      </c>
      <c r="S132" s="375" t="s">
        <v>1659</v>
      </c>
      <c r="T132" s="696">
        <v>0.23100000000000001</v>
      </c>
      <c r="U132" s="375" t="s">
        <v>1660</v>
      </c>
      <c r="V132" s="722">
        <v>52.23</v>
      </c>
      <c r="W132" s="722">
        <v>3.3</v>
      </c>
      <c r="X132" s="722">
        <v>5.95</v>
      </c>
      <c r="Y132" s="722">
        <v>51.43</v>
      </c>
      <c r="Z132" s="382">
        <v>0.19948115310236858</v>
      </c>
      <c r="AA132" s="372">
        <v>3251.2413937000001</v>
      </c>
      <c r="AB132" s="372">
        <v>3908.6018967</v>
      </c>
      <c r="AC132" s="372">
        <v>4471.5758974</v>
      </c>
      <c r="AD132" s="372">
        <v>3163.8401947000002</v>
      </c>
      <c r="AE132" s="372">
        <v>4156.17</v>
      </c>
      <c r="AF132" s="372">
        <v>5298.33</v>
      </c>
      <c r="AG132" s="372">
        <v>6549.2</v>
      </c>
      <c r="AH132" s="372">
        <v>7370</v>
      </c>
    </row>
    <row r="133" spans="1:34">
      <c r="A133" s="372" t="s">
        <v>1661</v>
      </c>
      <c r="B133" s="373" t="s">
        <v>1662</v>
      </c>
      <c r="C133" s="372" t="s">
        <v>1663</v>
      </c>
      <c r="D133" s="374">
        <v>1101110000086</v>
      </c>
      <c r="E133" s="372" t="s">
        <v>1664</v>
      </c>
      <c r="F133" s="375" t="s">
        <v>1665</v>
      </c>
      <c r="G133" s="375" t="s">
        <v>1666</v>
      </c>
      <c r="H133" s="375" t="s">
        <v>853</v>
      </c>
      <c r="I133" s="375" t="s">
        <v>755</v>
      </c>
      <c r="J133" s="375">
        <v>14555863.88029</v>
      </c>
      <c r="K133" s="375">
        <v>508404.73164000001</v>
      </c>
      <c r="L133" s="375">
        <v>183960.74496000001</v>
      </c>
      <c r="M133" s="375">
        <v>10836449.71881</v>
      </c>
      <c r="N133" s="372">
        <v>0.84499999999999997</v>
      </c>
      <c r="O133" s="703">
        <v>723.58572566086184</v>
      </c>
      <c r="P133" s="375" t="s">
        <v>623</v>
      </c>
      <c r="Q133" s="375" t="s">
        <v>623</v>
      </c>
      <c r="R133" s="695">
        <v>20060209</v>
      </c>
      <c r="S133" s="375" t="s">
        <v>1667</v>
      </c>
      <c r="T133" s="696">
        <v>0.23100000000000001</v>
      </c>
      <c r="U133" s="375" t="s">
        <v>1668</v>
      </c>
      <c r="V133" s="722">
        <v>8.76</v>
      </c>
      <c r="W133" s="722">
        <v>0.22</v>
      </c>
      <c r="X133" s="722">
        <v>0.15</v>
      </c>
      <c r="Y133" s="722">
        <v>12.17</v>
      </c>
      <c r="Z133" s="382">
        <v>1.0367652663924698E-2</v>
      </c>
      <c r="AA133" s="372">
        <v>161843.81959950001</v>
      </c>
      <c r="AB133" s="372">
        <v>155735.50042659999</v>
      </c>
      <c r="AC133" s="372">
        <v>154760.3565655</v>
      </c>
      <c r="AD133" s="372">
        <v>145558.63880290001</v>
      </c>
      <c r="AE133" s="372">
        <v>149579.92000000001</v>
      </c>
      <c r="AF133" s="372">
        <v>153071.69</v>
      </c>
      <c r="AG133" s="372">
        <v>151689.57</v>
      </c>
      <c r="AH133" s="372">
        <v>0</v>
      </c>
    </row>
    <row r="134" spans="1:34">
      <c r="A134" s="372" t="s">
        <v>1669</v>
      </c>
      <c r="B134" s="373" t="s">
        <v>1670</v>
      </c>
      <c r="C134" s="372" t="s">
        <v>1671</v>
      </c>
      <c r="D134" s="374">
        <v>1101110026206</v>
      </c>
      <c r="E134" s="372" t="s">
        <v>1672</v>
      </c>
      <c r="F134" s="372" t="s">
        <v>1673</v>
      </c>
      <c r="G134" s="375" t="s">
        <v>1673</v>
      </c>
      <c r="H134" s="375" t="s">
        <v>754</v>
      </c>
      <c r="I134" s="375" t="s">
        <v>755</v>
      </c>
      <c r="J134" s="375">
        <v>1154223.63894</v>
      </c>
      <c r="K134" s="375">
        <v>265437.45637999999</v>
      </c>
      <c r="L134" s="375">
        <v>305900.25936999999</v>
      </c>
      <c r="M134" s="375">
        <v>1740082.43774</v>
      </c>
      <c r="N134" s="372">
        <v>1.256</v>
      </c>
      <c r="O134" s="703">
        <v>6.6127514285702489</v>
      </c>
      <c r="P134" s="375" t="s">
        <v>623</v>
      </c>
      <c r="Q134" s="375" t="s">
        <v>623</v>
      </c>
      <c r="R134" s="695">
        <v>19751212</v>
      </c>
      <c r="S134" s="375" t="s">
        <v>1674</v>
      </c>
      <c r="T134" s="696">
        <v>0.26400000000000001</v>
      </c>
      <c r="U134" s="375" t="s">
        <v>1675</v>
      </c>
      <c r="V134" s="722">
        <v>6.52</v>
      </c>
      <c r="W134" s="722">
        <v>1.4</v>
      </c>
      <c r="X134" s="722">
        <v>2.2599999999999998</v>
      </c>
      <c r="Y134" s="722">
        <v>9.8699999999999992</v>
      </c>
      <c r="Z134" s="382">
        <v>4.8318384865875252E-2</v>
      </c>
      <c r="AA134" s="372">
        <v>9359.1976648</v>
      </c>
      <c r="AB134" s="372">
        <v>12146.820401700001</v>
      </c>
      <c r="AC134" s="372">
        <v>16694.7672227</v>
      </c>
      <c r="AD134" s="372">
        <v>11542.236389399999</v>
      </c>
      <c r="AE134" s="372">
        <v>11036.67</v>
      </c>
      <c r="AF134" s="372">
        <v>12976.67</v>
      </c>
      <c r="AG134" s="372">
        <v>13940</v>
      </c>
      <c r="AH134" s="372">
        <v>0</v>
      </c>
    </row>
    <row r="135" spans="1:34">
      <c r="A135" s="372" t="s">
        <v>1676</v>
      </c>
      <c r="B135" s="373" t="s">
        <v>1677</v>
      </c>
      <c r="C135" s="372" t="s">
        <v>1678</v>
      </c>
      <c r="D135" s="374">
        <v>2101110091498</v>
      </c>
      <c r="E135" s="372" t="s">
        <v>1679</v>
      </c>
      <c r="F135" s="375" t="s">
        <v>860</v>
      </c>
      <c r="G135" s="375" t="s">
        <v>861</v>
      </c>
      <c r="H135" s="375" t="s">
        <v>862</v>
      </c>
      <c r="I135" s="375" t="s">
        <v>755</v>
      </c>
      <c r="J135" s="375">
        <v>3395912</v>
      </c>
      <c r="K135" s="375">
        <v>799978</v>
      </c>
      <c r="L135" s="375">
        <v>799500</v>
      </c>
      <c r="M135" s="375">
        <v>5115950</v>
      </c>
      <c r="N135" s="372">
        <v>0.98199999999999998</v>
      </c>
      <c r="O135" s="703">
        <v>523.18285659763103</v>
      </c>
      <c r="P135" s="375" t="s">
        <v>623</v>
      </c>
      <c r="Q135" s="375" t="s">
        <v>623</v>
      </c>
      <c r="R135" s="695">
        <v>20130718</v>
      </c>
      <c r="S135" s="375" t="s">
        <v>1680</v>
      </c>
      <c r="T135" s="696">
        <v>0.26400000000000001</v>
      </c>
      <c r="U135" s="375" t="s">
        <v>1681</v>
      </c>
      <c r="V135" s="722">
        <v>0</v>
      </c>
      <c r="W135" s="722">
        <v>0.44</v>
      </c>
      <c r="X135" s="722">
        <v>0.53</v>
      </c>
      <c r="Y135" s="722">
        <v>3.83</v>
      </c>
      <c r="Z135" s="382">
        <v>3.0709498368553412E-2</v>
      </c>
      <c r="AA135" s="372">
        <v>18135.34</v>
      </c>
      <c r="AB135" s="372">
        <v>18995.560000000001</v>
      </c>
      <c r="AC135" s="372">
        <v>25262.41</v>
      </c>
      <c r="AD135" s="372">
        <v>33959.120000000003</v>
      </c>
      <c r="AE135" s="372">
        <v>36552</v>
      </c>
      <c r="AF135" s="372">
        <v>37277</v>
      </c>
      <c r="AG135" s="372">
        <v>38326.71</v>
      </c>
      <c r="AH135" s="372">
        <v>0</v>
      </c>
    </row>
    <row r="136" spans="1:34">
      <c r="A136" s="372" t="s">
        <v>1682</v>
      </c>
      <c r="B136" s="373" t="s">
        <v>1683</v>
      </c>
      <c r="C136" s="372" t="s">
        <v>1684</v>
      </c>
      <c r="D136" s="374">
        <v>1101114594952</v>
      </c>
      <c r="E136" s="372" t="s">
        <v>1685</v>
      </c>
      <c r="F136" s="375" t="s">
        <v>1665</v>
      </c>
      <c r="G136" s="375" t="s">
        <v>1686</v>
      </c>
      <c r="H136" s="375" t="s">
        <v>853</v>
      </c>
      <c r="I136" s="375" t="s">
        <v>755</v>
      </c>
      <c r="J136" s="375">
        <v>29472247.894450001</v>
      </c>
      <c r="K136" s="375">
        <v>-46935.431340000003</v>
      </c>
      <c r="L136" s="375">
        <v>-212288.87916000001</v>
      </c>
      <c r="M136" s="375">
        <v>13834230.77028</v>
      </c>
      <c r="N136" s="372">
        <v>0.94099999999999995</v>
      </c>
      <c r="O136" s="703">
        <v>676.25892812823042</v>
      </c>
      <c r="P136" s="375" t="s">
        <v>623</v>
      </c>
      <c r="Q136" s="375" t="s">
        <v>623</v>
      </c>
      <c r="R136" s="695">
        <v>20110610</v>
      </c>
      <c r="S136" s="375" t="s">
        <v>1687</v>
      </c>
      <c r="T136" s="696" t="s">
        <v>772</v>
      </c>
      <c r="U136" s="375" t="s">
        <v>1688</v>
      </c>
      <c r="V136" s="722">
        <v>8.73</v>
      </c>
      <c r="W136" s="722">
        <v>0.18</v>
      </c>
      <c r="X136" s="722">
        <v>7.0000000000000007E-2</v>
      </c>
      <c r="Y136" s="722" t="s">
        <v>774</v>
      </c>
      <c r="Z136" s="382">
        <v>2.3228703556674946E-2</v>
      </c>
      <c r="AA136" s="372">
        <v>220330.0998086</v>
      </c>
      <c r="AB136" s="372">
        <v>249326.80935669999</v>
      </c>
      <c r="AC136" s="372">
        <v>293324.13845879998</v>
      </c>
      <c r="AD136" s="372">
        <v>294722.47894449998</v>
      </c>
      <c r="AE136" s="372">
        <v>304623.93</v>
      </c>
      <c r="AF136" s="372">
        <v>317149</v>
      </c>
      <c r="AG136" s="372">
        <v>323075.57</v>
      </c>
      <c r="AH136" s="372">
        <v>0</v>
      </c>
    </row>
    <row r="137" spans="1:34">
      <c r="A137" s="372" t="s">
        <v>1689</v>
      </c>
      <c r="B137" s="373" t="s">
        <v>1690</v>
      </c>
      <c r="C137" s="372" t="s">
        <v>1691</v>
      </c>
      <c r="D137" s="374">
        <v>1341110195582</v>
      </c>
      <c r="E137" s="372" t="s">
        <v>1692</v>
      </c>
      <c r="F137" s="375" t="s">
        <v>1013</v>
      </c>
      <c r="G137" s="375" t="s">
        <v>1225</v>
      </c>
      <c r="H137" s="375" t="s">
        <v>1693</v>
      </c>
      <c r="I137" s="375" t="s">
        <v>869</v>
      </c>
      <c r="J137" s="375">
        <v>333484.52299999999</v>
      </c>
      <c r="K137" s="375">
        <v>-16350.059649999999</v>
      </c>
      <c r="L137" s="375">
        <v>22141.566459999998</v>
      </c>
      <c r="M137" s="375">
        <v>724990.44952000002</v>
      </c>
      <c r="N137" s="372">
        <v>0.89800000000000002</v>
      </c>
      <c r="O137" s="703">
        <v>12.584110159014125</v>
      </c>
      <c r="P137" s="375" t="s">
        <v>623</v>
      </c>
      <c r="Q137" s="375" t="s">
        <v>623</v>
      </c>
      <c r="R137" s="695">
        <v>20170914</v>
      </c>
      <c r="S137" s="375" t="s">
        <v>1694</v>
      </c>
      <c r="T137" s="696">
        <v>0.23100000000000001</v>
      </c>
      <c r="U137" s="375" t="s">
        <v>1695</v>
      </c>
      <c r="V137" s="722">
        <v>256.68</v>
      </c>
      <c r="W137" s="722">
        <v>3.28</v>
      </c>
      <c r="X137" s="722">
        <v>7.47</v>
      </c>
      <c r="Y137" s="722">
        <v>163.71</v>
      </c>
      <c r="Z137" s="382">
        <v>0.15833601325647506</v>
      </c>
      <c r="AA137" s="372">
        <v>4887.6884375</v>
      </c>
      <c r="AB137" s="372">
        <v>4037.8946399000001</v>
      </c>
      <c r="AC137" s="372">
        <v>3856.801238</v>
      </c>
      <c r="AD137" s="372">
        <v>3334.8452299999999</v>
      </c>
      <c r="AE137" s="372">
        <v>3443.64</v>
      </c>
      <c r="AF137" s="372">
        <v>6126.07</v>
      </c>
      <c r="AG137" s="372">
        <v>6003.63</v>
      </c>
      <c r="AH137" s="372">
        <v>0</v>
      </c>
    </row>
    <row r="138" spans="1:34">
      <c r="A138" s="372" t="s">
        <v>1696</v>
      </c>
      <c r="B138" s="373" t="s">
        <v>1697</v>
      </c>
      <c r="C138" s="372" t="s">
        <v>1698</v>
      </c>
      <c r="D138" s="374">
        <v>1101110221814</v>
      </c>
      <c r="E138" s="372" t="s">
        <v>1699</v>
      </c>
      <c r="F138" s="375" t="s">
        <v>1700</v>
      </c>
      <c r="G138" s="375" t="s">
        <v>1701</v>
      </c>
      <c r="H138" s="375" t="s">
        <v>832</v>
      </c>
      <c r="I138" s="375" t="s">
        <v>755</v>
      </c>
      <c r="J138" s="375">
        <v>6288442.6137100002</v>
      </c>
      <c r="K138" s="375">
        <v>312530.20393000002</v>
      </c>
      <c r="L138" s="375">
        <v>244435.77885</v>
      </c>
      <c r="M138" s="375">
        <v>5447529.4095099997</v>
      </c>
      <c r="N138" s="372">
        <v>1.2909999999999999</v>
      </c>
      <c r="O138" s="703">
        <v>286.00962137622741</v>
      </c>
      <c r="P138" s="375" t="s">
        <v>623</v>
      </c>
      <c r="Q138" s="375" t="s">
        <v>623</v>
      </c>
      <c r="R138" s="695">
        <v>19730625</v>
      </c>
      <c r="S138" s="375" t="s">
        <v>1702</v>
      </c>
      <c r="T138" s="696">
        <v>0.23100000000000001</v>
      </c>
      <c r="U138" s="375" t="s">
        <v>1703</v>
      </c>
      <c r="V138" s="722">
        <v>7.93</v>
      </c>
      <c r="W138" s="722">
        <v>0.37</v>
      </c>
      <c r="X138" s="722">
        <v>0.32</v>
      </c>
      <c r="Y138" s="722">
        <v>9.5500000000000007</v>
      </c>
      <c r="Z138" s="382">
        <v>2.9592369599936719E-2</v>
      </c>
      <c r="AA138" s="372">
        <v>50836.3149299</v>
      </c>
      <c r="AB138" s="372">
        <v>58748.9929233</v>
      </c>
      <c r="AC138" s="372">
        <v>67747.936512200002</v>
      </c>
      <c r="AD138" s="372">
        <v>62884.426137100003</v>
      </c>
      <c r="AE138" s="372">
        <v>64753</v>
      </c>
      <c r="AF138" s="372">
        <v>67583.67</v>
      </c>
      <c r="AG138" s="372">
        <v>70665</v>
      </c>
      <c r="AH138" s="372">
        <v>0</v>
      </c>
    </row>
    <row r="139" spans="1:34">
      <c r="A139" s="372" t="s">
        <v>1704</v>
      </c>
      <c r="B139" s="373" t="s">
        <v>1705</v>
      </c>
      <c r="C139" s="372" t="s">
        <v>1706</v>
      </c>
      <c r="D139" s="374">
        <v>1311110597525</v>
      </c>
      <c r="E139" s="372" t="s">
        <v>1707</v>
      </c>
      <c r="F139" s="375" t="s">
        <v>1368</v>
      </c>
      <c r="G139" s="375" t="s">
        <v>1368</v>
      </c>
      <c r="H139" s="375" t="s">
        <v>868</v>
      </c>
      <c r="I139" s="375" t="s">
        <v>869</v>
      </c>
      <c r="J139" s="375">
        <v>844029.12245999998</v>
      </c>
      <c r="K139" s="375">
        <v>133488.37625</v>
      </c>
      <c r="L139" s="375">
        <v>161303.66183999999</v>
      </c>
      <c r="M139" s="375">
        <v>918822.16238999995</v>
      </c>
      <c r="N139" s="372">
        <v>0.97399999999999998</v>
      </c>
      <c r="O139" s="703">
        <v>7.207849601638773E-2</v>
      </c>
      <c r="P139" s="375" t="s">
        <v>623</v>
      </c>
      <c r="Q139" s="372" t="s">
        <v>623</v>
      </c>
      <c r="R139" s="695">
        <v>20200806</v>
      </c>
      <c r="S139" s="372" t="s">
        <v>1708</v>
      </c>
      <c r="T139" s="696">
        <v>0.23100000000000001</v>
      </c>
      <c r="U139" s="372" t="s">
        <v>1709</v>
      </c>
      <c r="V139" s="722">
        <v>12.33</v>
      </c>
      <c r="W139" s="722">
        <v>2.63</v>
      </c>
      <c r="X139" s="722">
        <v>2.8</v>
      </c>
      <c r="Y139" s="722">
        <v>18.14</v>
      </c>
      <c r="Z139" s="382">
        <v>8.8900716388891965E-2</v>
      </c>
      <c r="AA139" s="372">
        <v>4700.6753213000002</v>
      </c>
      <c r="AB139" s="372">
        <v>10239.1337045</v>
      </c>
      <c r="AC139" s="372">
        <v>10908.674465100001</v>
      </c>
      <c r="AD139" s="372">
        <v>8440.2912245999996</v>
      </c>
      <c r="AE139" s="372">
        <v>9066.14</v>
      </c>
      <c r="AF139" s="372">
        <v>10783.14</v>
      </c>
      <c r="AG139" s="372">
        <v>11866.17</v>
      </c>
      <c r="AH139" s="372">
        <v>13330</v>
      </c>
    </row>
    <row r="140" spans="1:34">
      <c r="A140" s="372" t="s">
        <v>1710</v>
      </c>
      <c r="B140" s="373" t="s">
        <v>1711</v>
      </c>
      <c r="C140" s="372" t="s">
        <v>1712</v>
      </c>
      <c r="D140" s="374">
        <v>1101110139017</v>
      </c>
      <c r="E140" s="372" t="s">
        <v>1713</v>
      </c>
      <c r="F140" s="375" t="s">
        <v>1714</v>
      </c>
      <c r="G140" s="375" t="s">
        <v>1714</v>
      </c>
      <c r="H140" s="375" t="s">
        <v>823</v>
      </c>
      <c r="I140" s="375" t="s">
        <v>755</v>
      </c>
      <c r="J140" s="375">
        <v>4138274.7960299999</v>
      </c>
      <c r="K140" s="375">
        <v>307522.76640999998</v>
      </c>
      <c r="L140" s="375">
        <v>284822.68712999998</v>
      </c>
      <c r="M140" s="375">
        <v>1297763.75581</v>
      </c>
      <c r="N140" s="372">
        <v>0.48699999999999999</v>
      </c>
      <c r="O140" s="703">
        <v>9.0131355843249228</v>
      </c>
      <c r="P140" s="375" t="s">
        <v>623</v>
      </c>
      <c r="Q140" s="372" t="s">
        <v>623</v>
      </c>
      <c r="R140" s="695">
        <v>19980303</v>
      </c>
      <c r="S140" s="372" t="s">
        <v>1715</v>
      </c>
      <c r="T140" s="696">
        <v>0.23100000000000001</v>
      </c>
      <c r="U140" s="372" t="s">
        <v>1716</v>
      </c>
      <c r="V140" s="722">
        <v>5.75</v>
      </c>
      <c r="W140" s="722">
        <v>1.4</v>
      </c>
      <c r="X140" s="722">
        <v>0.53</v>
      </c>
      <c r="Y140" s="722">
        <v>11.69</v>
      </c>
      <c r="Z140" s="382">
        <v>3.6927157828196E-2</v>
      </c>
      <c r="AA140" s="372">
        <v>27479.2188102</v>
      </c>
      <c r="AB140" s="372">
        <v>33257.123075199997</v>
      </c>
      <c r="AC140" s="372">
        <v>42533.672599999998</v>
      </c>
      <c r="AD140" s="372">
        <v>41382.747960300003</v>
      </c>
      <c r="AE140" s="372">
        <v>44006.29</v>
      </c>
      <c r="AF140" s="372">
        <v>46120.14</v>
      </c>
      <c r="AG140" s="372">
        <v>47842.33</v>
      </c>
      <c r="AH140" s="372">
        <v>0</v>
      </c>
    </row>
    <row r="141" spans="1:34">
      <c r="A141" s="372" t="s">
        <v>1717</v>
      </c>
      <c r="B141" s="373" t="s">
        <v>1718</v>
      </c>
      <c r="C141" s="372" t="s">
        <v>1719</v>
      </c>
      <c r="D141" s="374">
        <v>1101110221939</v>
      </c>
      <c r="E141" s="372" t="s">
        <v>1720</v>
      </c>
      <c r="F141" s="375" t="s">
        <v>1721</v>
      </c>
      <c r="G141" s="375" t="s">
        <v>1721</v>
      </c>
      <c r="H141" s="375" t="s">
        <v>823</v>
      </c>
      <c r="I141" s="375" t="s">
        <v>755</v>
      </c>
      <c r="J141" s="375">
        <v>2620810.5415099999</v>
      </c>
      <c r="K141" s="375">
        <v>212609.32068999999</v>
      </c>
      <c r="L141" s="375">
        <v>216262.48790000001</v>
      </c>
      <c r="M141" s="375">
        <v>1597906.76865</v>
      </c>
      <c r="N141" s="372">
        <v>0.61899999999999999</v>
      </c>
      <c r="O141" s="703">
        <v>1.9214517835884075</v>
      </c>
      <c r="P141" s="375" t="s">
        <v>623</v>
      </c>
      <c r="Q141" s="375" t="s">
        <v>623</v>
      </c>
      <c r="R141" s="695">
        <v>19960130</v>
      </c>
      <c r="S141" s="375" t="s">
        <v>1722</v>
      </c>
      <c r="T141" s="696">
        <v>0.23100000000000001</v>
      </c>
      <c r="U141" s="375" t="s">
        <v>1723</v>
      </c>
      <c r="V141" s="722">
        <v>5.89</v>
      </c>
      <c r="W141" s="722">
        <v>1.3</v>
      </c>
      <c r="X141" s="722">
        <v>0.87</v>
      </c>
      <c r="Y141" s="722">
        <v>12.03</v>
      </c>
      <c r="Z141" s="382">
        <v>4.5121993664880566E-2</v>
      </c>
      <c r="AA141" s="372">
        <v>22233.405093400001</v>
      </c>
      <c r="AB141" s="372">
        <v>23124.890589999999</v>
      </c>
      <c r="AC141" s="372">
        <v>24679.602765700001</v>
      </c>
      <c r="AD141" s="372">
        <v>26208.105415099999</v>
      </c>
      <c r="AE141" s="372">
        <v>27707.67</v>
      </c>
      <c r="AF141" s="372">
        <v>29401.200000000001</v>
      </c>
      <c r="AG141" s="372">
        <v>31268.25</v>
      </c>
      <c r="AH141" s="372">
        <v>0</v>
      </c>
    </row>
    <row r="142" spans="1:34">
      <c r="A142" s="372" t="s">
        <v>1724</v>
      </c>
      <c r="B142" s="373" t="s">
        <v>1725</v>
      </c>
      <c r="C142" s="372" t="s">
        <v>1726</v>
      </c>
      <c r="D142" s="374">
        <v>1942110003096</v>
      </c>
      <c r="E142" s="372" t="s">
        <v>1727</v>
      </c>
      <c r="F142" s="375" t="s">
        <v>1728</v>
      </c>
      <c r="G142" s="375" t="s">
        <v>1729</v>
      </c>
      <c r="H142" s="375" t="s">
        <v>868</v>
      </c>
      <c r="I142" s="375" t="s">
        <v>869</v>
      </c>
      <c r="J142" s="375">
        <v>833704.09877000004</v>
      </c>
      <c r="K142" s="375">
        <v>28414.044129999998</v>
      </c>
      <c r="L142" s="375">
        <v>28362.192899999998</v>
      </c>
      <c r="M142" s="375">
        <v>307573.59969</v>
      </c>
      <c r="N142" s="372">
        <v>0.65700000000000003</v>
      </c>
      <c r="O142" s="703">
        <v>10.284052901160786</v>
      </c>
      <c r="P142" s="375" t="s">
        <v>623</v>
      </c>
      <c r="Q142" s="375" t="s">
        <v>623</v>
      </c>
      <c r="R142" s="695">
        <v>20040804</v>
      </c>
      <c r="S142" s="375" t="s">
        <v>1730</v>
      </c>
      <c r="T142" s="696">
        <v>0.23100000000000001</v>
      </c>
      <c r="U142" s="375" t="s">
        <v>1731</v>
      </c>
      <c r="V142" s="722">
        <v>28.32</v>
      </c>
      <c r="W142" s="722">
        <v>5.43</v>
      </c>
      <c r="X142" s="722">
        <v>1.36</v>
      </c>
      <c r="Y142" s="722">
        <v>90.27</v>
      </c>
      <c r="Z142" s="382" t="s">
        <v>934</v>
      </c>
      <c r="AA142" s="372">
        <v>4930.6948325000003</v>
      </c>
      <c r="AB142" s="372">
        <v>7374.8810251000004</v>
      </c>
      <c r="AC142" s="372">
        <v>7934.2401983999998</v>
      </c>
      <c r="AD142" s="372">
        <v>8337.0409877000002</v>
      </c>
      <c r="AE142" s="372">
        <v>10624</v>
      </c>
      <c r="AF142" s="372">
        <v>0</v>
      </c>
      <c r="AG142" s="372">
        <v>0</v>
      </c>
      <c r="AH142" s="372">
        <v>0</v>
      </c>
    </row>
    <row r="143" spans="1:34">
      <c r="A143" s="372" t="s">
        <v>1732</v>
      </c>
      <c r="B143" s="373" t="s">
        <v>1733</v>
      </c>
      <c r="C143" s="372" t="s">
        <v>1734</v>
      </c>
      <c r="D143" s="374">
        <v>1341110570437</v>
      </c>
      <c r="E143" s="372" t="s">
        <v>1735</v>
      </c>
      <c r="F143" s="375" t="s">
        <v>1286</v>
      </c>
      <c r="G143" s="375" t="s">
        <v>1736</v>
      </c>
      <c r="H143" s="375" t="s">
        <v>868</v>
      </c>
      <c r="I143" s="375" t="s">
        <v>869</v>
      </c>
      <c r="J143" s="375">
        <v>0</v>
      </c>
      <c r="K143" s="375">
        <v>0</v>
      </c>
      <c r="L143" s="375">
        <v>0</v>
      </c>
      <c r="M143" s="375">
        <v>203059.84255999999</v>
      </c>
      <c r="N143" s="372" t="s">
        <v>1033</v>
      </c>
      <c r="O143" s="703">
        <v>1.6405286798241707</v>
      </c>
      <c r="P143" s="375" t="s">
        <v>623</v>
      </c>
      <c r="Q143" s="375" t="s">
        <v>623</v>
      </c>
      <c r="R143" s="695">
        <v>20231212</v>
      </c>
      <c r="S143" s="375" t="s">
        <v>1737</v>
      </c>
      <c r="T143" s="696" t="s">
        <v>772</v>
      </c>
      <c r="U143" s="375" t="s">
        <v>1738</v>
      </c>
      <c r="V143" s="722">
        <v>0</v>
      </c>
      <c r="W143" s="722">
        <v>16.62</v>
      </c>
      <c r="X143" s="722">
        <v>0</v>
      </c>
      <c r="Y143" s="722">
        <v>0</v>
      </c>
      <c r="Z143" s="382" t="s">
        <v>934</v>
      </c>
      <c r="AA143" s="372">
        <v>0</v>
      </c>
      <c r="AB143" s="372">
        <v>426.61613740000001</v>
      </c>
      <c r="AC143" s="372">
        <v>1619.8719123000001</v>
      </c>
      <c r="AD143" s="372">
        <v>1368.8468373000001</v>
      </c>
      <c r="AE143" s="372">
        <v>2004</v>
      </c>
      <c r="AF143" s="372">
        <v>0</v>
      </c>
      <c r="AG143" s="372">
        <v>0</v>
      </c>
      <c r="AH143" s="372">
        <v>0</v>
      </c>
    </row>
    <row r="144" spans="1:34">
      <c r="A144" s="372" t="s">
        <v>1739</v>
      </c>
      <c r="B144" s="373" t="s">
        <v>1740</v>
      </c>
      <c r="C144" s="372" t="s">
        <v>1741</v>
      </c>
      <c r="D144" s="374">
        <v>1311110351682</v>
      </c>
      <c r="E144" s="372" t="s">
        <v>1742</v>
      </c>
      <c r="F144" s="375" t="s">
        <v>1013</v>
      </c>
      <c r="G144" s="375" t="s">
        <v>1013</v>
      </c>
      <c r="H144" s="375" t="s">
        <v>1693</v>
      </c>
      <c r="I144" s="375" t="s">
        <v>869</v>
      </c>
      <c r="J144" s="375">
        <v>1025085.96428</v>
      </c>
      <c r="K144" s="375">
        <v>74516.883010000005</v>
      </c>
      <c r="L144" s="375">
        <v>-365121.87245999998</v>
      </c>
      <c r="M144" s="375">
        <v>1625527.7934999999</v>
      </c>
      <c r="N144" s="372">
        <v>1.119</v>
      </c>
      <c r="O144" s="703">
        <v>73.37766381897265</v>
      </c>
      <c r="P144" s="375" t="s">
        <v>623</v>
      </c>
      <c r="Q144" s="375" t="s">
        <v>623</v>
      </c>
      <c r="R144" s="695">
        <v>20200910</v>
      </c>
      <c r="S144" s="375" t="s">
        <v>1743</v>
      </c>
      <c r="T144" s="696" t="s">
        <v>772</v>
      </c>
      <c r="U144" s="375" t="s">
        <v>1744</v>
      </c>
      <c r="V144" s="722">
        <v>16.75</v>
      </c>
      <c r="W144" s="722">
        <v>1.47</v>
      </c>
      <c r="X144" s="722">
        <v>2.08</v>
      </c>
      <c r="Y144" s="722" t="s">
        <v>774</v>
      </c>
      <c r="Z144" s="382">
        <v>7.6868624254609053E-2</v>
      </c>
      <c r="AA144" s="372">
        <v>4955.2134708000003</v>
      </c>
      <c r="AB144" s="372">
        <v>10124.8121226</v>
      </c>
      <c r="AC144" s="372">
        <v>11476.926233599999</v>
      </c>
      <c r="AD144" s="372">
        <v>10250.8596428</v>
      </c>
      <c r="AE144" s="372">
        <v>11103.44</v>
      </c>
      <c r="AF144" s="372">
        <v>12799.72</v>
      </c>
      <c r="AG144" s="372">
        <v>13785.14</v>
      </c>
      <c r="AH144" s="372">
        <v>0</v>
      </c>
    </row>
    <row r="145" spans="1:34">
      <c r="A145" s="372" t="s">
        <v>1745</v>
      </c>
      <c r="B145" s="373" t="s">
        <v>1746</v>
      </c>
      <c r="C145" s="372" t="s">
        <v>1747</v>
      </c>
      <c r="D145" s="374">
        <v>1746110000981</v>
      </c>
      <c r="E145" s="372" t="s">
        <v>1748</v>
      </c>
      <c r="F145" s="372" t="s">
        <v>900</v>
      </c>
      <c r="G145" s="375" t="s">
        <v>901</v>
      </c>
      <c r="H145" s="375" t="s">
        <v>862</v>
      </c>
      <c r="I145" s="375" t="s">
        <v>755</v>
      </c>
      <c r="J145" s="375">
        <v>2649691.8930000002</v>
      </c>
      <c r="K145" s="375">
        <v>531217.29700000002</v>
      </c>
      <c r="L145" s="375">
        <v>532950.43700000003</v>
      </c>
      <c r="M145" s="375">
        <v>3814932.6340000001</v>
      </c>
      <c r="N145" s="372">
        <v>0.85099999999999998</v>
      </c>
      <c r="O145" s="703">
        <v>79.773262368343751</v>
      </c>
      <c r="P145" s="375" t="s">
        <v>623</v>
      </c>
      <c r="Q145" s="375" t="s">
        <v>623</v>
      </c>
      <c r="R145" s="695">
        <v>19850709</v>
      </c>
      <c r="S145" s="375" t="s">
        <v>1749</v>
      </c>
      <c r="T145" s="696">
        <v>0.26400000000000001</v>
      </c>
      <c r="U145" s="375" t="s">
        <v>15981</v>
      </c>
      <c r="V145" s="722">
        <v>3.43</v>
      </c>
      <c r="W145" s="722">
        <v>0.56000000000000005</v>
      </c>
      <c r="X145" s="722">
        <v>0.79</v>
      </c>
      <c r="Y145" s="722">
        <v>2.95</v>
      </c>
      <c r="Z145" s="382">
        <v>0.18706196662183783</v>
      </c>
      <c r="AA145" s="372">
        <v>20025.16778</v>
      </c>
      <c r="AB145" s="372">
        <v>32439.967519999998</v>
      </c>
      <c r="AC145" s="372">
        <v>27689.294000000002</v>
      </c>
      <c r="AD145" s="372">
        <v>26496.91893</v>
      </c>
      <c r="AE145" s="372">
        <v>33356.89</v>
      </c>
      <c r="AF145" s="372">
        <v>36847.33</v>
      </c>
      <c r="AG145" s="372">
        <v>52612.5</v>
      </c>
      <c r="AH145" s="372">
        <v>0</v>
      </c>
    </row>
    <row r="146" spans="1:34">
      <c r="A146" s="372" t="s">
        <v>1751</v>
      </c>
      <c r="B146" s="373" t="s">
        <v>1752</v>
      </c>
      <c r="C146" s="372" t="s">
        <v>1753</v>
      </c>
      <c r="D146" s="374">
        <v>1201110003848</v>
      </c>
      <c r="E146" s="372" t="s">
        <v>1754</v>
      </c>
      <c r="F146" s="375" t="s">
        <v>1614</v>
      </c>
      <c r="G146" s="375" t="s">
        <v>1615</v>
      </c>
      <c r="H146" s="375" t="s">
        <v>1388</v>
      </c>
      <c r="I146" s="375" t="s">
        <v>869</v>
      </c>
      <c r="J146" s="375">
        <v>1309924.43799</v>
      </c>
      <c r="K146" s="375">
        <v>176174.31607</v>
      </c>
      <c r="L146" s="375">
        <v>162943.10415999999</v>
      </c>
      <c r="M146" s="375">
        <v>835481.64676999999</v>
      </c>
      <c r="N146" s="372">
        <v>1.1339999999999999</v>
      </c>
      <c r="O146" s="703">
        <v>26.998975231499568</v>
      </c>
      <c r="P146" s="375" t="s">
        <v>623</v>
      </c>
      <c r="Q146" s="375" t="s">
        <v>623</v>
      </c>
      <c r="R146" s="695">
        <v>19991218</v>
      </c>
      <c r="S146" s="375" t="s">
        <v>1755</v>
      </c>
      <c r="T146" s="696">
        <v>0.23100000000000001</v>
      </c>
      <c r="U146" s="372" t="s">
        <v>1756</v>
      </c>
      <c r="V146" s="722">
        <v>9.76</v>
      </c>
      <c r="W146" s="722">
        <v>2.4700000000000002</v>
      </c>
      <c r="X146" s="722">
        <v>1.52</v>
      </c>
      <c r="Y146" s="722">
        <v>15.63</v>
      </c>
      <c r="Z146" s="382" t="s">
        <v>934</v>
      </c>
      <c r="AA146" s="372">
        <v>9378.0079967999991</v>
      </c>
      <c r="AB146" s="372">
        <v>11612.8407716</v>
      </c>
      <c r="AC146" s="372">
        <v>14572.148083</v>
      </c>
      <c r="AD146" s="372">
        <v>13099.244379899999</v>
      </c>
      <c r="AE146" s="372">
        <v>14550</v>
      </c>
      <c r="AF146" s="372">
        <v>14570</v>
      </c>
      <c r="AG146" s="372">
        <v>0</v>
      </c>
      <c r="AH146" s="372">
        <v>0</v>
      </c>
    </row>
    <row r="147" spans="1:34">
      <c r="A147" s="372" t="s">
        <v>1757</v>
      </c>
      <c r="B147" s="373" t="s">
        <v>1758</v>
      </c>
      <c r="C147" s="372" t="s">
        <v>1759</v>
      </c>
      <c r="D147" s="374">
        <v>1101114129585</v>
      </c>
      <c r="E147" s="372" t="s">
        <v>1760</v>
      </c>
      <c r="F147" s="375" t="s">
        <v>1761</v>
      </c>
      <c r="G147" s="375" t="s">
        <v>1761</v>
      </c>
      <c r="H147" s="375" t="s">
        <v>853</v>
      </c>
      <c r="I147" s="375" t="s">
        <v>755</v>
      </c>
      <c r="J147" s="375">
        <v>3604377.0254000002</v>
      </c>
      <c r="K147" s="375">
        <v>637146.36883000005</v>
      </c>
      <c r="L147" s="375">
        <v>681632.54443999997</v>
      </c>
      <c r="M147" s="375">
        <v>3587970.5205000001</v>
      </c>
      <c r="N147" s="372">
        <v>0.72499999999999998</v>
      </c>
      <c r="O147" s="703">
        <v>40.695872760929383</v>
      </c>
      <c r="P147" s="375" t="s">
        <v>623</v>
      </c>
      <c r="Q147" s="375" t="s">
        <v>623</v>
      </c>
      <c r="R147" s="695">
        <v>20090730</v>
      </c>
      <c r="S147" s="375" t="s">
        <v>1762</v>
      </c>
      <c r="T147" s="696">
        <v>0.26400000000000001</v>
      </c>
      <c r="U147" s="375" t="s">
        <v>1763</v>
      </c>
      <c r="V147" s="722">
        <v>3.21</v>
      </c>
      <c r="W147" s="722">
        <v>0.62</v>
      </c>
      <c r="X147" s="722">
        <v>0.56000000000000005</v>
      </c>
      <c r="Y147" s="722">
        <v>3.92</v>
      </c>
      <c r="Z147" s="382">
        <v>9.545336230030399E-3</v>
      </c>
      <c r="AA147" s="372">
        <v>24663.744292700001</v>
      </c>
      <c r="AB147" s="372">
        <v>27925.1846343</v>
      </c>
      <c r="AC147" s="372">
        <v>39109.609038199997</v>
      </c>
      <c r="AD147" s="372">
        <v>36043.770254000003</v>
      </c>
      <c r="AE147" s="372">
        <v>35102.33</v>
      </c>
      <c r="AF147" s="372">
        <v>36783.83</v>
      </c>
      <c r="AG147" s="372">
        <v>37439.800000000003</v>
      </c>
      <c r="AH147" s="372">
        <v>0</v>
      </c>
    </row>
    <row r="148" spans="1:34">
      <c r="A148" s="372" t="s">
        <v>1764</v>
      </c>
      <c r="B148" s="373" t="s">
        <v>1765</v>
      </c>
      <c r="C148" s="372" t="s">
        <v>1766</v>
      </c>
      <c r="D148" s="374">
        <v>1101115618355</v>
      </c>
      <c r="E148" s="372" t="s">
        <v>1767</v>
      </c>
      <c r="F148" s="375" t="s">
        <v>1768</v>
      </c>
      <c r="G148" s="375" t="s">
        <v>1768</v>
      </c>
      <c r="H148" s="375" t="s">
        <v>868</v>
      </c>
      <c r="I148" s="375" t="s">
        <v>869</v>
      </c>
      <c r="J148" s="375">
        <v>180122.79801</v>
      </c>
      <c r="K148" s="375">
        <v>89622.382060000004</v>
      </c>
      <c r="L148" s="375">
        <v>93841.844379999995</v>
      </c>
      <c r="M148" s="375">
        <v>283500.49965999997</v>
      </c>
      <c r="N148" s="372">
        <v>0.92400000000000004</v>
      </c>
      <c r="O148" s="703">
        <v>2.7020988171017382</v>
      </c>
      <c r="P148" s="375" t="s">
        <v>623</v>
      </c>
      <c r="Q148" s="375" t="s">
        <v>623</v>
      </c>
      <c r="R148" s="695">
        <v>20150403</v>
      </c>
      <c r="S148" s="375" t="s">
        <v>1769</v>
      </c>
      <c r="T148" s="696">
        <v>0.23100000000000001</v>
      </c>
      <c r="U148" s="375" t="s">
        <v>1770</v>
      </c>
      <c r="V148" s="722">
        <v>26.04</v>
      </c>
      <c r="W148" s="722">
        <v>8.06</v>
      </c>
      <c r="X148" s="722">
        <v>13.58</v>
      </c>
      <c r="Y148" s="722">
        <v>32.94</v>
      </c>
      <c r="Z148" s="382">
        <v>0.17969993808696372</v>
      </c>
      <c r="AA148" s="372">
        <v>764.6093151</v>
      </c>
      <c r="AB148" s="372">
        <v>1005.9693557000001</v>
      </c>
      <c r="AC148" s="372">
        <v>1418.032424</v>
      </c>
      <c r="AD148" s="372">
        <v>1801.2279801</v>
      </c>
      <c r="AE148" s="372">
        <v>2287.8000000000002</v>
      </c>
      <c r="AF148" s="372">
        <v>2812.78</v>
      </c>
      <c r="AG148" s="372">
        <v>3488.63</v>
      </c>
      <c r="AH148" s="372">
        <v>4900</v>
      </c>
    </row>
    <row r="149" spans="1:34">
      <c r="A149" s="372" t="s">
        <v>1771</v>
      </c>
      <c r="B149" s="373" t="s">
        <v>1772</v>
      </c>
      <c r="C149" s="372" t="s">
        <v>1773</v>
      </c>
      <c r="D149" s="374">
        <v>1101110520076</v>
      </c>
      <c r="E149" s="372" t="s">
        <v>1773</v>
      </c>
      <c r="F149" s="375" t="s">
        <v>1774</v>
      </c>
      <c r="G149" s="375" t="s">
        <v>1775</v>
      </c>
      <c r="H149" s="375" t="s">
        <v>754</v>
      </c>
      <c r="I149" s="375" t="s">
        <v>755</v>
      </c>
      <c r="J149" s="375">
        <v>4230482.6284400001</v>
      </c>
      <c r="K149" s="375">
        <v>324877.72304000001</v>
      </c>
      <c r="L149" s="375">
        <v>264096.35424999997</v>
      </c>
      <c r="M149" s="375">
        <v>1724042.3031599999</v>
      </c>
      <c r="N149" s="372">
        <v>0.76</v>
      </c>
      <c r="O149" s="703">
        <v>19.061001151068808</v>
      </c>
      <c r="P149" s="375" t="s">
        <v>623</v>
      </c>
      <c r="Q149" s="375" t="s">
        <v>623</v>
      </c>
      <c r="R149" s="695">
        <v>19940711</v>
      </c>
      <c r="S149" s="375" t="s">
        <v>1776</v>
      </c>
      <c r="T149" s="696">
        <v>0.23100000000000001</v>
      </c>
      <c r="U149" s="375" t="s">
        <v>1777</v>
      </c>
      <c r="V149" s="722">
        <v>6</v>
      </c>
      <c r="W149" s="722">
        <v>1.26</v>
      </c>
      <c r="X149" s="722">
        <v>0.52</v>
      </c>
      <c r="Y149" s="722">
        <v>10.66</v>
      </c>
      <c r="Z149" s="382">
        <v>5.4181190595405271E-2</v>
      </c>
      <c r="AA149" s="372">
        <v>24026.725284200002</v>
      </c>
      <c r="AB149" s="372">
        <v>26682.6498025</v>
      </c>
      <c r="AC149" s="372">
        <v>33770.702158300002</v>
      </c>
      <c r="AD149" s="372">
        <v>42304.826284399998</v>
      </c>
      <c r="AE149" s="372">
        <v>44588.5</v>
      </c>
      <c r="AF149" s="372">
        <v>48272.82</v>
      </c>
      <c r="AG149" s="372">
        <v>52245.75</v>
      </c>
      <c r="AH149" s="372">
        <v>0</v>
      </c>
    </row>
    <row r="150" spans="1:34">
      <c r="A150" s="372" t="s">
        <v>1778</v>
      </c>
      <c r="B150" s="373" t="s">
        <v>1779</v>
      </c>
      <c r="C150" s="372" t="s">
        <v>1780</v>
      </c>
      <c r="D150" s="374">
        <v>1101110002959</v>
      </c>
      <c r="E150" s="372" t="s">
        <v>1781</v>
      </c>
      <c r="F150" s="375" t="s">
        <v>1782</v>
      </c>
      <c r="G150" s="375" t="s">
        <v>1783</v>
      </c>
      <c r="H150" s="375" t="s">
        <v>832</v>
      </c>
      <c r="I150" s="375" t="s">
        <v>755</v>
      </c>
      <c r="J150" s="375">
        <v>53134813</v>
      </c>
      <c r="K150" s="375">
        <v>2411920</v>
      </c>
      <c r="L150" s="375">
        <v>2246616</v>
      </c>
      <c r="M150" s="375">
        <v>33198739</v>
      </c>
      <c r="N150" s="372">
        <v>1.417</v>
      </c>
      <c r="O150" s="703">
        <v>965.13236934340568</v>
      </c>
      <c r="P150" s="375" t="s">
        <v>623</v>
      </c>
      <c r="Q150" s="375" t="s">
        <v>623</v>
      </c>
      <c r="R150" s="695">
        <v>19760624</v>
      </c>
      <c r="S150" s="375" t="s">
        <v>1784</v>
      </c>
      <c r="T150" s="696">
        <v>0.26400000000000001</v>
      </c>
      <c r="U150" s="375" t="s">
        <v>1785</v>
      </c>
      <c r="V150" s="722">
        <v>9.74</v>
      </c>
      <c r="W150" s="722">
        <v>0.23</v>
      </c>
      <c r="X150" s="722">
        <v>0.05</v>
      </c>
      <c r="Y150" s="722">
        <v>6.63</v>
      </c>
      <c r="Z150" s="382">
        <v>3.388457867834993E-2</v>
      </c>
      <c r="AA150" s="372">
        <v>509264.51</v>
      </c>
      <c r="AB150" s="372">
        <v>528360.68999999994</v>
      </c>
      <c r="AC150" s="372">
        <v>508867.31</v>
      </c>
      <c r="AD150" s="372">
        <v>531348.13</v>
      </c>
      <c r="AE150" s="372">
        <v>556212.22</v>
      </c>
      <c r="AF150" s="372">
        <v>584127.78</v>
      </c>
      <c r="AG150" s="372">
        <v>607110</v>
      </c>
      <c r="AH150" s="372">
        <v>0</v>
      </c>
    </row>
    <row r="151" spans="1:34">
      <c r="A151" s="372" t="s">
        <v>1786</v>
      </c>
      <c r="B151" s="373" t="s">
        <v>1787</v>
      </c>
      <c r="C151" s="372" t="s">
        <v>1788</v>
      </c>
      <c r="D151" s="374">
        <v>1101110004286</v>
      </c>
      <c r="E151" s="372" t="s">
        <v>1789</v>
      </c>
      <c r="F151" s="375" t="s">
        <v>914</v>
      </c>
      <c r="G151" s="375" t="s">
        <v>915</v>
      </c>
      <c r="H151" s="375" t="s">
        <v>916</v>
      </c>
      <c r="I151" s="375" t="s">
        <v>755</v>
      </c>
      <c r="J151" s="375">
        <v>4360982</v>
      </c>
      <c r="K151" s="375">
        <v>385854</v>
      </c>
      <c r="L151" s="375">
        <v>248489</v>
      </c>
      <c r="M151" s="375">
        <v>4713351</v>
      </c>
      <c r="N151" s="372">
        <v>0.98299999999999998</v>
      </c>
      <c r="O151" s="703">
        <v>110.91172055263085</v>
      </c>
      <c r="P151" s="375" t="s">
        <v>623</v>
      </c>
      <c r="Q151" s="375" t="s">
        <v>623</v>
      </c>
      <c r="R151" s="695">
        <v>20070921</v>
      </c>
      <c r="S151" s="375" t="s">
        <v>1790</v>
      </c>
      <c r="T151" s="696">
        <v>0.23100000000000001</v>
      </c>
      <c r="U151" s="375" t="s">
        <v>1791</v>
      </c>
      <c r="V151" s="722">
        <v>3.87</v>
      </c>
      <c r="W151" s="722">
        <v>0.42</v>
      </c>
      <c r="X151" s="722">
        <v>0.46</v>
      </c>
      <c r="Y151" s="722">
        <v>8.15</v>
      </c>
      <c r="Z151" s="382">
        <v>3.5240234588266306E-2</v>
      </c>
      <c r="AA151" s="372">
        <v>24971.59</v>
      </c>
      <c r="AB151" s="372">
        <v>46161.07</v>
      </c>
      <c r="AC151" s="372">
        <v>64203.12</v>
      </c>
      <c r="AD151" s="372">
        <v>43609.82</v>
      </c>
      <c r="AE151" s="372">
        <v>47187.27</v>
      </c>
      <c r="AF151" s="372">
        <v>47903.4</v>
      </c>
      <c r="AG151" s="372">
        <v>50089.75</v>
      </c>
      <c r="AH151" s="372">
        <v>0</v>
      </c>
    </row>
    <row r="152" spans="1:34">
      <c r="A152" s="372" t="s">
        <v>1792</v>
      </c>
      <c r="B152" s="373" t="s">
        <v>1793</v>
      </c>
      <c r="C152" s="372" t="s">
        <v>1794</v>
      </c>
      <c r="D152" s="374">
        <v>1101110186638</v>
      </c>
      <c r="E152" s="372" t="s">
        <v>1795</v>
      </c>
      <c r="F152" s="372" t="s">
        <v>1005</v>
      </c>
      <c r="G152" s="375" t="s">
        <v>1006</v>
      </c>
      <c r="H152" s="375" t="s">
        <v>754</v>
      </c>
      <c r="I152" s="375" t="s">
        <v>755</v>
      </c>
      <c r="J152" s="375">
        <v>675332.75569999998</v>
      </c>
      <c r="K152" s="375">
        <v>62169.058400000002</v>
      </c>
      <c r="L152" s="375">
        <v>54655.603289999999</v>
      </c>
      <c r="M152" s="375">
        <v>266778.16329</v>
      </c>
      <c r="N152" s="372">
        <v>1.2909999999999999</v>
      </c>
      <c r="O152" s="703">
        <v>9.0638467639925349</v>
      </c>
      <c r="P152" s="375" t="s">
        <v>623</v>
      </c>
      <c r="Q152" s="375" t="s">
        <v>623</v>
      </c>
      <c r="R152" s="695">
        <v>20000818</v>
      </c>
      <c r="S152" s="375" t="s">
        <v>1796</v>
      </c>
      <c r="T152" s="696">
        <v>0.23100000000000001</v>
      </c>
      <c r="U152" s="375" t="s">
        <v>1797</v>
      </c>
      <c r="V152" s="722">
        <v>26.35</v>
      </c>
      <c r="W152" s="722">
        <v>6.98</v>
      </c>
      <c r="X152" s="722">
        <v>2.76</v>
      </c>
      <c r="Y152" s="722">
        <v>39.03</v>
      </c>
      <c r="Z152" s="382">
        <v>0.1233656265245151</v>
      </c>
      <c r="AA152" s="372">
        <v>3932.2867336999998</v>
      </c>
      <c r="AB152" s="372">
        <v>4696.2109412999998</v>
      </c>
      <c r="AC152" s="372">
        <v>6429.2053325999996</v>
      </c>
      <c r="AD152" s="372">
        <v>6753.3275569999996</v>
      </c>
      <c r="AE152" s="372">
        <v>8342.56</v>
      </c>
      <c r="AF152" s="372">
        <v>9684.56</v>
      </c>
      <c r="AG152" s="372">
        <v>10754.8</v>
      </c>
      <c r="AH152" s="372">
        <v>0</v>
      </c>
    </row>
    <row r="153" spans="1:34">
      <c r="A153" s="372" t="s">
        <v>1798</v>
      </c>
      <c r="B153" s="373" t="s">
        <v>1799</v>
      </c>
      <c r="C153" s="372" t="s">
        <v>1800</v>
      </c>
      <c r="D153" s="374">
        <v>1101112380890</v>
      </c>
      <c r="E153" s="372" t="s">
        <v>1801</v>
      </c>
      <c r="F153" s="375" t="s">
        <v>786</v>
      </c>
      <c r="G153" s="375" t="s">
        <v>787</v>
      </c>
      <c r="H153" s="375" t="s">
        <v>868</v>
      </c>
      <c r="I153" s="375" t="s">
        <v>869</v>
      </c>
      <c r="J153" s="375">
        <v>319699.94115000003</v>
      </c>
      <c r="K153" s="375">
        <v>117781.78595999999</v>
      </c>
      <c r="L153" s="375">
        <v>133269.75042</v>
      </c>
      <c r="M153" s="375">
        <v>779678.03547</v>
      </c>
      <c r="N153" s="372">
        <v>0.76400000000000001</v>
      </c>
      <c r="O153" s="703">
        <v>4.1088422934923754</v>
      </c>
      <c r="P153" s="375" t="s">
        <v>623</v>
      </c>
      <c r="Q153" s="375" t="s">
        <v>623</v>
      </c>
      <c r="R153" s="695">
        <v>20151224</v>
      </c>
      <c r="S153" s="375" t="s">
        <v>1802</v>
      </c>
      <c r="T153" s="696">
        <v>0.23100000000000001</v>
      </c>
      <c r="U153" s="375" t="s">
        <v>1803</v>
      </c>
      <c r="V153" s="722">
        <v>14.3</v>
      </c>
      <c r="W153" s="722">
        <v>1.97</v>
      </c>
      <c r="X153" s="722">
        <v>5.79</v>
      </c>
      <c r="Y153" s="722">
        <v>19.88</v>
      </c>
      <c r="Z153" s="382">
        <v>0.11801655411657808</v>
      </c>
      <c r="AA153" s="372">
        <v>2110.3834837999998</v>
      </c>
      <c r="AB153" s="372">
        <v>2318.5910819000001</v>
      </c>
      <c r="AC153" s="372">
        <v>2816.7513506</v>
      </c>
      <c r="AD153" s="372">
        <v>3196.9994115</v>
      </c>
      <c r="AE153" s="372">
        <v>3698.67</v>
      </c>
      <c r="AF153" s="372">
        <v>4296.8</v>
      </c>
      <c r="AG153" s="372">
        <v>4995</v>
      </c>
      <c r="AH153" s="372">
        <v>5590</v>
      </c>
    </row>
    <row r="154" spans="1:34">
      <c r="A154" s="372" t="s">
        <v>1804</v>
      </c>
      <c r="B154" s="373" t="s">
        <v>1805</v>
      </c>
      <c r="C154" s="372" t="s">
        <v>1806</v>
      </c>
      <c r="D154" s="374">
        <v>1101111128340</v>
      </c>
      <c r="E154" s="372" t="s">
        <v>1807</v>
      </c>
      <c r="F154" s="375" t="s">
        <v>1083</v>
      </c>
      <c r="G154" s="375" t="s">
        <v>1546</v>
      </c>
      <c r="H154" s="375" t="s">
        <v>1547</v>
      </c>
      <c r="I154" s="375" t="s">
        <v>869</v>
      </c>
      <c r="J154" s="375">
        <v>961069.71654000005</v>
      </c>
      <c r="K154" s="375">
        <v>113463.0144</v>
      </c>
      <c r="L154" s="375">
        <v>118912.62724</v>
      </c>
      <c r="M154" s="375">
        <v>909398.07296999998</v>
      </c>
      <c r="N154" s="372">
        <v>0.60199999999999998</v>
      </c>
      <c r="O154" s="703">
        <v>7.8359871114693513</v>
      </c>
      <c r="P154" s="375" t="s">
        <v>623</v>
      </c>
      <c r="Q154" s="375" t="s">
        <v>623</v>
      </c>
      <c r="R154" s="695">
        <v>20000425</v>
      </c>
      <c r="S154" s="375" t="s">
        <v>1808</v>
      </c>
      <c r="T154" s="696">
        <v>0.23100000000000001</v>
      </c>
      <c r="U154" s="375" t="s">
        <v>1809</v>
      </c>
      <c r="V154" s="722">
        <v>13.89</v>
      </c>
      <c r="W154" s="722">
        <v>2.91</v>
      </c>
      <c r="X154" s="722">
        <v>2.2799999999999998</v>
      </c>
      <c r="Y154" s="722">
        <v>25.14</v>
      </c>
      <c r="Z154" s="382">
        <v>6.8725515756408395E-2</v>
      </c>
      <c r="AA154" s="372">
        <v>5798.7579065999998</v>
      </c>
      <c r="AB154" s="372">
        <v>7015.6317214000001</v>
      </c>
      <c r="AC154" s="372">
        <v>8507.6930912999997</v>
      </c>
      <c r="AD154" s="372">
        <v>9610.6971654000008</v>
      </c>
      <c r="AE154" s="372">
        <v>10537.06</v>
      </c>
      <c r="AF154" s="372">
        <v>11555.93</v>
      </c>
      <c r="AG154" s="372">
        <v>12537.75</v>
      </c>
      <c r="AH154" s="372">
        <v>15610</v>
      </c>
    </row>
    <row r="155" spans="1:34">
      <c r="A155" s="372" t="s">
        <v>1810</v>
      </c>
      <c r="B155" s="373" t="s">
        <v>1811</v>
      </c>
      <c r="C155" s="372" t="s">
        <v>1812</v>
      </c>
      <c r="D155" s="374">
        <v>1601110354045</v>
      </c>
      <c r="E155" s="372" t="s">
        <v>1813</v>
      </c>
      <c r="F155" s="372" t="s">
        <v>1814</v>
      </c>
      <c r="G155" s="375" t="s">
        <v>1815</v>
      </c>
      <c r="H155" s="375" t="s">
        <v>1693</v>
      </c>
      <c r="I155" s="375" t="s">
        <v>869</v>
      </c>
      <c r="J155" s="375">
        <v>25080.238710000001</v>
      </c>
      <c r="K155" s="375">
        <v>-42216.718379999998</v>
      </c>
      <c r="L155" s="375">
        <v>-36763.66289</v>
      </c>
      <c r="M155" s="375">
        <v>235109.50678</v>
      </c>
      <c r="N155" s="372">
        <v>0.96199999999999997</v>
      </c>
      <c r="O155" s="703">
        <v>1.2223820708897135</v>
      </c>
      <c r="P155" s="375" t="s">
        <v>623</v>
      </c>
      <c r="Q155" s="372" t="s">
        <v>623</v>
      </c>
      <c r="R155" s="695">
        <v>20220721</v>
      </c>
      <c r="S155" s="375" t="s">
        <v>1816</v>
      </c>
      <c r="T155" s="696" t="s">
        <v>772</v>
      </c>
      <c r="U155" s="372" t="s">
        <v>1817</v>
      </c>
      <c r="V155" s="722" t="s">
        <v>774</v>
      </c>
      <c r="W155" s="722">
        <v>10</v>
      </c>
      <c r="X155" s="722">
        <v>82.31</v>
      </c>
      <c r="Y155" s="722" t="s">
        <v>774</v>
      </c>
      <c r="Z155" s="382">
        <v>0.50858356248388525</v>
      </c>
      <c r="AA155" s="372">
        <v>14.3004227</v>
      </c>
      <c r="AB155" s="372">
        <v>66.389989400000005</v>
      </c>
      <c r="AC155" s="372">
        <v>138.65732449999999</v>
      </c>
      <c r="AD155" s="372">
        <v>250.8023871</v>
      </c>
      <c r="AE155" s="372">
        <v>351.5</v>
      </c>
      <c r="AF155" s="372">
        <v>450</v>
      </c>
      <c r="AG155" s="372">
        <v>1299</v>
      </c>
      <c r="AH155" s="372">
        <v>2087</v>
      </c>
    </row>
    <row r="156" spans="1:34">
      <c r="A156" s="372" t="s">
        <v>1818</v>
      </c>
      <c r="B156" s="373" t="s">
        <v>1819</v>
      </c>
      <c r="C156" s="372" t="s">
        <v>1820</v>
      </c>
      <c r="D156" s="374">
        <v>1101111873755</v>
      </c>
      <c r="E156" s="372" t="s">
        <v>1821</v>
      </c>
      <c r="F156" s="375" t="s">
        <v>1013</v>
      </c>
      <c r="G156" s="375" t="s">
        <v>1225</v>
      </c>
      <c r="H156" s="375" t="s">
        <v>1693</v>
      </c>
      <c r="I156" s="375" t="s">
        <v>869</v>
      </c>
      <c r="J156" s="375">
        <v>605252.42830999999</v>
      </c>
      <c r="K156" s="375">
        <v>-110440.77686</v>
      </c>
      <c r="L156" s="375">
        <v>-160120.82120000001</v>
      </c>
      <c r="M156" s="375">
        <v>400778.28499999997</v>
      </c>
      <c r="N156" s="372">
        <v>1.375</v>
      </c>
      <c r="O156" s="703">
        <v>11.374589944507823</v>
      </c>
      <c r="P156" s="375" t="s">
        <v>623</v>
      </c>
      <c r="Q156" s="375" t="s">
        <v>623</v>
      </c>
      <c r="R156" s="695">
        <v>20091218</v>
      </c>
      <c r="S156" s="375" t="s">
        <v>1822</v>
      </c>
      <c r="T156" s="696" t="s">
        <v>772</v>
      </c>
      <c r="U156" s="375" t="s">
        <v>1823</v>
      </c>
      <c r="V156" s="722" t="s">
        <v>774</v>
      </c>
      <c r="W156" s="722">
        <v>7.85</v>
      </c>
      <c r="X156" s="722">
        <v>3.41</v>
      </c>
      <c r="Y156" s="722" t="s">
        <v>774</v>
      </c>
      <c r="Z156" s="382">
        <v>0.16961095332990905</v>
      </c>
      <c r="AA156" s="372">
        <v>1267.048597</v>
      </c>
      <c r="AB156" s="372">
        <v>3349.8313171999998</v>
      </c>
      <c r="AC156" s="372">
        <v>4634.9156622</v>
      </c>
      <c r="AD156" s="372">
        <v>6052.5242830999996</v>
      </c>
      <c r="AE156" s="372">
        <v>9545.83</v>
      </c>
      <c r="AF156" s="372">
        <v>10602.5</v>
      </c>
      <c r="AG156" s="372">
        <v>11326.67</v>
      </c>
      <c r="AH156" s="372">
        <v>0</v>
      </c>
    </row>
    <row r="157" spans="1:34">
      <c r="A157" s="372" t="s">
        <v>1824</v>
      </c>
      <c r="B157" s="373" t="s">
        <v>1825</v>
      </c>
      <c r="C157" s="372" t="s">
        <v>1826</v>
      </c>
      <c r="D157" s="374">
        <v>1101112810590</v>
      </c>
      <c r="E157" s="372" t="s">
        <v>1827</v>
      </c>
      <c r="F157" s="375" t="s">
        <v>1173</v>
      </c>
      <c r="G157" s="375" t="s">
        <v>1174</v>
      </c>
      <c r="H157" s="375" t="s">
        <v>832</v>
      </c>
      <c r="I157" s="375" t="s">
        <v>755</v>
      </c>
      <c r="J157" s="375">
        <v>4041412.1576800002</v>
      </c>
      <c r="K157" s="375">
        <v>411010.49849000003</v>
      </c>
      <c r="L157" s="375">
        <v>227130.56914000001</v>
      </c>
      <c r="M157" s="375">
        <v>1399056.99859</v>
      </c>
      <c r="N157" s="372">
        <v>0.98499999999999999</v>
      </c>
      <c r="O157" s="703">
        <v>110.97750459482951</v>
      </c>
      <c r="P157" s="375" t="s">
        <v>623</v>
      </c>
      <c r="Q157" s="375" t="s">
        <v>623</v>
      </c>
      <c r="R157" s="695">
        <v>20050217</v>
      </c>
      <c r="S157" s="375" t="s">
        <v>1828</v>
      </c>
      <c r="T157" s="696">
        <v>0.23100000000000001</v>
      </c>
      <c r="U157" s="375" t="s">
        <v>1829</v>
      </c>
      <c r="V157" s="722">
        <v>5.24</v>
      </c>
      <c r="W157" s="722">
        <v>1.22</v>
      </c>
      <c r="X157" s="722">
        <v>0.38</v>
      </c>
      <c r="Y157" s="722">
        <v>9.81</v>
      </c>
      <c r="Z157" s="382">
        <v>5.2117066997955153E-2</v>
      </c>
      <c r="AA157" s="372">
        <v>21706.7730538</v>
      </c>
      <c r="AB157" s="372">
        <v>26012.232159399999</v>
      </c>
      <c r="AC157" s="372">
        <v>35591.584618399997</v>
      </c>
      <c r="AD157" s="372">
        <v>40414.121576799997</v>
      </c>
      <c r="AE157" s="372">
        <v>44313.86</v>
      </c>
      <c r="AF157" s="372">
        <v>46731</v>
      </c>
      <c r="AG157" s="372">
        <v>49521</v>
      </c>
      <c r="AH157" s="372">
        <v>0</v>
      </c>
    </row>
    <row r="158" spans="1:34">
      <c r="A158" s="372" t="s">
        <v>1830</v>
      </c>
      <c r="B158" s="373" t="s">
        <v>1831</v>
      </c>
      <c r="C158" s="372" t="s">
        <v>1832</v>
      </c>
      <c r="D158" s="374">
        <v>1101110003098</v>
      </c>
      <c r="E158" s="372" t="s">
        <v>1833</v>
      </c>
      <c r="F158" s="375" t="s">
        <v>900</v>
      </c>
      <c r="G158" s="375" t="s">
        <v>901</v>
      </c>
      <c r="H158" s="375" t="s">
        <v>862</v>
      </c>
      <c r="I158" s="375" t="s">
        <v>755</v>
      </c>
      <c r="J158" s="375">
        <v>8948570.7579599991</v>
      </c>
      <c r="K158" s="375">
        <v>464733.62662</v>
      </c>
      <c r="L158" s="375">
        <v>348552.59938999999</v>
      </c>
      <c r="M158" s="375">
        <v>3135721.2764599998</v>
      </c>
      <c r="N158" s="372">
        <v>0.57799999999999996</v>
      </c>
      <c r="O158" s="703">
        <v>229.17261097722243</v>
      </c>
      <c r="P158" s="375" t="s">
        <v>623</v>
      </c>
      <c r="Q158" s="375" t="s">
        <v>623</v>
      </c>
      <c r="R158" s="695">
        <v>19890307</v>
      </c>
      <c r="S158" s="375" t="s">
        <v>861</v>
      </c>
      <c r="T158" s="696">
        <v>0.26400000000000001</v>
      </c>
      <c r="U158" s="372" t="s">
        <v>15982</v>
      </c>
      <c r="V158" s="722">
        <v>5.18</v>
      </c>
      <c r="W158" s="722">
        <v>0.49</v>
      </c>
      <c r="X158" s="722">
        <v>0.18</v>
      </c>
      <c r="Y158" s="722">
        <v>7.18</v>
      </c>
      <c r="Z158" s="382">
        <v>4.2016739580710061E-2</v>
      </c>
      <c r="AA158" s="372">
        <v>28573.313064000002</v>
      </c>
      <c r="AB158" s="372">
        <v>76029.996595100005</v>
      </c>
      <c r="AC158" s="372">
        <v>90262.5836748</v>
      </c>
      <c r="AD158" s="372">
        <v>89485.707579599999</v>
      </c>
      <c r="AE158" s="372">
        <v>96804</v>
      </c>
      <c r="AF158" s="372">
        <v>101050</v>
      </c>
      <c r="AG158" s="372">
        <v>105500</v>
      </c>
      <c r="AH158" s="372">
        <v>0</v>
      </c>
    </row>
    <row r="159" spans="1:34">
      <c r="A159" s="372" t="s">
        <v>1834</v>
      </c>
      <c r="B159" s="373" t="s">
        <v>1835</v>
      </c>
      <c r="C159" s="372" t="s">
        <v>1836</v>
      </c>
      <c r="D159" s="374">
        <v>1101110035835</v>
      </c>
      <c r="E159" s="372" t="s">
        <v>1837</v>
      </c>
      <c r="F159" s="375" t="s">
        <v>1838</v>
      </c>
      <c r="G159" s="375" t="s">
        <v>1839</v>
      </c>
      <c r="H159" s="375" t="s">
        <v>754</v>
      </c>
      <c r="I159" s="375" t="s">
        <v>755</v>
      </c>
      <c r="J159" s="375">
        <v>2843980.0120000001</v>
      </c>
      <c r="K159" s="375">
        <v>79823.888000000006</v>
      </c>
      <c r="L159" s="375">
        <v>65484.845999999998</v>
      </c>
      <c r="M159" s="375">
        <v>953285.75600000005</v>
      </c>
      <c r="N159" s="372">
        <v>1.073</v>
      </c>
      <c r="O159" s="703">
        <v>16.061669167168048</v>
      </c>
      <c r="P159" s="375" t="s">
        <v>623</v>
      </c>
      <c r="Q159" s="375" t="s">
        <v>623</v>
      </c>
      <c r="R159" s="695">
        <v>19681227</v>
      </c>
      <c r="S159" s="375" t="s">
        <v>1840</v>
      </c>
      <c r="T159" s="696">
        <v>0.23100000000000001</v>
      </c>
      <c r="U159" s="375" t="s">
        <v>1841</v>
      </c>
      <c r="V159" s="722">
        <v>13.3</v>
      </c>
      <c r="W159" s="722">
        <v>1.33</v>
      </c>
      <c r="X159" s="722">
        <v>0.44</v>
      </c>
      <c r="Y159" s="722">
        <v>17.760000000000002</v>
      </c>
      <c r="Z159" s="382">
        <v>5.1600440791596425E-2</v>
      </c>
      <c r="AA159" s="372">
        <v>15968.41749</v>
      </c>
      <c r="AB159" s="372">
        <v>19977.095560000002</v>
      </c>
      <c r="AC159" s="372">
        <v>24505.459750000002</v>
      </c>
      <c r="AD159" s="372">
        <v>28439.80012</v>
      </c>
      <c r="AE159" s="372">
        <v>31980</v>
      </c>
      <c r="AF159" s="372">
        <v>33200</v>
      </c>
      <c r="AG159" s="372">
        <v>34780</v>
      </c>
      <c r="AH159" s="372">
        <v>0</v>
      </c>
    </row>
    <row r="160" spans="1:34">
      <c r="A160" s="372" t="s">
        <v>1842</v>
      </c>
      <c r="B160" s="373" t="s">
        <v>1843</v>
      </c>
      <c r="C160" s="372" t="s">
        <v>1844</v>
      </c>
      <c r="D160" s="374">
        <v>1101110180888</v>
      </c>
      <c r="E160" s="372" t="s">
        <v>1845</v>
      </c>
      <c r="F160" s="375" t="s">
        <v>1846</v>
      </c>
      <c r="G160" s="375" t="s">
        <v>1847</v>
      </c>
      <c r="H160" s="375" t="s">
        <v>853</v>
      </c>
      <c r="I160" s="375" t="s">
        <v>755</v>
      </c>
      <c r="J160" s="375">
        <v>489695.54155999998</v>
      </c>
      <c r="K160" s="375">
        <v>43752.486839999998</v>
      </c>
      <c r="L160" s="375">
        <v>163330.06458000001</v>
      </c>
      <c r="M160" s="375">
        <v>1622874.7277899999</v>
      </c>
      <c r="N160" s="372">
        <v>0.69099999999999995</v>
      </c>
      <c r="O160" s="703">
        <v>0.14606075087600379</v>
      </c>
      <c r="P160" s="375" t="s">
        <v>623</v>
      </c>
      <c r="Q160" s="375" t="s">
        <v>623</v>
      </c>
      <c r="R160" s="695">
        <v>19951227</v>
      </c>
      <c r="S160" s="375" t="s">
        <v>1848</v>
      </c>
      <c r="T160" s="696">
        <v>0.23100000000000001</v>
      </c>
      <c r="U160" s="375" t="s">
        <v>1849</v>
      </c>
      <c r="V160" s="722">
        <v>37.729999999999997</v>
      </c>
      <c r="W160" s="722">
        <v>1.1200000000000001</v>
      </c>
      <c r="X160" s="722">
        <v>3.71</v>
      </c>
      <c r="Y160" s="722">
        <v>12.53</v>
      </c>
      <c r="Z160" s="382" t="s">
        <v>934</v>
      </c>
      <c r="AA160" s="372">
        <v>4930.4072230000002</v>
      </c>
      <c r="AB160" s="372">
        <v>5353.2731924</v>
      </c>
      <c r="AC160" s="372">
        <v>5564.8660871000002</v>
      </c>
      <c r="AD160" s="372">
        <v>4896.9554156000004</v>
      </c>
      <c r="AE160" s="372">
        <v>0</v>
      </c>
      <c r="AF160" s="372">
        <v>0</v>
      </c>
      <c r="AG160" s="372">
        <v>0</v>
      </c>
      <c r="AH160" s="372">
        <v>0</v>
      </c>
    </row>
    <row r="161" spans="1:34">
      <c r="A161" s="372" t="s">
        <v>1850</v>
      </c>
      <c r="B161" s="373" t="s">
        <v>1851</v>
      </c>
      <c r="C161" s="372" t="s">
        <v>1852</v>
      </c>
      <c r="D161" s="374">
        <v>1311110057876</v>
      </c>
      <c r="E161" s="372" t="s">
        <v>1853</v>
      </c>
      <c r="F161" s="375" t="s">
        <v>1854</v>
      </c>
      <c r="G161" s="375" t="s">
        <v>1854</v>
      </c>
      <c r="H161" s="375" t="s">
        <v>1388</v>
      </c>
      <c r="I161" s="375" t="s">
        <v>869</v>
      </c>
      <c r="J161" s="375">
        <v>140221.9399</v>
      </c>
      <c r="K161" s="375">
        <v>10736.706770000001</v>
      </c>
      <c r="L161" s="375">
        <v>17562.959330000002</v>
      </c>
      <c r="M161" s="375">
        <v>473452.64766000002</v>
      </c>
      <c r="N161" s="372">
        <v>1.329</v>
      </c>
      <c r="O161" s="703">
        <v>2.8758721028366052</v>
      </c>
      <c r="P161" s="375" t="s">
        <v>623</v>
      </c>
      <c r="Q161" s="375" t="s">
        <v>623</v>
      </c>
      <c r="R161" s="695">
        <v>20071001</v>
      </c>
      <c r="S161" s="375" t="s">
        <v>1855</v>
      </c>
      <c r="T161" s="696">
        <v>0.20900000000000002</v>
      </c>
      <c r="U161" s="375" t="s">
        <v>1856</v>
      </c>
      <c r="V161" s="722">
        <v>87.59</v>
      </c>
      <c r="W161" s="722">
        <v>3.47</v>
      </c>
      <c r="X161" s="722">
        <v>10.49</v>
      </c>
      <c r="Y161" s="722">
        <v>111.39</v>
      </c>
      <c r="Z161" s="382">
        <v>0.26581906487711349</v>
      </c>
      <c r="AA161" s="372">
        <v>1217.6945860999999</v>
      </c>
      <c r="AB161" s="372">
        <v>1446.6982421</v>
      </c>
      <c r="AC161" s="372">
        <v>1788.7126456000001</v>
      </c>
      <c r="AD161" s="372">
        <v>1402.2193990000001</v>
      </c>
      <c r="AE161" s="372">
        <v>2450.88</v>
      </c>
      <c r="AF161" s="372">
        <v>3283.25</v>
      </c>
      <c r="AG161" s="372">
        <v>3600</v>
      </c>
      <c r="AH161" s="372">
        <v>4120</v>
      </c>
    </row>
    <row r="162" spans="1:34">
      <c r="A162" s="372" t="s">
        <v>1857</v>
      </c>
      <c r="B162" s="373" t="s">
        <v>1858</v>
      </c>
      <c r="C162" s="372" t="s">
        <v>1859</v>
      </c>
      <c r="D162" s="374">
        <v>1641110000397</v>
      </c>
      <c r="E162" s="372" t="s">
        <v>1860</v>
      </c>
      <c r="F162" s="375" t="s">
        <v>1334</v>
      </c>
      <c r="G162" s="375" t="s">
        <v>1334</v>
      </c>
      <c r="H162" s="375" t="s">
        <v>788</v>
      </c>
      <c r="I162" s="375" t="s">
        <v>755</v>
      </c>
      <c r="J162" s="375">
        <v>134909.83762000001</v>
      </c>
      <c r="K162" s="375">
        <v>2211.35961</v>
      </c>
      <c r="L162" s="375">
        <v>3202.5321300000001</v>
      </c>
      <c r="M162" s="375">
        <v>186218.36983000001</v>
      </c>
      <c r="N162" s="372">
        <v>0.88</v>
      </c>
      <c r="O162" s="703">
        <v>7.0515742833528461E-2</v>
      </c>
      <c r="P162" s="375" t="s">
        <v>623</v>
      </c>
      <c r="Q162" s="375" t="s">
        <v>623</v>
      </c>
      <c r="R162" s="695">
        <v>19891218</v>
      </c>
      <c r="S162" s="375" t="s">
        <v>1861</v>
      </c>
      <c r="T162" s="696">
        <v>0.20900000000000002</v>
      </c>
      <c r="U162" s="375" t="s">
        <v>1862</v>
      </c>
      <c r="V162" s="722">
        <v>423.99</v>
      </c>
      <c r="W162" s="722">
        <v>11.6</v>
      </c>
      <c r="X162" s="722">
        <v>17.149999999999999</v>
      </c>
      <c r="Y162" s="722">
        <v>659.6</v>
      </c>
      <c r="Z162" s="382">
        <v>0.13285704231805306</v>
      </c>
      <c r="AA162" s="372">
        <v>886.02270090000002</v>
      </c>
      <c r="AB162" s="372">
        <v>1015.9444369</v>
      </c>
      <c r="AC162" s="372">
        <v>1099.9541898</v>
      </c>
      <c r="AD162" s="372">
        <v>1349.0983762000001</v>
      </c>
      <c r="AE162" s="372">
        <v>1452.01</v>
      </c>
      <c r="AF162" s="372">
        <v>1699.44</v>
      </c>
      <c r="AG162" s="372">
        <v>2222</v>
      </c>
      <c r="AH162" s="372">
        <v>0</v>
      </c>
    </row>
    <row r="163" spans="1:34">
      <c r="A163" s="372" t="s">
        <v>1863</v>
      </c>
      <c r="B163" s="373" t="s">
        <v>1864</v>
      </c>
      <c r="C163" s="372" t="s">
        <v>1865</v>
      </c>
      <c r="D163" s="374">
        <v>1101112137895</v>
      </c>
      <c r="E163" s="372" t="s">
        <v>1866</v>
      </c>
      <c r="F163" s="375" t="s">
        <v>1867</v>
      </c>
      <c r="G163" s="375" t="s">
        <v>1868</v>
      </c>
      <c r="H163" s="375" t="s">
        <v>1397</v>
      </c>
      <c r="I163" s="375" t="s">
        <v>755</v>
      </c>
      <c r="J163" s="375">
        <v>11647800.86469</v>
      </c>
      <c r="K163" s="375">
        <v>662517.55261000001</v>
      </c>
      <c r="L163" s="375">
        <v>744966.62488000002</v>
      </c>
      <c r="M163" s="375">
        <v>4061915.4141299999</v>
      </c>
      <c r="N163" s="372">
        <v>1.0049999999999999</v>
      </c>
      <c r="O163" s="703">
        <v>171.6535174512139</v>
      </c>
      <c r="P163" s="375" t="s">
        <v>623</v>
      </c>
      <c r="Q163" s="375" t="s">
        <v>623</v>
      </c>
      <c r="R163" s="695">
        <v>20010323</v>
      </c>
      <c r="S163" s="375" t="s">
        <v>1869</v>
      </c>
      <c r="T163" s="696">
        <v>0.26400000000000001</v>
      </c>
      <c r="U163" s="375" t="s">
        <v>1870</v>
      </c>
      <c r="V163" s="722">
        <v>3.43</v>
      </c>
      <c r="W163" s="722">
        <v>0.42</v>
      </c>
      <c r="X163" s="722">
        <v>0.15</v>
      </c>
      <c r="Y163" s="722">
        <v>3.37</v>
      </c>
      <c r="Z163" s="382">
        <v>-7.3104054603646551E-3</v>
      </c>
      <c r="AA163" s="372">
        <v>81367.057366399997</v>
      </c>
      <c r="AB163" s="372">
        <v>86852.076796599998</v>
      </c>
      <c r="AC163" s="372">
        <v>104192.1313213</v>
      </c>
      <c r="AD163" s="372">
        <v>116478.00864689999</v>
      </c>
      <c r="AE163" s="372">
        <v>104629.65</v>
      </c>
      <c r="AF163" s="372">
        <v>109228.65</v>
      </c>
      <c r="AG163" s="372">
        <v>113109.17</v>
      </c>
      <c r="AH163" s="372">
        <v>105000</v>
      </c>
    </row>
    <row r="164" spans="1:34">
      <c r="A164" s="372" t="s">
        <v>1871</v>
      </c>
      <c r="B164" s="373" t="s">
        <v>1872</v>
      </c>
      <c r="C164" s="372" t="s">
        <v>1873</v>
      </c>
      <c r="D164" s="374">
        <v>1101110028848</v>
      </c>
      <c r="E164" s="372" t="s">
        <v>1874</v>
      </c>
      <c r="F164" s="372" t="s">
        <v>1665</v>
      </c>
      <c r="G164" s="375" t="s">
        <v>1666</v>
      </c>
      <c r="H164" s="375" t="s">
        <v>853</v>
      </c>
      <c r="I164" s="375" t="s">
        <v>755</v>
      </c>
      <c r="J164" s="375">
        <v>6357088.5421399996</v>
      </c>
      <c r="K164" s="375">
        <v>639780.61358</v>
      </c>
      <c r="L164" s="375">
        <v>453216.28084999998</v>
      </c>
      <c r="M164" s="375">
        <v>6339988.8284900002</v>
      </c>
      <c r="N164" s="372">
        <v>0.76700000000000002</v>
      </c>
      <c r="O164" s="703">
        <v>309.51306014738509</v>
      </c>
      <c r="P164" s="375" t="s">
        <v>623</v>
      </c>
      <c r="Q164" s="375" t="s">
        <v>623</v>
      </c>
      <c r="R164" s="695">
        <v>19850819</v>
      </c>
      <c r="S164" s="375" t="s">
        <v>1875</v>
      </c>
      <c r="T164" s="696">
        <v>0.26400000000000001</v>
      </c>
      <c r="U164" s="375" t="s">
        <v>1876</v>
      </c>
      <c r="V164" s="722">
        <v>6.8</v>
      </c>
      <c r="W164" s="722">
        <v>0.4</v>
      </c>
      <c r="X164" s="722">
        <v>0.27</v>
      </c>
      <c r="Y164" s="722">
        <v>7.66</v>
      </c>
      <c r="Z164" s="382">
        <v>5.0044131041088402E-2</v>
      </c>
      <c r="AA164" s="372">
        <v>47692.7939185</v>
      </c>
      <c r="AB164" s="372">
        <v>63164.3593425</v>
      </c>
      <c r="AC164" s="372">
        <v>78127.551989</v>
      </c>
      <c r="AD164" s="372">
        <v>63570.885421400002</v>
      </c>
      <c r="AE164" s="372">
        <v>68819</v>
      </c>
      <c r="AF164" s="372">
        <v>74188.789999999994</v>
      </c>
      <c r="AG164" s="372">
        <v>77283.8</v>
      </c>
      <c r="AH164" s="372">
        <v>0</v>
      </c>
    </row>
    <row r="165" spans="1:34">
      <c r="A165" s="372" t="s">
        <v>1877</v>
      </c>
      <c r="B165" s="373" t="s">
        <v>1878</v>
      </c>
      <c r="C165" s="372" t="s">
        <v>1879</v>
      </c>
      <c r="D165" s="374">
        <v>1313110140776</v>
      </c>
      <c r="E165" s="372" t="s">
        <v>1880</v>
      </c>
      <c r="F165" s="375" t="s">
        <v>1881</v>
      </c>
      <c r="G165" s="375" t="s">
        <v>1882</v>
      </c>
      <c r="H165" s="375" t="s">
        <v>797</v>
      </c>
      <c r="I165" s="375" t="s">
        <v>755</v>
      </c>
      <c r="J165" s="375">
        <v>8393086.8009200003</v>
      </c>
      <c r="K165" s="375">
        <v>279276.99628000002</v>
      </c>
      <c r="L165" s="375">
        <v>225710.73138000001</v>
      </c>
      <c r="M165" s="375">
        <v>2356155.1559100002</v>
      </c>
      <c r="N165" s="372">
        <v>0.92600000000000005</v>
      </c>
      <c r="O165" s="703">
        <v>116.55116702627619</v>
      </c>
      <c r="P165" s="375" t="s">
        <v>623</v>
      </c>
      <c r="Q165" s="375" t="s">
        <v>623</v>
      </c>
      <c r="R165" s="695">
        <v>20141006</v>
      </c>
      <c r="S165" s="375" t="s">
        <v>1883</v>
      </c>
      <c r="T165" s="696">
        <v>0.23100000000000001</v>
      </c>
      <c r="U165" s="375" t="s">
        <v>1884</v>
      </c>
      <c r="V165" s="722">
        <v>5.74</v>
      </c>
      <c r="W165" s="722">
        <v>0.83</v>
      </c>
      <c r="X165" s="722">
        <v>0.22</v>
      </c>
      <c r="Y165" s="722">
        <v>13.63</v>
      </c>
      <c r="Z165" s="382">
        <v>5.1515608133420709E-2</v>
      </c>
      <c r="AA165" s="372">
        <v>55635.044916500003</v>
      </c>
      <c r="AB165" s="372">
        <v>61474.331129500002</v>
      </c>
      <c r="AC165" s="372">
        <v>75161.638412300003</v>
      </c>
      <c r="AD165" s="372">
        <v>83930.8680092</v>
      </c>
      <c r="AE165" s="372">
        <v>87960.57</v>
      </c>
      <c r="AF165" s="372">
        <v>94907.520000000004</v>
      </c>
      <c r="AG165" s="372">
        <v>102608.8</v>
      </c>
      <c r="AH165" s="372">
        <v>112880</v>
      </c>
    </row>
    <row r="166" spans="1:34">
      <c r="A166" s="372" t="s">
        <v>1885</v>
      </c>
      <c r="B166" s="373" t="s">
        <v>1886</v>
      </c>
      <c r="C166" s="372" t="s">
        <v>1887</v>
      </c>
      <c r="D166" s="374">
        <v>1301110033281</v>
      </c>
      <c r="E166" s="372" t="s">
        <v>1888</v>
      </c>
      <c r="F166" s="375" t="s">
        <v>1889</v>
      </c>
      <c r="G166" s="375" t="s">
        <v>1890</v>
      </c>
      <c r="H166" s="375" t="s">
        <v>1388</v>
      </c>
      <c r="I166" s="375" t="s">
        <v>869</v>
      </c>
      <c r="J166" s="375">
        <v>284745.24666</v>
      </c>
      <c r="K166" s="375">
        <v>28937.462810000001</v>
      </c>
      <c r="L166" s="375">
        <v>44710.749430000003</v>
      </c>
      <c r="M166" s="375">
        <v>514747.81783999997</v>
      </c>
      <c r="N166" s="372">
        <v>1.393</v>
      </c>
      <c r="O166" s="703">
        <v>3.0872619006914013</v>
      </c>
      <c r="P166" s="375" t="s">
        <v>623</v>
      </c>
      <c r="Q166" s="375" t="s">
        <v>623</v>
      </c>
      <c r="R166" s="695">
        <v>19991222</v>
      </c>
      <c r="S166" s="375" t="s">
        <v>1891</v>
      </c>
      <c r="T166" s="696">
        <v>0.23100000000000001</v>
      </c>
      <c r="U166" s="375" t="s">
        <v>1892</v>
      </c>
      <c r="V166" s="722">
        <v>34.049999999999997</v>
      </c>
      <c r="W166" s="722">
        <v>3.1</v>
      </c>
      <c r="X166" s="722">
        <v>5.8</v>
      </c>
      <c r="Y166" s="722">
        <v>48.53</v>
      </c>
      <c r="Z166" s="382">
        <v>0.18039643134571448</v>
      </c>
      <c r="AA166" s="372">
        <v>1185.4586475000001</v>
      </c>
      <c r="AB166" s="372">
        <v>3772.9463107000001</v>
      </c>
      <c r="AC166" s="372">
        <v>4379.3872031000001</v>
      </c>
      <c r="AD166" s="372">
        <v>2847.4524666000002</v>
      </c>
      <c r="AE166" s="372">
        <v>4113.4399999999996</v>
      </c>
      <c r="AF166" s="372">
        <v>5047.8900000000003</v>
      </c>
      <c r="AG166" s="372">
        <v>5528</v>
      </c>
      <c r="AH166" s="372">
        <v>6015</v>
      </c>
    </row>
    <row r="167" spans="1:34">
      <c r="A167" s="372" t="s">
        <v>1893</v>
      </c>
      <c r="B167" s="373" t="s">
        <v>1894</v>
      </c>
      <c r="C167" s="372" t="s">
        <v>1895</v>
      </c>
      <c r="D167" s="374">
        <v>1101117736808</v>
      </c>
      <c r="E167" s="372" t="s">
        <v>1896</v>
      </c>
      <c r="F167" s="372" t="s">
        <v>1897</v>
      </c>
      <c r="G167" s="375" t="s">
        <v>1897</v>
      </c>
      <c r="H167" s="375" t="s">
        <v>1397</v>
      </c>
      <c r="I167" s="375" t="s">
        <v>755</v>
      </c>
      <c r="J167" s="375">
        <v>7991063.61668</v>
      </c>
      <c r="K167" s="375">
        <v>330659.39023000002</v>
      </c>
      <c r="L167" s="375">
        <v>279753.44456999999</v>
      </c>
      <c r="M167" s="375">
        <v>4768781.2152899997</v>
      </c>
      <c r="N167" s="372">
        <v>0.98299999999999998</v>
      </c>
      <c r="O167" s="703">
        <v>87.779493542460642</v>
      </c>
      <c r="P167" s="375" t="s">
        <v>623</v>
      </c>
      <c r="Q167" s="375" t="s">
        <v>623</v>
      </c>
      <c r="R167" s="695">
        <v>20210125</v>
      </c>
      <c r="S167" s="375" t="s">
        <v>1898</v>
      </c>
      <c r="T167" s="696">
        <v>0.23100000000000001</v>
      </c>
      <c r="U167" s="375" t="s">
        <v>1899</v>
      </c>
      <c r="V167" s="722">
        <v>3.55</v>
      </c>
      <c r="W167" s="722">
        <v>0.32</v>
      </c>
      <c r="X167" s="722">
        <v>0.19</v>
      </c>
      <c r="Y167" s="722">
        <v>8.24</v>
      </c>
      <c r="Z167" s="382">
        <v>4.3761993169782798E-2</v>
      </c>
      <c r="AA167" s="372">
        <v>0</v>
      </c>
      <c r="AB167" s="372">
        <v>76316.508985799999</v>
      </c>
      <c r="AC167" s="372">
        <v>74968.236794600001</v>
      </c>
      <c r="AD167" s="372">
        <v>79910.636166800003</v>
      </c>
      <c r="AE167" s="372">
        <v>85147.31</v>
      </c>
      <c r="AF167" s="372">
        <v>91396.44</v>
      </c>
      <c r="AG167" s="372">
        <v>94844.14</v>
      </c>
      <c r="AH167" s="372">
        <v>91470</v>
      </c>
    </row>
    <row r="168" spans="1:34">
      <c r="A168" s="372" t="s">
        <v>1900</v>
      </c>
      <c r="B168" s="373" t="s">
        <v>1901</v>
      </c>
      <c r="C168" s="372" t="s">
        <v>1902</v>
      </c>
      <c r="D168" s="374">
        <v>1301110005199</v>
      </c>
      <c r="E168" s="372" t="s">
        <v>1903</v>
      </c>
      <c r="F168" s="375" t="s">
        <v>852</v>
      </c>
      <c r="G168" s="375" t="s">
        <v>852</v>
      </c>
      <c r="H168" s="375" t="s">
        <v>853</v>
      </c>
      <c r="I168" s="375" t="s">
        <v>755</v>
      </c>
      <c r="J168" s="375">
        <v>9133867</v>
      </c>
      <c r="K168" s="375">
        <v>237283</v>
      </c>
      <c r="L168" s="375">
        <v>70744</v>
      </c>
      <c r="M168" s="375">
        <v>2155841</v>
      </c>
      <c r="N168" s="372">
        <v>0.98699999999999999</v>
      </c>
      <c r="O168" s="703">
        <v>505.01541310935102</v>
      </c>
      <c r="P168" s="375" t="s">
        <v>623</v>
      </c>
      <c r="Q168" s="375" t="s">
        <v>623</v>
      </c>
      <c r="R168" s="695">
        <v>19770630</v>
      </c>
      <c r="S168" s="375" t="s">
        <v>1904</v>
      </c>
      <c r="T168" s="696">
        <v>0.23100000000000001</v>
      </c>
      <c r="U168" s="375" t="s">
        <v>1905</v>
      </c>
      <c r="V168" s="722">
        <v>5.33</v>
      </c>
      <c r="W168" s="722">
        <v>0.57999999999999996</v>
      </c>
      <c r="X168" s="722">
        <v>0.15</v>
      </c>
      <c r="Y168" s="722" t="s">
        <v>774</v>
      </c>
      <c r="Z168" s="382">
        <v>2.0941614634625738E-2</v>
      </c>
      <c r="AA168" s="372">
        <v>106259.06</v>
      </c>
      <c r="AB168" s="372">
        <v>110181.4</v>
      </c>
      <c r="AC168" s="372">
        <v>94261.6</v>
      </c>
      <c r="AD168" s="372">
        <v>91338.67</v>
      </c>
      <c r="AE168" s="372">
        <v>91379.8</v>
      </c>
      <c r="AF168" s="372">
        <v>93546.6</v>
      </c>
      <c r="AG168" s="372">
        <v>99233.5</v>
      </c>
      <c r="AH168" s="372">
        <v>0</v>
      </c>
    </row>
    <row r="169" spans="1:34">
      <c r="A169" s="372" t="s">
        <v>1906</v>
      </c>
      <c r="B169" s="373" t="s">
        <v>1907</v>
      </c>
      <c r="C169" s="372" t="s">
        <v>1908</v>
      </c>
      <c r="D169" s="374">
        <v>1101116770154</v>
      </c>
      <c r="E169" s="372" t="s">
        <v>1909</v>
      </c>
      <c r="F169" s="375" t="s">
        <v>1426</v>
      </c>
      <c r="G169" s="375" t="s">
        <v>1426</v>
      </c>
      <c r="H169" s="375" t="s">
        <v>754</v>
      </c>
      <c r="I169" s="375" t="s">
        <v>755</v>
      </c>
      <c r="J169" s="375">
        <v>4300571.5032500001</v>
      </c>
      <c r="K169" s="375">
        <v>257836.94761</v>
      </c>
      <c r="L169" s="375">
        <v>169663.76300000001</v>
      </c>
      <c r="M169" s="375">
        <v>1224159.40965</v>
      </c>
      <c r="N169" s="372">
        <v>0.80400000000000005</v>
      </c>
      <c r="O169" s="703">
        <v>45.408964065910325</v>
      </c>
      <c r="P169" s="375" t="s">
        <v>623</v>
      </c>
      <c r="Q169" s="375" t="s">
        <v>623</v>
      </c>
      <c r="R169" s="695">
        <v>20180713</v>
      </c>
      <c r="S169" s="375" t="s">
        <v>772</v>
      </c>
      <c r="T169" s="696">
        <v>0.23100000000000001</v>
      </c>
      <c r="U169" s="375" t="s">
        <v>1910</v>
      </c>
      <c r="V169" s="722">
        <v>7.63</v>
      </c>
      <c r="W169" s="722">
        <v>1.4</v>
      </c>
      <c r="X169" s="722">
        <v>0.35</v>
      </c>
      <c r="Y169" s="722">
        <v>13.02</v>
      </c>
      <c r="Z169" s="382">
        <v>8.8282344507790045E-2</v>
      </c>
      <c r="AA169" s="372">
        <v>29839.7086303</v>
      </c>
      <c r="AB169" s="372">
        <v>30946.986447800002</v>
      </c>
      <c r="AC169" s="372">
        <v>35101.439176300002</v>
      </c>
      <c r="AD169" s="372">
        <v>43005.715032499997</v>
      </c>
      <c r="AE169" s="372">
        <v>48537.71</v>
      </c>
      <c r="AF169" s="372">
        <v>54207.43</v>
      </c>
      <c r="AG169" s="372">
        <v>60324.33</v>
      </c>
      <c r="AH169" s="372">
        <v>67250</v>
      </c>
    </row>
    <row r="170" spans="1:34">
      <c r="A170" s="372" t="s">
        <v>1911</v>
      </c>
      <c r="B170" s="373" t="s">
        <v>1912</v>
      </c>
      <c r="C170" s="372" t="s">
        <v>1913</v>
      </c>
      <c r="D170" s="374">
        <v>1341110002258</v>
      </c>
      <c r="E170" s="372" t="s">
        <v>1914</v>
      </c>
      <c r="F170" s="375" t="s">
        <v>1915</v>
      </c>
      <c r="G170" s="375" t="s">
        <v>1916</v>
      </c>
      <c r="H170" s="375" t="s">
        <v>1327</v>
      </c>
      <c r="I170" s="375" t="s">
        <v>755</v>
      </c>
      <c r="J170" s="375">
        <v>3454548.4774000002</v>
      </c>
      <c r="K170" s="375">
        <v>254893.84356000001</v>
      </c>
      <c r="L170" s="375">
        <v>219985.12340000001</v>
      </c>
      <c r="M170" s="375">
        <v>2063540.79908</v>
      </c>
      <c r="N170" s="372">
        <v>0.55400000000000005</v>
      </c>
      <c r="O170" s="703">
        <v>62.880227515148398</v>
      </c>
      <c r="P170" s="375" t="s">
        <v>623</v>
      </c>
      <c r="Q170" s="375" t="s">
        <v>623</v>
      </c>
      <c r="R170" s="695">
        <v>19940812</v>
      </c>
      <c r="S170" s="375" t="s">
        <v>1917</v>
      </c>
      <c r="T170" s="696">
        <v>0.23100000000000001</v>
      </c>
      <c r="U170" s="375" t="s">
        <v>1918</v>
      </c>
      <c r="V170" s="722">
        <v>4.57</v>
      </c>
      <c r="W170" s="722">
        <v>0.71</v>
      </c>
      <c r="X170" s="722">
        <v>0.46</v>
      </c>
      <c r="Y170" s="722">
        <v>10</v>
      </c>
      <c r="Z170" s="382" t="s">
        <v>934</v>
      </c>
      <c r="AA170" s="372">
        <v>25958.8091164</v>
      </c>
      <c r="AB170" s="372">
        <v>27390.368591999999</v>
      </c>
      <c r="AC170" s="372">
        <v>31833.148536600002</v>
      </c>
      <c r="AD170" s="372">
        <v>34545.484773999997</v>
      </c>
      <c r="AE170" s="372">
        <v>36164</v>
      </c>
      <c r="AF170" s="372">
        <v>37530</v>
      </c>
      <c r="AG170" s="372">
        <v>0</v>
      </c>
      <c r="AH170" s="372">
        <v>0</v>
      </c>
    </row>
    <row r="171" spans="1:34">
      <c r="A171" s="372" t="s">
        <v>1919</v>
      </c>
      <c r="B171" s="373" t="s">
        <v>1920</v>
      </c>
      <c r="C171" s="372" t="s">
        <v>1921</v>
      </c>
      <c r="D171" s="374">
        <v>1344110001519</v>
      </c>
      <c r="E171" s="372" t="s">
        <v>1922</v>
      </c>
      <c r="F171" s="372" t="s">
        <v>1923</v>
      </c>
      <c r="G171" s="375" t="s">
        <v>1924</v>
      </c>
      <c r="H171" s="375" t="s">
        <v>1050</v>
      </c>
      <c r="I171" s="375" t="s">
        <v>755</v>
      </c>
      <c r="J171" s="375">
        <v>2602099.2118799998</v>
      </c>
      <c r="K171" s="375">
        <v>82620.342529999994</v>
      </c>
      <c r="L171" s="375">
        <v>401618.13994000002</v>
      </c>
      <c r="M171" s="375">
        <v>1371566.7250000001</v>
      </c>
      <c r="N171" s="372">
        <v>1.028</v>
      </c>
      <c r="O171" s="703">
        <v>62.766044612993987</v>
      </c>
      <c r="P171" s="375" t="s">
        <v>623</v>
      </c>
      <c r="Q171" s="375" t="s">
        <v>623</v>
      </c>
      <c r="R171" s="695">
        <v>19960703</v>
      </c>
      <c r="S171" s="375" t="s">
        <v>1925</v>
      </c>
      <c r="T171" s="696">
        <v>0.26400000000000001</v>
      </c>
      <c r="U171" s="375" t="s">
        <v>1926</v>
      </c>
      <c r="V171" s="722">
        <v>16.22</v>
      </c>
      <c r="W171" s="722">
        <v>1.23</v>
      </c>
      <c r="X171" s="722">
        <v>0.68</v>
      </c>
      <c r="Y171" s="722">
        <v>5.52</v>
      </c>
      <c r="Z171" s="382" t="s">
        <v>934</v>
      </c>
      <c r="AA171" s="372">
        <v>18211.846708100002</v>
      </c>
      <c r="AB171" s="372">
        <v>19734.264157699999</v>
      </c>
      <c r="AC171" s="372">
        <v>21293.0110126</v>
      </c>
      <c r="AD171" s="372">
        <v>26020.992118800001</v>
      </c>
      <c r="AE171" s="372">
        <v>21341</v>
      </c>
      <c r="AF171" s="372">
        <v>0</v>
      </c>
      <c r="AG171" s="372">
        <v>0</v>
      </c>
      <c r="AH171" s="372">
        <v>0</v>
      </c>
    </row>
    <row r="172" spans="1:34">
      <c r="A172" s="372" t="s">
        <v>1927</v>
      </c>
      <c r="B172" s="373" t="s">
        <v>1928</v>
      </c>
      <c r="C172" s="372" t="s">
        <v>1929</v>
      </c>
      <c r="D172" s="374">
        <v>1348110003327</v>
      </c>
      <c r="E172" s="372" t="s">
        <v>1930</v>
      </c>
      <c r="F172" s="375" t="s">
        <v>1334</v>
      </c>
      <c r="G172" s="375" t="s">
        <v>1334</v>
      </c>
      <c r="H172" s="375" t="s">
        <v>868</v>
      </c>
      <c r="I172" s="375" t="s">
        <v>869</v>
      </c>
      <c r="J172" s="375">
        <v>192668.51561999999</v>
      </c>
      <c r="K172" s="375">
        <v>9559.8143299999992</v>
      </c>
      <c r="L172" s="375">
        <v>-4548.5197699999999</v>
      </c>
      <c r="M172" s="375">
        <v>298460.07192999998</v>
      </c>
      <c r="N172" s="372">
        <v>1.478</v>
      </c>
      <c r="O172" s="703">
        <v>2.2527399564343331</v>
      </c>
      <c r="P172" s="375" t="s">
        <v>623</v>
      </c>
      <c r="Q172" s="372" t="s">
        <v>623</v>
      </c>
      <c r="R172" s="695">
        <v>20000929</v>
      </c>
      <c r="S172" s="375" t="s">
        <v>1931</v>
      </c>
      <c r="T172" s="696" t="s">
        <v>772</v>
      </c>
      <c r="U172" s="375" t="s">
        <v>1932</v>
      </c>
      <c r="V172" s="722">
        <v>105.12</v>
      </c>
      <c r="W172" s="722">
        <v>8.15</v>
      </c>
      <c r="X172" s="722">
        <v>9.41</v>
      </c>
      <c r="Y172" s="722" t="s">
        <v>774</v>
      </c>
      <c r="Z172" s="382" t="s">
        <v>934</v>
      </c>
      <c r="AA172" s="372">
        <v>1668.6233379</v>
      </c>
      <c r="AB172" s="372">
        <v>1672.7490387</v>
      </c>
      <c r="AC172" s="372">
        <v>1773.3541001000001</v>
      </c>
      <c r="AD172" s="372">
        <v>1926.6851561999999</v>
      </c>
      <c r="AE172" s="372">
        <v>0</v>
      </c>
      <c r="AF172" s="372">
        <v>0</v>
      </c>
      <c r="AG172" s="372">
        <v>0</v>
      </c>
      <c r="AH172" s="372">
        <v>0</v>
      </c>
    </row>
    <row r="173" spans="1:34">
      <c r="A173" s="372" t="s">
        <v>1933</v>
      </c>
      <c r="B173" s="373" t="s">
        <v>1934</v>
      </c>
      <c r="C173" s="372" t="s">
        <v>1935</v>
      </c>
      <c r="D173" s="374">
        <v>1101111568885</v>
      </c>
      <c r="E173" s="372" t="s">
        <v>1936</v>
      </c>
      <c r="F173" s="375" t="s">
        <v>1062</v>
      </c>
      <c r="G173" s="375" t="s">
        <v>1062</v>
      </c>
      <c r="H173" s="375" t="s">
        <v>868</v>
      </c>
      <c r="I173" s="375" t="s">
        <v>869</v>
      </c>
      <c r="J173" s="375">
        <v>97990.44068</v>
      </c>
      <c r="K173" s="375">
        <v>-24532.796109999999</v>
      </c>
      <c r="L173" s="375">
        <v>-6503.1099400000003</v>
      </c>
      <c r="M173" s="375">
        <v>231212.93427999999</v>
      </c>
      <c r="N173" s="372">
        <v>1.071</v>
      </c>
      <c r="O173" s="703">
        <v>8.9961254360739495</v>
      </c>
      <c r="P173" s="375" t="s">
        <v>623</v>
      </c>
      <c r="Q173" s="375" t="s">
        <v>623</v>
      </c>
      <c r="R173" s="695">
        <v>20081125</v>
      </c>
      <c r="S173" s="375" t="s">
        <v>1937</v>
      </c>
      <c r="T173" s="696" t="s">
        <v>772</v>
      </c>
      <c r="U173" s="372" t="s">
        <v>1938</v>
      </c>
      <c r="V173" s="722" t="s">
        <v>774</v>
      </c>
      <c r="W173" s="722">
        <v>5.04</v>
      </c>
      <c r="X173" s="722">
        <v>11.89</v>
      </c>
      <c r="Y173" s="722" t="s">
        <v>774</v>
      </c>
      <c r="Z173" s="382" t="s">
        <v>934</v>
      </c>
      <c r="AA173" s="372">
        <v>917.9682368</v>
      </c>
      <c r="AB173" s="372">
        <v>534.94248119999997</v>
      </c>
      <c r="AC173" s="372">
        <v>995.91375500000004</v>
      </c>
      <c r="AD173" s="372">
        <v>979.90440679999995</v>
      </c>
      <c r="AE173" s="372">
        <v>0</v>
      </c>
      <c r="AF173" s="372">
        <v>0</v>
      </c>
      <c r="AG173" s="372">
        <v>0</v>
      </c>
      <c r="AH173" s="372">
        <v>0</v>
      </c>
    </row>
    <row r="174" spans="1:34">
      <c r="A174" s="372" t="s">
        <v>1939</v>
      </c>
      <c r="B174" s="373" t="s">
        <v>1940</v>
      </c>
      <c r="C174" s="372" t="s">
        <v>1941</v>
      </c>
      <c r="D174" s="374">
        <v>1942110000125</v>
      </c>
      <c r="E174" s="372" t="s">
        <v>1942</v>
      </c>
      <c r="F174" s="375" t="s">
        <v>1881</v>
      </c>
      <c r="G174" s="375" t="s">
        <v>1882</v>
      </c>
      <c r="H174" s="375" t="s">
        <v>797</v>
      </c>
      <c r="I174" s="375" t="s">
        <v>755</v>
      </c>
      <c r="J174" s="375">
        <v>8590316</v>
      </c>
      <c r="K174" s="375">
        <v>229216</v>
      </c>
      <c r="L174" s="375">
        <v>106746</v>
      </c>
      <c r="M174" s="375">
        <v>3766754</v>
      </c>
      <c r="N174" s="372">
        <v>1.0720000000000001</v>
      </c>
      <c r="O174" s="703">
        <v>94.351736534135739</v>
      </c>
      <c r="P174" s="375" t="s">
        <v>623</v>
      </c>
      <c r="Q174" s="375" t="s">
        <v>623</v>
      </c>
      <c r="R174" s="695">
        <v>20110221</v>
      </c>
      <c r="S174" s="375" t="s">
        <v>1943</v>
      </c>
      <c r="T174" s="696">
        <v>0.23100000000000001</v>
      </c>
      <c r="U174" s="375" t="s">
        <v>1944</v>
      </c>
      <c r="V174" s="722">
        <v>4.8499999999999996</v>
      </c>
      <c r="W174" s="722">
        <v>0.51</v>
      </c>
      <c r="X174" s="722">
        <v>0.21</v>
      </c>
      <c r="Y174" s="722">
        <v>19.36</v>
      </c>
      <c r="Z174" s="382">
        <v>3.3722332019989087E-2</v>
      </c>
      <c r="AA174" s="372">
        <v>65922.42</v>
      </c>
      <c r="AB174" s="372">
        <v>75277.39</v>
      </c>
      <c r="AC174" s="372">
        <v>82076.14</v>
      </c>
      <c r="AD174" s="372">
        <v>85903.16</v>
      </c>
      <c r="AE174" s="372">
        <v>88729.47</v>
      </c>
      <c r="AF174" s="372">
        <v>94114.47</v>
      </c>
      <c r="AG174" s="372">
        <v>98090</v>
      </c>
      <c r="AH174" s="372">
        <v>101760</v>
      </c>
    </row>
    <row r="175" spans="1:34">
      <c r="A175" s="372" t="s">
        <v>1945</v>
      </c>
      <c r="B175" s="373" t="s">
        <v>1946</v>
      </c>
      <c r="C175" s="372" t="s">
        <v>1947</v>
      </c>
      <c r="D175" s="374">
        <v>1101111109134</v>
      </c>
      <c r="E175" s="372" t="s">
        <v>1948</v>
      </c>
      <c r="F175" s="375" t="s">
        <v>1949</v>
      </c>
      <c r="G175" s="375" t="s">
        <v>1949</v>
      </c>
      <c r="H175" s="375" t="s">
        <v>1950</v>
      </c>
      <c r="I175" s="375" t="s">
        <v>869</v>
      </c>
      <c r="J175" s="375">
        <v>4368360.6565100001</v>
      </c>
      <c r="K175" s="375">
        <v>-14600.378000000001</v>
      </c>
      <c r="L175" s="375">
        <v>-335118.92713000003</v>
      </c>
      <c r="M175" s="375">
        <v>4177764.4978900002</v>
      </c>
      <c r="N175" s="372">
        <v>0.94399999999999995</v>
      </c>
      <c r="O175" s="703">
        <v>206.75504535385616</v>
      </c>
      <c r="P175" s="375" t="s">
        <v>623</v>
      </c>
      <c r="Q175" s="375" t="s">
        <v>623</v>
      </c>
      <c r="R175" s="695">
        <v>19991120</v>
      </c>
      <c r="S175" s="375" t="s">
        <v>1951</v>
      </c>
      <c r="T175" s="696" t="s">
        <v>772</v>
      </c>
      <c r="U175" s="375" t="s">
        <v>1952</v>
      </c>
      <c r="V175" s="722">
        <v>4.82</v>
      </c>
      <c r="W175" s="722">
        <v>0.45</v>
      </c>
      <c r="X175" s="722">
        <v>0.36</v>
      </c>
      <c r="Y175" s="722" t="s">
        <v>774</v>
      </c>
      <c r="Z175" s="382">
        <v>6.5560649961377226E-2</v>
      </c>
      <c r="AA175" s="372">
        <v>33911.840028699997</v>
      </c>
      <c r="AB175" s="372">
        <v>35523.965423000001</v>
      </c>
      <c r="AC175" s="372">
        <v>47922.377888700001</v>
      </c>
      <c r="AD175" s="372">
        <v>43683.606565100003</v>
      </c>
      <c r="AE175" s="372">
        <v>49741.440000000002</v>
      </c>
      <c r="AF175" s="372">
        <v>52779.35</v>
      </c>
      <c r="AG175" s="372">
        <v>56315.92</v>
      </c>
      <c r="AH175" s="372">
        <v>0</v>
      </c>
    </row>
    <row r="176" spans="1:34">
      <c r="A176" s="372" t="s">
        <v>1953</v>
      </c>
      <c r="B176" s="373" t="s">
        <v>1954</v>
      </c>
      <c r="C176" s="372" t="s">
        <v>1955</v>
      </c>
      <c r="D176" s="374">
        <v>1101110371148</v>
      </c>
      <c r="E176" s="372" t="s">
        <v>1956</v>
      </c>
      <c r="F176" s="375" t="s">
        <v>1957</v>
      </c>
      <c r="G176" s="375" t="s">
        <v>1958</v>
      </c>
      <c r="H176" s="375" t="s">
        <v>1397</v>
      </c>
      <c r="I176" s="375" t="s">
        <v>755</v>
      </c>
      <c r="J176" s="375">
        <v>1533850.79149</v>
      </c>
      <c r="K176" s="375">
        <v>199376.38125000001</v>
      </c>
      <c r="L176" s="375">
        <v>210917.3187</v>
      </c>
      <c r="M176" s="375">
        <v>1272596.4079400001</v>
      </c>
      <c r="N176" s="372">
        <v>0.66600000000000004</v>
      </c>
      <c r="O176" s="703">
        <v>0.50863621749408983</v>
      </c>
      <c r="P176" s="375" t="s">
        <v>623</v>
      </c>
      <c r="Q176" s="375" t="s">
        <v>623</v>
      </c>
      <c r="R176" s="695">
        <v>20071214</v>
      </c>
      <c r="S176" s="375" t="s">
        <v>1959</v>
      </c>
      <c r="T176" s="696">
        <v>0.23100000000000001</v>
      </c>
      <c r="U176" s="372" t="s">
        <v>1960</v>
      </c>
      <c r="V176" s="722">
        <v>6.1</v>
      </c>
      <c r="W176" s="722">
        <v>1.2</v>
      </c>
      <c r="X176" s="722">
        <v>1</v>
      </c>
      <c r="Y176" s="722">
        <v>9.42</v>
      </c>
      <c r="Z176" s="382">
        <v>2.35577202692554E-2</v>
      </c>
      <c r="AA176" s="372">
        <v>13032.017661100001</v>
      </c>
      <c r="AB176" s="372">
        <v>13805.534289900001</v>
      </c>
      <c r="AC176" s="372">
        <v>14290.748364499999</v>
      </c>
      <c r="AD176" s="372">
        <v>15338.507914899999</v>
      </c>
      <c r="AE176" s="372">
        <v>15367.13</v>
      </c>
      <c r="AF176" s="372">
        <v>15915.5</v>
      </c>
      <c r="AG176" s="372">
        <v>16835.75</v>
      </c>
      <c r="AH176" s="372">
        <v>0</v>
      </c>
    </row>
    <row r="177" spans="1:34">
      <c r="A177" s="372" t="s">
        <v>1961</v>
      </c>
      <c r="B177" s="373" t="s">
        <v>1962</v>
      </c>
      <c r="C177" s="372" t="s">
        <v>1963</v>
      </c>
      <c r="D177" s="374">
        <v>1201110234469</v>
      </c>
      <c r="E177" s="372" t="s">
        <v>1964</v>
      </c>
      <c r="F177" s="372" t="s">
        <v>1292</v>
      </c>
      <c r="G177" s="375" t="s">
        <v>1293</v>
      </c>
      <c r="H177" s="375" t="s">
        <v>1050</v>
      </c>
      <c r="I177" s="375" t="s">
        <v>755</v>
      </c>
      <c r="J177" s="375">
        <v>4659604.5960600004</v>
      </c>
      <c r="K177" s="375">
        <v>418264.36787000002</v>
      </c>
      <c r="L177" s="375">
        <v>342375.32260000001</v>
      </c>
      <c r="M177" s="375">
        <v>1813316.00202</v>
      </c>
      <c r="N177" s="372">
        <v>1.5109999999999999</v>
      </c>
      <c r="O177" s="703">
        <v>80.301896677047552</v>
      </c>
      <c r="P177" s="375" t="s">
        <v>623</v>
      </c>
      <c r="Q177" s="372" t="s">
        <v>623</v>
      </c>
      <c r="R177" s="695">
        <v>20010202</v>
      </c>
      <c r="S177" s="372" t="s">
        <v>1965</v>
      </c>
      <c r="T177" s="696">
        <v>0.26400000000000001</v>
      </c>
      <c r="U177" s="372" t="s">
        <v>15983</v>
      </c>
      <c r="V177" s="722">
        <v>4.5999999999999996</v>
      </c>
      <c r="W177" s="722">
        <v>0.89</v>
      </c>
      <c r="X177" s="722">
        <v>0.35</v>
      </c>
      <c r="Y177" s="722">
        <v>7.02</v>
      </c>
      <c r="Z177" s="382">
        <v>2.7047430884477919E-2</v>
      </c>
      <c r="AA177" s="372">
        <v>39881.039970600003</v>
      </c>
      <c r="AB177" s="372">
        <v>45936.651463399998</v>
      </c>
      <c r="AC177" s="372">
        <v>47561.135016699998</v>
      </c>
      <c r="AD177" s="372">
        <v>46596.0459606</v>
      </c>
      <c r="AE177" s="372">
        <v>48132.73</v>
      </c>
      <c r="AF177" s="372">
        <v>50472.82</v>
      </c>
      <c r="AG177" s="372">
        <v>51845.5</v>
      </c>
      <c r="AH177" s="372">
        <v>49640</v>
      </c>
    </row>
    <row r="178" spans="1:34">
      <c r="A178" s="372" t="s">
        <v>1966</v>
      </c>
      <c r="B178" s="373" t="s">
        <v>1967</v>
      </c>
      <c r="C178" s="372" t="s">
        <v>1968</v>
      </c>
      <c r="D178" s="374">
        <v>1101116770170</v>
      </c>
      <c r="E178" s="372" t="s">
        <v>1969</v>
      </c>
      <c r="F178" s="375" t="s">
        <v>1970</v>
      </c>
      <c r="G178" s="375" t="s">
        <v>1970</v>
      </c>
      <c r="H178" s="375" t="s">
        <v>832</v>
      </c>
      <c r="I178" s="375" t="s">
        <v>755</v>
      </c>
      <c r="J178" s="375">
        <v>3202331.17949</v>
      </c>
      <c r="K178" s="375">
        <v>172374.38407999999</v>
      </c>
      <c r="L178" s="375">
        <v>73339.816500000001</v>
      </c>
      <c r="M178" s="375">
        <v>750094.58360000001</v>
      </c>
      <c r="N178" s="372">
        <v>1.333</v>
      </c>
      <c r="O178" s="703">
        <v>106.41179237428892</v>
      </c>
      <c r="P178" s="375" t="s">
        <v>623</v>
      </c>
      <c r="Q178" s="372" t="s">
        <v>623</v>
      </c>
      <c r="R178" s="695">
        <v>20180713</v>
      </c>
      <c r="S178" s="375" t="s">
        <v>1971</v>
      </c>
      <c r="T178" s="696">
        <v>0.23100000000000001</v>
      </c>
      <c r="U178" s="372" t="s">
        <v>1972</v>
      </c>
      <c r="V178" s="722">
        <v>10.33</v>
      </c>
      <c r="W178" s="722">
        <v>2.63</v>
      </c>
      <c r="X178" s="722">
        <v>0.56000000000000005</v>
      </c>
      <c r="Y178" s="722">
        <v>50.34</v>
      </c>
      <c r="Z178" s="382">
        <v>5.2317881387464293E-2</v>
      </c>
      <c r="AA178" s="372">
        <v>23946.228989200001</v>
      </c>
      <c r="AB178" s="372">
        <v>35977.771003599999</v>
      </c>
      <c r="AC178" s="372">
        <v>38413.728257000002</v>
      </c>
      <c r="AD178" s="372">
        <v>32023.311794900001</v>
      </c>
      <c r="AE178" s="372">
        <v>34873.89</v>
      </c>
      <c r="AF178" s="372">
        <v>37062.67</v>
      </c>
      <c r="AG178" s="372">
        <v>39269.379999999997</v>
      </c>
      <c r="AH178" s="372">
        <v>0</v>
      </c>
    </row>
    <row r="179" spans="1:34">
      <c r="A179" s="372" t="s">
        <v>1973</v>
      </c>
      <c r="B179" s="373" t="s">
        <v>1974</v>
      </c>
      <c r="C179" s="372" t="s">
        <v>1975</v>
      </c>
      <c r="D179" s="374">
        <v>1101110028591</v>
      </c>
      <c r="E179" s="372" t="s">
        <v>1976</v>
      </c>
      <c r="F179" s="375" t="s">
        <v>1977</v>
      </c>
      <c r="G179" s="375" t="s">
        <v>1978</v>
      </c>
      <c r="H179" s="375" t="s">
        <v>1327</v>
      </c>
      <c r="I179" s="375" t="s">
        <v>755</v>
      </c>
      <c r="J179" s="375">
        <v>2520181.55162</v>
      </c>
      <c r="K179" s="375">
        <v>123919.98338000001</v>
      </c>
      <c r="L179" s="375">
        <v>68456.908150000003</v>
      </c>
      <c r="M179" s="375">
        <v>1115875.6283400001</v>
      </c>
      <c r="N179" s="372">
        <v>0.74399999999999999</v>
      </c>
      <c r="O179" s="703">
        <v>73.768374542155755</v>
      </c>
      <c r="P179" s="375" t="s">
        <v>623</v>
      </c>
      <c r="Q179" s="375" t="s">
        <v>623</v>
      </c>
      <c r="R179" s="695">
        <v>19730627</v>
      </c>
      <c r="S179" s="375" t="s">
        <v>1979</v>
      </c>
      <c r="T179" s="696">
        <v>0.23100000000000001</v>
      </c>
      <c r="U179" s="375" t="s">
        <v>1980</v>
      </c>
      <c r="V179" s="722">
        <v>8.57</v>
      </c>
      <c r="W179" s="722">
        <v>1.37</v>
      </c>
      <c r="X179" s="722">
        <v>0.64</v>
      </c>
      <c r="Y179" s="722">
        <v>44.98</v>
      </c>
      <c r="Z179" s="382">
        <v>2.5787066739447306E-2</v>
      </c>
      <c r="AA179" s="372">
        <v>22563.229458500002</v>
      </c>
      <c r="AB179" s="372">
        <v>22029.038503700001</v>
      </c>
      <c r="AC179" s="372">
        <v>24975.548214400002</v>
      </c>
      <c r="AD179" s="372">
        <v>25201.8155162</v>
      </c>
      <c r="AE179" s="372">
        <v>26387.64</v>
      </c>
      <c r="AF179" s="372">
        <v>27140.36</v>
      </c>
      <c r="AG179" s="372">
        <v>27903.63</v>
      </c>
      <c r="AH179" s="372">
        <v>0</v>
      </c>
    </row>
    <row r="180" spans="1:34">
      <c r="A180" s="372" t="s">
        <v>1981</v>
      </c>
      <c r="B180" s="373" t="s">
        <v>1982</v>
      </c>
      <c r="C180" s="372" t="s">
        <v>1983</v>
      </c>
      <c r="D180" s="374">
        <v>1313110163174</v>
      </c>
      <c r="E180" s="372" t="s">
        <v>1984</v>
      </c>
      <c r="F180" s="372" t="s">
        <v>1985</v>
      </c>
      <c r="G180" s="375" t="s">
        <v>1985</v>
      </c>
      <c r="H180" s="375" t="s">
        <v>1388</v>
      </c>
      <c r="I180" s="375" t="s">
        <v>869</v>
      </c>
      <c r="J180" s="375">
        <v>690337.58677000005</v>
      </c>
      <c r="K180" s="375">
        <v>-18074.991249999999</v>
      </c>
      <c r="L180" s="375">
        <v>-20856.769179999999</v>
      </c>
      <c r="M180" s="375">
        <v>866702.59550000005</v>
      </c>
      <c r="N180" s="372">
        <v>1.08</v>
      </c>
      <c r="O180" s="703">
        <v>0.50044659729072682</v>
      </c>
      <c r="P180" s="375" t="s">
        <v>623</v>
      </c>
      <c r="Q180" s="375" t="s">
        <v>623</v>
      </c>
      <c r="R180" s="695">
        <v>20160502</v>
      </c>
      <c r="S180" s="375" t="s">
        <v>1986</v>
      </c>
      <c r="T180" s="696" t="s">
        <v>772</v>
      </c>
      <c r="U180" s="375" t="s">
        <v>1987</v>
      </c>
      <c r="V180" s="722">
        <v>61.63</v>
      </c>
      <c r="W180" s="722">
        <v>1.9</v>
      </c>
      <c r="X180" s="722">
        <v>2.41</v>
      </c>
      <c r="Y180" s="722" t="s">
        <v>774</v>
      </c>
      <c r="Z180" s="382">
        <v>0.13595198509328954</v>
      </c>
      <c r="AA180" s="372">
        <v>10909.246891000001</v>
      </c>
      <c r="AB180" s="372">
        <v>12323.021989499999</v>
      </c>
      <c r="AC180" s="372">
        <v>10114.849817</v>
      </c>
      <c r="AD180" s="372">
        <v>6903.3758676999996</v>
      </c>
      <c r="AE180" s="372">
        <v>7495</v>
      </c>
      <c r="AF180" s="372">
        <v>10349</v>
      </c>
      <c r="AG180" s="372">
        <v>11494.8</v>
      </c>
      <c r="AH180" s="372">
        <v>19550</v>
      </c>
    </row>
    <row r="181" spans="1:34">
      <c r="A181" s="372" t="s">
        <v>1988</v>
      </c>
      <c r="B181" s="373" t="s">
        <v>1989</v>
      </c>
      <c r="C181" s="372" t="s">
        <v>1990</v>
      </c>
      <c r="D181" s="374">
        <v>1101115260669</v>
      </c>
      <c r="E181" s="372" t="s">
        <v>1991</v>
      </c>
      <c r="F181" s="375" t="s">
        <v>1334</v>
      </c>
      <c r="G181" s="375" t="s">
        <v>1334</v>
      </c>
      <c r="H181" s="375" t="s">
        <v>788</v>
      </c>
      <c r="I181" s="375" t="s">
        <v>755</v>
      </c>
      <c r="J181" s="375">
        <v>1669404.43876</v>
      </c>
      <c r="K181" s="375">
        <v>246599.27903999999</v>
      </c>
      <c r="L181" s="375">
        <v>241597.84804000001</v>
      </c>
      <c r="M181" s="375">
        <v>815635.16873999999</v>
      </c>
      <c r="N181" s="372">
        <v>0.77</v>
      </c>
      <c r="O181" s="703">
        <v>16.623847342901282</v>
      </c>
      <c r="P181" s="375" t="s">
        <v>623</v>
      </c>
      <c r="Q181" s="375" t="s">
        <v>623</v>
      </c>
      <c r="R181" s="695">
        <v>20131206</v>
      </c>
      <c r="S181" s="375" t="s">
        <v>1992</v>
      </c>
      <c r="T181" s="696">
        <v>0.23100000000000001</v>
      </c>
      <c r="U181" s="375" t="s">
        <v>1993</v>
      </c>
      <c r="V181" s="722">
        <v>6.08</v>
      </c>
      <c r="W181" s="722">
        <v>1.9</v>
      </c>
      <c r="X181" s="722">
        <v>0.99</v>
      </c>
      <c r="Y181" s="722">
        <v>7.74</v>
      </c>
      <c r="Z181" s="382">
        <v>1.3594314867927393E-2</v>
      </c>
      <c r="AA181" s="372">
        <v>13030.0552439</v>
      </c>
      <c r="AB181" s="372">
        <v>13435.5936291</v>
      </c>
      <c r="AC181" s="372">
        <v>14883.4472864</v>
      </c>
      <c r="AD181" s="372">
        <v>16694.044387599999</v>
      </c>
      <c r="AE181" s="372">
        <v>15457.4</v>
      </c>
      <c r="AF181" s="372">
        <v>16085.4</v>
      </c>
      <c r="AG181" s="372">
        <v>17620.5</v>
      </c>
      <c r="AH181" s="372">
        <v>0</v>
      </c>
    </row>
    <row r="182" spans="1:34">
      <c r="A182" s="372" t="s">
        <v>1994</v>
      </c>
      <c r="B182" s="373" t="s">
        <v>1995</v>
      </c>
      <c r="C182" s="372" t="s">
        <v>1996</v>
      </c>
      <c r="D182" s="374">
        <v>1101110034233</v>
      </c>
      <c r="E182" s="372" t="s">
        <v>1997</v>
      </c>
      <c r="F182" s="372" t="s">
        <v>900</v>
      </c>
      <c r="G182" s="375" t="s">
        <v>901</v>
      </c>
      <c r="H182" s="375" t="s">
        <v>862</v>
      </c>
      <c r="I182" s="375" t="s">
        <v>755</v>
      </c>
      <c r="J182" s="375">
        <v>1089668.0571000001</v>
      </c>
      <c r="K182" s="375">
        <v>256563.45262</v>
      </c>
      <c r="L182" s="375">
        <v>205603.97269</v>
      </c>
      <c r="M182" s="375">
        <v>4016691.4593699998</v>
      </c>
      <c r="N182" s="372">
        <v>0.745</v>
      </c>
      <c r="O182" s="703">
        <v>22.125351880122341</v>
      </c>
      <c r="P182" s="375" t="s">
        <v>623</v>
      </c>
      <c r="Q182" s="375" t="s">
        <v>623</v>
      </c>
      <c r="R182" s="695">
        <v>19681227</v>
      </c>
      <c r="S182" s="375" t="s">
        <v>1998</v>
      </c>
      <c r="T182" s="696">
        <v>0.23100000000000001</v>
      </c>
      <c r="U182" s="375" t="s">
        <v>1999</v>
      </c>
      <c r="V182" s="722">
        <v>5.38</v>
      </c>
      <c r="W182" s="722">
        <v>0.37</v>
      </c>
      <c r="X182" s="722">
        <v>1.36</v>
      </c>
      <c r="Y182" s="722">
        <v>7.91</v>
      </c>
      <c r="Z182" s="382" t="s">
        <v>934</v>
      </c>
      <c r="AA182" s="372">
        <v>8191.7612164000002</v>
      </c>
      <c r="AB182" s="372">
        <v>9633.0035449000006</v>
      </c>
      <c r="AC182" s="372">
        <v>10958.9577044</v>
      </c>
      <c r="AD182" s="372">
        <v>10896.680571000001</v>
      </c>
      <c r="AE182" s="372">
        <v>12089</v>
      </c>
      <c r="AF182" s="372">
        <v>13390</v>
      </c>
      <c r="AG182" s="372">
        <v>0</v>
      </c>
      <c r="AH182" s="372">
        <v>0</v>
      </c>
    </row>
    <row r="183" spans="1:34">
      <c r="A183" s="372" t="s">
        <v>2000</v>
      </c>
      <c r="B183" s="373" t="s">
        <v>2001</v>
      </c>
      <c r="C183" s="372" t="s">
        <v>2002</v>
      </c>
      <c r="D183" s="374">
        <v>1701110429523</v>
      </c>
      <c r="E183" s="372" t="s">
        <v>2003</v>
      </c>
      <c r="F183" s="375" t="s">
        <v>860</v>
      </c>
      <c r="G183" s="375" t="s">
        <v>861</v>
      </c>
      <c r="H183" s="375" t="s">
        <v>862</v>
      </c>
      <c r="I183" s="375" t="s">
        <v>755</v>
      </c>
      <c r="J183" s="375">
        <v>4027411.7856100001</v>
      </c>
      <c r="K183" s="375">
        <v>534254.82671000005</v>
      </c>
      <c r="L183" s="375">
        <v>532356.02110000001</v>
      </c>
      <c r="M183" s="375">
        <v>6283554.1181199998</v>
      </c>
      <c r="N183" s="372">
        <v>0.76500000000000001</v>
      </c>
      <c r="O183" s="703">
        <v>1437.0300252600539</v>
      </c>
      <c r="P183" s="375" t="s">
        <v>623</v>
      </c>
      <c r="Q183" s="375" t="s">
        <v>623</v>
      </c>
      <c r="R183" s="695">
        <v>20110607</v>
      </c>
      <c r="S183" s="375" t="s">
        <v>861</v>
      </c>
      <c r="T183" s="696">
        <v>0.26400000000000001</v>
      </c>
      <c r="U183" s="372" t="s">
        <v>2004</v>
      </c>
      <c r="V183" s="722">
        <v>0</v>
      </c>
      <c r="W183" s="722">
        <v>0.24</v>
      </c>
      <c r="X183" s="722">
        <v>0.18</v>
      </c>
      <c r="Y183" s="722">
        <v>3.7</v>
      </c>
      <c r="Z183" s="382">
        <v>2.851974639786059E-2</v>
      </c>
      <c r="AA183" s="372">
        <v>20745.661208199999</v>
      </c>
      <c r="AB183" s="372">
        <v>21399.230916699998</v>
      </c>
      <c r="AC183" s="372">
        <v>29024.39673</v>
      </c>
      <c r="AD183" s="372">
        <v>40274.117856099998</v>
      </c>
      <c r="AE183" s="372">
        <v>42554.38</v>
      </c>
      <c r="AF183" s="372">
        <v>43135.71</v>
      </c>
      <c r="AG183" s="372">
        <v>45068.86</v>
      </c>
      <c r="AH183" s="372">
        <v>0</v>
      </c>
    </row>
    <row r="184" spans="1:34">
      <c r="A184" s="372" t="s">
        <v>2005</v>
      </c>
      <c r="B184" s="373" t="s">
        <v>2006</v>
      </c>
      <c r="C184" s="372" t="s">
        <v>2007</v>
      </c>
      <c r="D184" s="374">
        <v>2149110003625</v>
      </c>
      <c r="E184" s="372" t="s">
        <v>2008</v>
      </c>
      <c r="F184" s="375" t="s">
        <v>1286</v>
      </c>
      <c r="G184" s="375" t="s">
        <v>1465</v>
      </c>
      <c r="H184" s="375" t="s">
        <v>754</v>
      </c>
      <c r="I184" s="375" t="s">
        <v>755</v>
      </c>
      <c r="J184" s="375">
        <v>809006.05700000003</v>
      </c>
      <c r="K184" s="375">
        <v>11805.38226</v>
      </c>
      <c r="L184" s="375">
        <v>-37377.988969999999</v>
      </c>
      <c r="M184" s="375">
        <v>1965832.6798400001</v>
      </c>
      <c r="N184" s="372">
        <v>1.4450000000000001</v>
      </c>
      <c r="O184" s="703">
        <v>10.857309044395093</v>
      </c>
      <c r="P184" s="375" t="s">
        <v>623</v>
      </c>
      <c r="Q184" s="372" t="s">
        <v>623</v>
      </c>
      <c r="R184" s="695">
        <v>20110304</v>
      </c>
      <c r="S184" s="372" t="s">
        <v>2009</v>
      </c>
      <c r="T184" s="696" t="s">
        <v>772</v>
      </c>
      <c r="U184" s="372" t="s">
        <v>15984</v>
      </c>
      <c r="V184" s="722">
        <v>27.84</v>
      </c>
      <c r="W184" s="722">
        <v>1.35</v>
      </c>
      <c r="X184" s="722">
        <v>2.4</v>
      </c>
      <c r="Y184" s="722" t="s">
        <v>774</v>
      </c>
      <c r="Z184" s="382">
        <v>0.18388196259481693</v>
      </c>
      <c r="AA184" s="372">
        <v>5369.1698067999996</v>
      </c>
      <c r="AB184" s="372">
        <v>6888.9261350999996</v>
      </c>
      <c r="AC184" s="372">
        <v>7293.6292181999997</v>
      </c>
      <c r="AD184" s="372">
        <v>8090.0605699999996</v>
      </c>
      <c r="AE184" s="372">
        <v>10925.11</v>
      </c>
      <c r="AF184" s="372">
        <v>13070.67</v>
      </c>
      <c r="AG184" s="372">
        <v>15892.25</v>
      </c>
      <c r="AH184" s="372">
        <v>18510</v>
      </c>
    </row>
    <row r="185" spans="1:34">
      <c r="A185" s="372" t="s">
        <v>2010</v>
      </c>
      <c r="B185" s="373" t="s">
        <v>2011</v>
      </c>
      <c r="C185" s="372" t="s">
        <v>2012</v>
      </c>
      <c r="D185" s="374">
        <v>1101110013774</v>
      </c>
      <c r="E185" s="372" t="s">
        <v>2013</v>
      </c>
      <c r="F185" s="375" t="s">
        <v>900</v>
      </c>
      <c r="G185" s="375" t="s">
        <v>901</v>
      </c>
      <c r="H185" s="375" t="s">
        <v>862</v>
      </c>
      <c r="I185" s="375" t="s">
        <v>755</v>
      </c>
      <c r="J185" s="375">
        <v>19130129.881900001</v>
      </c>
      <c r="K185" s="375">
        <v>1436262.2044500001</v>
      </c>
      <c r="L185" s="375">
        <v>450973.82899000001</v>
      </c>
      <c r="M185" s="375">
        <v>11206738.545700001</v>
      </c>
      <c r="N185" s="372">
        <v>1.548</v>
      </c>
      <c r="O185" s="703">
        <v>379.06380517050246</v>
      </c>
      <c r="P185" s="375" t="s">
        <v>623</v>
      </c>
      <c r="Q185" s="375" t="s">
        <v>623</v>
      </c>
      <c r="R185" s="695">
        <v>19730629</v>
      </c>
      <c r="S185" s="372" t="s">
        <v>2014</v>
      </c>
      <c r="T185" s="696">
        <v>0.26400000000000001</v>
      </c>
      <c r="U185" s="375" t="s">
        <v>2015</v>
      </c>
      <c r="V185" s="722">
        <v>7.12</v>
      </c>
      <c r="W185" s="722">
        <v>1.1100000000000001</v>
      </c>
      <c r="X185" s="722">
        <v>0.11</v>
      </c>
      <c r="Y185" s="722" t="s">
        <v>774</v>
      </c>
      <c r="Z185" s="382">
        <v>2.7498801788966354E-2</v>
      </c>
      <c r="AA185" s="372">
        <v>114285.4916143</v>
      </c>
      <c r="AB185" s="372">
        <v>128514.8579201</v>
      </c>
      <c r="AC185" s="372">
        <v>169957.60103009999</v>
      </c>
      <c r="AD185" s="372">
        <v>191301.29881899999</v>
      </c>
      <c r="AE185" s="372">
        <v>195300</v>
      </c>
      <c r="AF185" s="372">
        <v>205070</v>
      </c>
      <c r="AG185" s="372">
        <v>213227.5</v>
      </c>
      <c r="AH185" s="372">
        <v>0</v>
      </c>
    </row>
    <row r="186" spans="1:34">
      <c r="A186" s="372" t="s">
        <v>2016</v>
      </c>
      <c r="B186" s="373" t="s">
        <v>2017</v>
      </c>
      <c r="C186" s="372" t="s">
        <v>16139</v>
      </c>
      <c r="D186" s="374">
        <v>1601110206866</v>
      </c>
      <c r="E186" s="372" t="s">
        <v>15985</v>
      </c>
      <c r="F186" s="375" t="s">
        <v>1124</v>
      </c>
      <c r="G186" s="375" t="s">
        <v>1347</v>
      </c>
      <c r="H186" s="375" t="s">
        <v>1348</v>
      </c>
      <c r="I186" s="375" t="s">
        <v>869</v>
      </c>
      <c r="J186" s="375">
        <v>34145.640059999998</v>
      </c>
      <c r="K186" s="375">
        <v>-80822.342650000006</v>
      </c>
      <c r="L186" s="375">
        <v>-75746.558080000003</v>
      </c>
      <c r="M186" s="375">
        <v>148221.2672</v>
      </c>
      <c r="N186" s="372">
        <v>0.98399999999999999</v>
      </c>
      <c r="O186" s="703">
        <v>0.51655154269348968</v>
      </c>
      <c r="P186" s="375" t="s">
        <v>623</v>
      </c>
      <c r="Q186" s="375" t="s">
        <v>623</v>
      </c>
      <c r="R186" s="695">
        <v>20130510</v>
      </c>
      <c r="S186" s="375" t="s">
        <v>2018</v>
      </c>
      <c r="T186" s="696" t="s">
        <v>772</v>
      </c>
      <c r="U186" s="375" t="s">
        <v>2019</v>
      </c>
      <c r="V186" s="722" t="s">
        <v>774</v>
      </c>
      <c r="W186" s="722">
        <v>12.07</v>
      </c>
      <c r="X186" s="722">
        <v>53.27</v>
      </c>
      <c r="Y186" s="722" t="s">
        <v>774</v>
      </c>
      <c r="Z186" s="382">
        <v>0.44652679792875016</v>
      </c>
      <c r="AA186" s="372">
        <v>493.93701590000001</v>
      </c>
      <c r="AB186" s="372">
        <v>321.57006369999999</v>
      </c>
      <c r="AC186" s="372">
        <v>334.12042600000001</v>
      </c>
      <c r="AD186" s="372">
        <v>341.45640059999999</v>
      </c>
      <c r="AE186" s="372">
        <v>1436.67</v>
      </c>
      <c r="AF186" s="372">
        <v>1101.67</v>
      </c>
      <c r="AG186" s="372">
        <v>1495</v>
      </c>
      <c r="AH186" s="372">
        <v>0</v>
      </c>
    </row>
    <row r="187" spans="1:34">
      <c r="A187" s="372" t="s">
        <v>2020</v>
      </c>
      <c r="B187" s="373" t="s">
        <v>2021</v>
      </c>
      <c r="C187" s="372" t="s">
        <v>2022</v>
      </c>
      <c r="D187" s="374">
        <v>1648110016928</v>
      </c>
      <c r="E187" s="372" t="s">
        <v>2023</v>
      </c>
      <c r="F187" s="372" t="s">
        <v>786</v>
      </c>
      <c r="G187" s="375" t="s">
        <v>787</v>
      </c>
      <c r="H187" s="375" t="s">
        <v>868</v>
      </c>
      <c r="I187" s="375" t="s">
        <v>869</v>
      </c>
      <c r="J187" s="375">
        <v>221120.68259000001</v>
      </c>
      <c r="K187" s="375">
        <v>17322.328799999999</v>
      </c>
      <c r="L187" s="375">
        <v>15853.002350000001</v>
      </c>
      <c r="M187" s="375">
        <v>474482.20640999998</v>
      </c>
      <c r="N187" s="372">
        <v>0.94299999999999995</v>
      </c>
      <c r="O187" s="703">
        <v>9.1149831088605744</v>
      </c>
      <c r="P187" s="375" t="s">
        <v>623</v>
      </c>
      <c r="Q187" s="375" t="s">
        <v>623</v>
      </c>
      <c r="R187" s="695">
        <v>20090116</v>
      </c>
      <c r="S187" s="375" t="s">
        <v>2024</v>
      </c>
      <c r="T187" s="696">
        <v>0.20900000000000002</v>
      </c>
      <c r="U187" s="375" t="s">
        <v>2025</v>
      </c>
      <c r="V187" s="722">
        <v>55.43</v>
      </c>
      <c r="W187" s="722">
        <v>3.29</v>
      </c>
      <c r="X187" s="722">
        <v>8.61</v>
      </c>
      <c r="Y187" s="722">
        <v>195.1</v>
      </c>
      <c r="Z187" s="382" t="s">
        <v>934</v>
      </c>
      <c r="AA187" s="372">
        <v>1408.2751475</v>
      </c>
      <c r="AB187" s="372">
        <v>1848.6954794999999</v>
      </c>
      <c r="AC187" s="372">
        <v>1950.9622013000001</v>
      </c>
      <c r="AD187" s="372">
        <v>2211.2068258999998</v>
      </c>
      <c r="AE187" s="372">
        <v>2602.33</v>
      </c>
      <c r="AF187" s="372">
        <v>3246.67</v>
      </c>
      <c r="AG187" s="372">
        <v>0</v>
      </c>
      <c r="AH187" s="372">
        <v>0</v>
      </c>
    </row>
    <row r="188" spans="1:34">
      <c r="A188" s="372" t="s">
        <v>2026</v>
      </c>
      <c r="B188" s="373" t="s">
        <v>2027</v>
      </c>
      <c r="C188" s="372" t="s">
        <v>2028</v>
      </c>
      <c r="D188" s="374">
        <v>1701110000034</v>
      </c>
      <c r="E188" s="372" t="s">
        <v>2029</v>
      </c>
      <c r="F188" s="375" t="s">
        <v>2030</v>
      </c>
      <c r="G188" s="375" t="s">
        <v>2030</v>
      </c>
      <c r="H188" s="375" t="s">
        <v>797</v>
      </c>
      <c r="I188" s="375" t="s">
        <v>755</v>
      </c>
      <c r="J188" s="375">
        <v>4838846.6959800003</v>
      </c>
      <c r="K188" s="375">
        <v>386185.75287999999</v>
      </c>
      <c r="L188" s="375">
        <v>428816.22029999999</v>
      </c>
      <c r="M188" s="375">
        <v>2009119.4034800001</v>
      </c>
      <c r="N188" s="372">
        <v>0.94599999999999995</v>
      </c>
      <c r="O188" s="703">
        <v>23.453883731230551</v>
      </c>
      <c r="P188" s="375" t="s">
        <v>623</v>
      </c>
      <c r="Q188" s="375" t="s">
        <v>623</v>
      </c>
      <c r="R188" s="695">
        <v>19881108</v>
      </c>
      <c r="S188" s="375" t="s">
        <v>2031</v>
      </c>
      <c r="T188" s="696">
        <v>0.26400000000000001</v>
      </c>
      <c r="U188" s="375" t="s">
        <v>2032</v>
      </c>
      <c r="V188" s="722">
        <v>3.22</v>
      </c>
      <c r="W188" s="722">
        <v>0.86</v>
      </c>
      <c r="X188" s="722">
        <v>0.34</v>
      </c>
      <c r="Y188" s="722">
        <v>4.9400000000000004</v>
      </c>
      <c r="Z188" s="382">
        <v>6.6131052927207001E-2</v>
      </c>
      <c r="AA188" s="372">
        <v>25050.168865799998</v>
      </c>
      <c r="AB188" s="372">
        <v>30011.4219634</v>
      </c>
      <c r="AC188" s="372">
        <v>41745.379348499999</v>
      </c>
      <c r="AD188" s="372">
        <v>48388.466959799996</v>
      </c>
      <c r="AE188" s="372">
        <v>53027.57</v>
      </c>
      <c r="AF188" s="372">
        <v>57531.43</v>
      </c>
      <c r="AG188" s="372">
        <v>62515</v>
      </c>
      <c r="AH188" s="372">
        <v>0</v>
      </c>
    </row>
    <row r="189" spans="1:34">
      <c r="A189" s="372" t="s">
        <v>2033</v>
      </c>
      <c r="B189" s="373" t="s">
        <v>2034</v>
      </c>
      <c r="C189" s="372" t="s">
        <v>2035</v>
      </c>
      <c r="D189" s="374">
        <v>1101110035132</v>
      </c>
      <c r="E189" s="372" t="s">
        <v>2036</v>
      </c>
      <c r="F189" s="375" t="s">
        <v>2037</v>
      </c>
      <c r="G189" s="375" t="s">
        <v>2037</v>
      </c>
      <c r="H189" s="375" t="s">
        <v>797</v>
      </c>
      <c r="I189" s="375" t="s">
        <v>755</v>
      </c>
      <c r="J189" s="375">
        <v>3736368.96857</v>
      </c>
      <c r="K189" s="375">
        <v>12547.59741</v>
      </c>
      <c r="L189" s="375">
        <v>-2955.5340999999999</v>
      </c>
      <c r="M189" s="375">
        <v>1082699.0011700001</v>
      </c>
      <c r="N189" s="372" t="s">
        <v>1033</v>
      </c>
      <c r="O189" s="703">
        <v>20.289795699126088</v>
      </c>
      <c r="P189" s="375" t="s">
        <v>623</v>
      </c>
      <c r="Q189" s="372" t="s">
        <v>623</v>
      </c>
      <c r="R189" s="695">
        <v>19750529</v>
      </c>
      <c r="S189" s="372" t="s">
        <v>2038</v>
      </c>
      <c r="T189" s="696" t="s">
        <v>772</v>
      </c>
      <c r="U189" s="372" t="s">
        <v>15986</v>
      </c>
      <c r="V189" s="722">
        <v>8.76</v>
      </c>
      <c r="W189" s="722">
        <v>1.5</v>
      </c>
      <c r="X189" s="722">
        <v>0.43</v>
      </c>
      <c r="Y189" s="722">
        <v>181.84</v>
      </c>
      <c r="Z189" s="382" t="s">
        <v>934</v>
      </c>
      <c r="AA189" s="372">
        <v>29501.807191299999</v>
      </c>
      <c r="AB189" s="372">
        <v>24293.277008000001</v>
      </c>
      <c r="AC189" s="372">
        <v>34233.408732900003</v>
      </c>
      <c r="AD189" s="372">
        <v>37363.689685700003</v>
      </c>
      <c r="AE189" s="372">
        <v>0</v>
      </c>
      <c r="AF189" s="372">
        <v>0</v>
      </c>
      <c r="AG189" s="372">
        <v>0</v>
      </c>
      <c r="AH189" s="372">
        <v>0</v>
      </c>
    </row>
    <row r="190" spans="1:34">
      <c r="A190" s="372" t="s">
        <v>2039</v>
      </c>
      <c r="B190" s="373" t="s">
        <v>2040</v>
      </c>
      <c r="C190" s="372" t="s">
        <v>2041</v>
      </c>
      <c r="D190" s="374">
        <v>1201110005266</v>
      </c>
      <c r="E190" s="372" t="s">
        <v>2042</v>
      </c>
      <c r="F190" s="375" t="s">
        <v>982</v>
      </c>
      <c r="G190" s="375" t="s">
        <v>2043</v>
      </c>
      <c r="H190" s="375" t="s">
        <v>823</v>
      </c>
      <c r="I190" s="375" t="s">
        <v>755</v>
      </c>
      <c r="J190" s="375">
        <v>353562.62716999999</v>
      </c>
      <c r="K190" s="375">
        <v>69070.239679999999</v>
      </c>
      <c r="L190" s="375">
        <v>45413.176879999999</v>
      </c>
      <c r="M190" s="375">
        <v>445338.53620999999</v>
      </c>
      <c r="N190" s="372">
        <v>0.39300000000000002</v>
      </c>
      <c r="O190" s="703">
        <v>16.611706667621412</v>
      </c>
      <c r="P190" s="375" t="s">
        <v>623</v>
      </c>
      <c r="Q190" s="375" t="s">
        <v>623</v>
      </c>
      <c r="R190" s="695">
        <v>19881028</v>
      </c>
      <c r="S190" s="375" t="s">
        <v>1815</v>
      </c>
      <c r="T190" s="696">
        <v>0.23100000000000001</v>
      </c>
      <c r="U190" s="375" t="s">
        <v>2044</v>
      </c>
      <c r="V190" s="722">
        <v>10.52</v>
      </c>
      <c r="W190" s="722">
        <v>1.73</v>
      </c>
      <c r="X190" s="722">
        <v>2.58</v>
      </c>
      <c r="Y190" s="722">
        <v>25.92</v>
      </c>
      <c r="Z190" s="382">
        <v>8.0270421004990711E-2</v>
      </c>
      <c r="AA190" s="372">
        <v>3064.5563298000002</v>
      </c>
      <c r="AB190" s="372">
        <v>3187.4698561999999</v>
      </c>
      <c r="AC190" s="372">
        <v>3043.0294125999999</v>
      </c>
      <c r="AD190" s="372">
        <v>3535.6262717</v>
      </c>
      <c r="AE190" s="372">
        <v>4077.6</v>
      </c>
      <c r="AF190" s="372">
        <v>4463.3999999999996</v>
      </c>
      <c r="AG190" s="372">
        <v>4815</v>
      </c>
      <c r="AH190" s="372">
        <v>0</v>
      </c>
    </row>
    <row r="191" spans="1:34">
      <c r="A191" s="372" t="s">
        <v>2045</v>
      </c>
      <c r="B191" s="373" t="s">
        <v>2046</v>
      </c>
      <c r="C191" s="372" t="s">
        <v>2047</v>
      </c>
      <c r="D191" s="374">
        <v>1358110272682</v>
      </c>
      <c r="E191" s="372" t="s">
        <v>2048</v>
      </c>
      <c r="F191" s="375" t="s">
        <v>1286</v>
      </c>
      <c r="G191" s="375" t="s">
        <v>1286</v>
      </c>
      <c r="H191" s="375" t="s">
        <v>754</v>
      </c>
      <c r="I191" s="375" t="s">
        <v>755</v>
      </c>
      <c r="J191" s="375">
        <v>1951087.86418</v>
      </c>
      <c r="K191" s="375">
        <v>154515.56284</v>
      </c>
      <c r="L191" s="375">
        <v>142919.68934000001</v>
      </c>
      <c r="M191" s="375">
        <v>399932.28766999999</v>
      </c>
      <c r="N191" s="372">
        <v>0.59799999999999998</v>
      </c>
      <c r="O191" s="703">
        <v>27.228917710853967</v>
      </c>
      <c r="P191" s="375" t="s">
        <v>623</v>
      </c>
      <c r="Q191" s="375" t="s">
        <v>623</v>
      </c>
      <c r="R191" s="695">
        <v>20210202</v>
      </c>
      <c r="S191" s="375" t="s">
        <v>2049</v>
      </c>
      <c r="T191" s="696">
        <v>0.23100000000000001</v>
      </c>
      <c r="U191" s="375" t="s">
        <v>2050</v>
      </c>
      <c r="V191" s="722">
        <v>7.57</v>
      </c>
      <c r="W191" s="722">
        <v>3.23</v>
      </c>
      <c r="X191" s="722">
        <v>0.7</v>
      </c>
      <c r="Y191" s="722">
        <v>11.34</v>
      </c>
      <c r="Z191" s="382">
        <v>4.9162262899855591E-2</v>
      </c>
      <c r="AA191" s="372">
        <v>10764.7432266</v>
      </c>
      <c r="AB191" s="372">
        <v>11532.5020086</v>
      </c>
      <c r="AC191" s="372">
        <v>16945.439077999999</v>
      </c>
      <c r="AD191" s="372">
        <v>19510.878641800002</v>
      </c>
      <c r="AE191" s="372">
        <v>21075.7</v>
      </c>
      <c r="AF191" s="372">
        <v>23085.57</v>
      </c>
      <c r="AG191" s="372">
        <v>23640</v>
      </c>
      <c r="AH191" s="372">
        <v>0</v>
      </c>
    </row>
    <row r="192" spans="1:34">
      <c r="A192" s="372" t="s">
        <v>2051</v>
      </c>
      <c r="B192" s="373" t="s">
        <v>2052</v>
      </c>
      <c r="C192" s="372" t="s">
        <v>2053</v>
      </c>
      <c r="D192" s="374">
        <v>1101116052164</v>
      </c>
      <c r="E192" s="372" t="s">
        <v>2054</v>
      </c>
      <c r="F192" s="375" t="s">
        <v>2055</v>
      </c>
      <c r="G192" s="375" t="s">
        <v>2056</v>
      </c>
      <c r="H192" s="375" t="s">
        <v>1547</v>
      </c>
      <c r="I192" s="375" t="s">
        <v>869</v>
      </c>
      <c r="J192" s="375">
        <v>753145.74993000005</v>
      </c>
      <c r="K192" s="375">
        <v>55871.055690000001</v>
      </c>
      <c r="L192" s="375">
        <v>37216.32245</v>
      </c>
      <c r="M192" s="375">
        <v>707770.02324999997</v>
      </c>
      <c r="N192" s="372">
        <v>0.61199999999999999</v>
      </c>
      <c r="O192" s="703">
        <v>13.260582763281558</v>
      </c>
      <c r="P192" s="375" t="s">
        <v>623</v>
      </c>
      <c r="Q192" s="372" t="s">
        <v>623</v>
      </c>
      <c r="R192" s="695">
        <v>20171124</v>
      </c>
      <c r="S192" s="372" t="s">
        <v>2057</v>
      </c>
      <c r="T192" s="696">
        <v>0.23100000000000001</v>
      </c>
      <c r="U192" s="372" t="s">
        <v>2058</v>
      </c>
      <c r="V192" s="722">
        <v>6.43</v>
      </c>
      <c r="W192" s="722">
        <v>2.19</v>
      </c>
      <c r="X192" s="722">
        <v>2.06</v>
      </c>
      <c r="Y192" s="722">
        <v>51.46</v>
      </c>
      <c r="Z192" s="382">
        <v>3.3456457763695546E-2</v>
      </c>
      <c r="AA192" s="372">
        <v>5257.2945126000004</v>
      </c>
      <c r="AB192" s="372">
        <v>4871.1352519000002</v>
      </c>
      <c r="AC192" s="372">
        <v>6979.4582297999996</v>
      </c>
      <c r="AD192" s="372">
        <v>7531.4574992999997</v>
      </c>
      <c r="AE192" s="372">
        <v>7161.13</v>
      </c>
      <c r="AF192" s="372">
        <v>7884.47</v>
      </c>
      <c r="AG192" s="372">
        <v>8591.08</v>
      </c>
      <c r="AH192" s="372">
        <v>0</v>
      </c>
    </row>
    <row r="193" spans="1:34">
      <c r="A193" s="372" t="s">
        <v>2059</v>
      </c>
      <c r="B193" s="373" t="s">
        <v>2060</v>
      </c>
      <c r="C193" s="372" t="s">
        <v>2061</v>
      </c>
      <c r="D193" s="374">
        <v>1101110413247</v>
      </c>
      <c r="E193" s="372" t="s">
        <v>2062</v>
      </c>
      <c r="F193" s="375" t="s">
        <v>2063</v>
      </c>
      <c r="G193" s="375" t="s">
        <v>2064</v>
      </c>
      <c r="H193" s="375" t="s">
        <v>853</v>
      </c>
      <c r="I193" s="375" t="s">
        <v>755</v>
      </c>
      <c r="J193" s="375">
        <v>6992257.3908500001</v>
      </c>
      <c r="K193" s="375">
        <v>303595.46873000002</v>
      </c>
      <c r="L193" s="375">
        <v>437971.79316</v>
      </c>
      <c r="M193" s="375">
        <v>2588305.7675000001</v>
      </c>
      <c r="N193" s="372">
        <v>0.73499999999999999</v>
      </c>
      <c r="O193" s="703">
        <v>191.5001121624596</v>
      </c>
      <c r="P193" s="375" t="s">
        <v>623</v>
      </c>
      <c r="Q193" s="372" t="s">
        <v>623</v>
      </c>
      <c r="R193" s="695">
        <v>19970827</v>
      </c>
      <c r="S193" s="375" t="s">
        <v>2065</v>
      </c>
      <c r="T193" s="696">
        <v>0.26400000000000001</v>
      </c>
      <c r="U193" s="375" t="s">
        <v>2066</v>
      </c>
      <c r="V193" s="722">
        <v>7.65</v>
      </c>
      <c r="W193" s="722">
        <v>0.53</v>
      </c>
      <c r="X193" s="722">
        <v>0.2</v>
      </c>
      <c r="Y193" s="722">
        <v>4.32</v>
      </c>
      <c r="Z193" s="382">
        <v>4.9602909644962168E-2</v>
      </c>
      <c r="AA193" s="372">
        <v>44123.189832199998</v>
      </c>
      <c r="AB193" s="372">
        <v>64945.131859499998</v>
      </c>
      <c r="AC193" s="372">
        <v>80661.6911826</v>
      </c>
      <c r="AD193" s="372">
        <v>69922.573908499995</v>
      </c>
      <c r="AE193" s="372">
        <v>72265</v>
      </c>
      <c r="AF193" s="372">
        <v>81895</v>
      </c>
      <c r="AG193" s="372">
        <v>84862.83</v>
      </c>
      <c r="AH193" s="372">
        <v>80930</v>
      </c>
    </row>
    <row r="194" spans="1:34">
      <c r="A194" s="372" t="s">
        <v>2067</v>
      </c>
      <c r="B194" s="373" t="s">
        <v>2068</v>
      </c>
      <c r="C194" s="372" t="s">
        <v>2069</v>
      </c>
      <c r="D194" s="374">
        <v>1101112070334</v>
      </c>
      <c r="E194" s="372" t="s">
        <v>2070</v>
      </c>
      <c r="F194" s="375" t="s">
        <v>1062</v>
      </c>
      <c r="G194" s="375" t="s">
        <v>1062</v>
      </c>
      <c r="H194" s="375" t="s">
        <v>868</v>
      </c>
      <c r="I194" s="375" t="s">
        <v>869</v>
      </c>
      <c r="J194" s="375">
        <v>367375.04898000002</v>
      </c>
      <c r="K194" s="375">
        <v>-30053.478760000002</v>
      </c>
      <c r="L194" s="375">
        <v>-1413.42012</v>
      </c>
      <c r="M194" s="375">
        <v>1030398.97555</v>
      </c>
      <c r="N194" s="372">
        <v>0.99</v>
      </c>
      <c r="O194" s="703">
        <v>13.874608006170257</v>
      </c>
      <c r="P194" s="375" t="s">
        <v>623</v>
      </c>
      <c r="Q194" s="375" t="s">
        <v>623</v>
      </c>
      <c r="R194" s="695">
        <v>20100910</v>
      </c>
      <c r="S194" s="375" t="s">
        <v>2071</v>
      </c>
      <c r="T194" s="696" t="s">
        <v>772</v>
      </c>
      <c r="U194" s="375" t="s">
        <v>2072</v>
      </c>
      <c r="V194" s="722">
        <v>33.619999999999997</v>
      </c>
      <c r="W194" s="722">
        <v>0.97</v>
      </c>
      <c r="X194" s="722">
        <v>3.26</v>
      </c>
      <c r="Y194" s="722">
        <v>1787.67</v>
      </c>
      <c r="Z194" s="382">
        <v>-2.9057788943449347E-2</v>
      </c>
      <c r="AA194" s="372">
        <v>11252.1554822</v>
      </c>
      <c r="AB194" s="372">
        <v>13708.3301202</v>
      </c>
      <c r="AC194" s="372">
        <v>8535.6109123999995</v>
      </c>
      <c r="AD194" s="372">
        <v>3673.7504898000002</v>
      </c>
      <c r="AE194" s="372">
        <v>3971</v>
      </c>
      <c r="AF194" s="372">
        <v>4602.5</v>
      </c>
      <c r="AG194" s="372">
        <v>3265</v>
      </c>
      <c r="AH194" s="372">
        <v>3630</v>
      </c>
    </row>
    <row r="195" spans="1:34">
      <c r="A195" s="372" t="s">
        <v>2073</v>
      </c>
      <c r="B195" s="373" t="s">
        <v>2074</v>
      </c>
      <c r="C195" s="372" t="s">
        <v>2075</v>
      </c>
      <c r="D195" s="374">
        <v>1358110191121</v>
      </c>
      <c r="E195" s="372" t="s">
        <v>2076</v>
      </c>
      <c r="F195" s="375" t="s">
        <v>2077</v>
      </c>
      <c r="G195" s="375" t="s">
        <v>2078</v>
      </c>
      <c r="H195" s="375" t="s">
        <v>2079</v>
      </c>
      <c r="I195" s="375" t="s">
        <v>755</v>
      </c>
      <c r="J195" s="375">
        <v>655676.51323000004</v>
      </c>
      <c r="K195" s="375">
        <v>-248084.56966000001</v>
      </c>
      <c r="L195" s="375">
        <v>-438613.97616999998</v>
      </c>
      <c r="M195" s="375">
        <v>2831546.40227</v>
      </c>
      <c r="N195" s="372">
        <v>1.1319999999999999</v>
      </c>
      <c r="O195" s="703">
        <v>46.834718017034611</v>
      </c>
      <c r="P195" s="375" t="s">
        <v>623</v>
      </c>
      <c r="Q195" s="375" t="s">
        <v>623</v>
      </c>
      <c r="R195" s="695">
        <v>20210716</v>
      </c>
      <c r="S195" s="375" t="s">
        <v>2080</v>
      </c>
      <c r="T195" s="696" t="s">
        <v>772</v>
      </c>
      <c r="U195" s="375" t="s">
        <v>2081</v>
      </c>
      <c r="V195" s="722" t="s">
        <v>774</v>
      </c>
      <c r="W195" s="722">
        <v>0.49</v>
      </c>
      <c r="X195" s="722">
        <v>1.97</v>
      </c>
      <c r="Y195" s="722" t="s">
        <v>774</v>
      </c>
      <c r="Z195" s="382" t="s">
        <v>934</v>
      </c>
      <c r="AA195" s="372">
        <v>16861.630332699999</v>
      </c>
      <c r="AB195" s="372">
        <v>29299.608398699998</v>
      </c>
      <c r="AC195" s="372">
        <v>29320.014403000001</v>
      </c>
      <c r="AD195" s="372">
        <v>6556.7651323</v>
      </c>
      <c r="AE195" s="372">
        <v>7048</v>
      </c>
      <c r="AF195" s="372">
        <v>7816</v>
      </c>
      <c r="AG195" s="372">
        <v>0</v>
      </c>
      <c r="AH195" s="372">
        <v>0</v>
      </c>
    </row>
    <row r="196" spans="1:34">
      <c r="A196" s="372" t="s">
        <v>2082</v>
      </c>
      <c r="B196" s="373" t="s">
        <v>2083</v>
      </c>
      <c r="C196" s="372" t="s">
        <v>2084</v>
      </c>
      <c r="D196" s="374">
        <v>1101110034308</v>
      </c>
      <c r="E196" s="372" t="s">
        <v>2085</v>
      </c>
      <c r="F196" s="375" t="s">
        <v>1652</v>
      </c>
      <c r="G196" s="375" t="s">
        <v>1652</v>
      </c>
      <c r="H196" s="375" t="s">
        <v>1327</v>
      </c>
      <c r="I196" s="375" t="s">
        <v>755</v>
      </c>
      <c r="J196" s="375">
        <v>1192914.6079800001</v>
      </c>
      <c r="K196" s="375">
        <v>147514.09078</v>
      </c>
      <c r="L196" s="375">
        <v>156325.43698</v>
      </c>
      <c r="M196" s="375">
        <v>576790.31611000001</v>
      </c>
      <c r="N196" s="372">
        <v>0.14699999999999999</v>
      </c>
      <c r="O196" s="703">
        <v>15.343156343092989</v>
      </c>
      <c r="P196" s="375" t="s">
        <v>623</v>
      </c>
      <c r="Q196" s="372" t="s">
        <v>623</v>
      </c>
      <c r="R196" s="695">
        <v>19750630</v>
      </c>
      <c r="S196" s="375" t="s">
        <v>2086</v>
      </c>
      <c r="T196" s="696">
        <v>0.23100000000000001</v>
      </c>
      <c r="U196" s="375" t="s">
        <v>2087</v>
      </c>
      <c r="V196" s="722">
        <v>9.68</v>
      </c>
      <c r="W196" s="722">
        <v>2.85</v>
      </c>
      <c r="X196" s="722">
        <v>1.36</v>
      </c>
      <c r="Y196" s="722">
        <v>12.89</v>
      </c>
      <c r="Z196" s="382">
        <v>0.12156682038745514</v>
      </c>
      <c r="AA196" s="372">
        <v>6485.0661145000004</v>
      </c>
      <c r="AB196" s="372">
        <v>6420.3031414999996</v>
      </c>
      <c r="AC196" s="372">
        <v>9090.3657158999995</v>
      </c>
      <c r="AD196" s="372">
        <v>11929.146079800001</v>
      </c>
      <c r="AE196" s="372">
        <v>13909.83</v>
      </c>
      <c r="AF196" s="372">
        <v>16198.2</v>
      </c>
      <c r="AG196" s="372">
        <v>18876</v>
      </c>
      <c r="AH196" s="372">
        <v>0</v>
      </c>
    </row>
    <row r="197" spans="1:34">
      <c r="A197" s="372" t="s">
        <v>2088</v>
      </c>
      <c r="B197" s="373" t="s">
        <v>2089</v>
      </c>
      <c r="C197" s="372" t="s">
        <v>2090</v>
      </c>
      <c r="D197" s="374">
        <v>1348110294273</v>
      </c>
      <c r="E197" s="372" t="s">
        <v>2091</v>
      </c>
      <c r="F197" s="375" t="s">
        <v>1104</v>
      </c>
      <c r="G197" s="375" t="s">
        <v>1105</v>
      </c>
      <c r="H197" s="375" t="s">
        <v>832</v>
      </c>
      <c r="I197" s="375" t="s">
        <v>755</v>
      </c>
      <c r="J197" s="375">
        <v>1777494.44832</v>
      </c>
      <c r="K197" s="375">
        <v>115685.77986</v>
      </c>
      <c r="L197" s="375">
        <v>84220.832569999999</v>
      </c>
      <c r="M197" s="375">
        <v>358561.43927999999</v>
      </c>
      <c r="N197" s="372">
        <v>0.64</v>
      </c>
      <c r="O197" s="703">
        <v>41.283221253285369</v>
      </c>
      <c r="P197" s="375" t="s">
        <v>623</v>
      </c>
      <c r="Q197" s="375" t="s">
        <v>623</v>
      </c>
      <c r="R197" s="695">
        <v>20140407</v>
      </c>
      <c r="S197" s="375" t="s">
        <v>2092</v>
      </c>
      <c r="T197" s="696">
        <v>0.23100000000000001</v>
      </c>
      <c r="U197" s="375" t="s">
        <v>2093</v>
      </c>
      <c r="V197" s="722">
        <v>10.220000000000001</v>
      </c>
      <c r="W197" s="722">
        <v>3.95</v>
      </c>
      <c r="X197" s="722">
        <v>0.81</v>
      </c>
      <c r="Y197" s="722">
        <v>25.11</v>
      </c>
      <c r="Z197" s="382">
        <v>0.10981404642052217</v>
      </c>
      <c r="AA197" s="372">
        <v>13828.8068852</v>
      </c>
      <c r="AB197" s="372">
        <v>15914.876215</v>
      </c>
      <c r="AC197" s="372">
        <v>16001.2577019</v>
      </c>
      <c r="AD197" s="372">
        <v>17774.944483200001</v>
      </c>
      <c r="AE197" s="372">
        <v>21890.86</v>
      </c>
      <c r="AF197" s="372">
        <v>24479.29</v>
      </c>
      <c r="AG197" s="372">
        <v>26965.54</v>
      </c>
      <c r="AH197" s="372">
        <v>0</v>
      </c>
    </row>
    <row r="198" spans="1:34">
      <c r="A198" s="372" t="s">
        <v>2094</v>
      </c>
      <c r="B198" s="373" t="s">
        <v>2095</v>
      </c>
      <c r="C198" s="372" t="s">
        <v>2096</v>
      </c>
      <c r="D198" s="374">
        <v>2149110058935</v>
      </c>
      <c r="E198" s="372" t="s">
        <v>2097</v>
      </c>
      <c r="F198" s="375" t="s">
        <v>2098</v>
      </c>
      <c r="G198" s="375" t="s">
        <v>2099</v>
      </c>
      <c r="H198" s="375" t="s">
        <v>754</v>
      </c>
      <c r="I198" s="375" t="s">
        <v>755</v>
      </c>
      <c r="J198" s="375">
        <v>260886.18400000001</v>
      </c>
      <c r="K198" s="375">
        <v>1641.7939799999999</v>
      </c>
      <c r="L198" s="375">
        <v>-12540.68081</v>
      </c>
      <c r="M198" s="375">
        <v>512651.87753</v>
      </c>
      <c r="N198" s="372">
        <v>1.5189999999999999</v>
      </c>
      <c r="O198" s="703">
        <v>29.432179153654701</v>
      </c>
      <c r="P198" s="375" t="s">
        <v>623</v>
      </c>
      <c r="Q198" s="375" t="s">
        <v>623</v>
      </c>
      <c r="R198" s="695">
        <v>20191018</v>
      </c>
      <c r="S198" s="375" t="s">
        <v>2100</v>
      </c>
      <c r="T198" s="696" t="s">
        <v>772</v>
      </c>
      <c r="U198" s="375" t="s">
        <v>2101</v>
      </c>
      <c r="V198" s="722">
        <v>0</v>
      </c>
      <c r="W198" s="722">
        <v>3.7</v>
      </c>
      <c r="X198" s="722">
        <v>0</v>
      </c>
      <c r="Y198" s="722">
        <v>0</v>
      </c>
      <c r="Z198" s="382" t="s">
        <v>934</v>
      </c>
      <c r="AA198" s="372">
        <v>4618.3898202999999</v>
      </c>
      <c r="AB198" s="372">
        <v>3814.1234780999998</v>
      </c>
      <c r="AC198" s="372">
        <v>3121.4872080999999</v>
      </c>
      <c r="AD198" s="372">
        <v>2608.86184</v>
      </c>
      <c r="AE198" s="372">
        <v>0</v>
      </c>
      <c r="AF198" s="372">
        <v>0</v>
      </c>
      <c r="AG198" s="372">
        <v>0</v>
      </c>
      <c r="AH198" s="372">
        <v>0</v>
      </c>
    </row>
    <row r="199" spans="1:34">
      <c r="A199" s="372" t="s">
        <v>2102</v>
      </c>
      <c r="B199" s="373" t="s">
        <v>2103</v>
      </c>
      <c r="C199" s="372" t="s">
        <v>2104</v>
      </c>
      <c r="D199" s="374">
        <v>1511110058698</v>
      </c>
      <c r="E199" s="372" t="s">
        <v>2105</v>
      </c>
      <c r="F199" s="375" t="s">
        <v>779</v>
      </c>
      <c r="G199" s="375" t="s">
        <v>839</v>
      </c>
      <c r="H199" s="375" t="s">
        <v>868</v>
      </c>
      <c r="I199" s="375" t="s">
        <v>869</v>
      </c>
      <c r="J199" s="375">
        <v>304986.33718999999</v>
      </c>
      <c r="K199" s="375">
        <v>46391.318229999997</v>
      </c>
      <c r="L199" s="375">
        <v>54602.31972</v>
      </c>
      <c r="M199" s="375">
        <v>1000408.00052</v>
      </c>
      <c r="N199" s="372" t="s">
        <v>1033</v>
      </c>
      <c r="O199" s="703">
        <v>20.775125303948521</v>
      </c>
      <c r="P199" s="375" t="s">
        <v>623</v>
      </c>
      <c r="Q199" s="372" t="s">
        <v>623</v>
      </c>
      <c r="R199" s="695">
        <v>20220930</v>
      </c>
      <c r="S199" s="372" t="s">
        <v>2106</v>
      </c>
      <c r="T199" s="696">
        <v>0.23100000000000001</v>
      </c>
      <c r="U199" s="372" t="s">
        <v>2107</v>
      </c>
      <c r="V199" s="722">
        <v>17.239999999999998</v>
      </c>
      <c r="W199" s="722">
        <v>1.5</v>
      </c>
      <c r="X199" s="722">
        <v>4.92</v>
      </c>
      <c r="Y199" s="722">
        <v>27.96</v>
      </c>
      <c r="Z199" s="382">
        <v>0.27763595431425236</v>
      </c>
      <c r="AA199" s="372">
        <v>1118.75227</v>
      </c>
      <c r="AB199" s="372">
        <v>1854.9867395000001</v>
      </c>
      <c r="AC199" s="372">
        <v>2574.5142543000002</v>
      </c>
      <c r="AD199" s="372">
        <v>3049.8633718999999</v>
      </c>
      <c r="AE199" s="372">
        <v>3907.89</v>
      </c>
      <c r="AF199" s="372">
        <v>5291.33</v>
      </c>
      <c r="AG199" s="372">
        <v>8126.6</v>
      </c>
      <c r="AH199" s="372">
        <v>7840</v>
      </c>
    </row>
    <row r="200" spans="1:34">
      <c r="A200" s="372" t="s">
        <v>2108</v>
      </c>
      <c r="B200" s="373" t="s">
        <v>2109</v>
      </c>
      <c r="C200" s="372" t="s">
        <v>2110</v>
      </c>
      <c r="D200" s="374">
        <v>1101110032112</v>
      </c>
      <c r="E200" s="372" t="s">
        <v>2111</v>
      </c>
      <c r="F200" s="375" t="s">
        <v>2112</v>
      </c>
      <c r="G200" s="375" t="s">
        <v>2113</v>
      </c>
      <c r="H200" s="375" t="s">
        <v>817</v>
      </c>
      <c r="I200" s="375" t="s">
        <v>755</v>
      </c>
      <c r="J200" s="375">
        <v>624418.62711999996</v>
      </c>
      <c r="K200" s="375">
        <v>11250.7664</v>
      </c>
      <c r="L200" s="375">
        <v>-10232.97431</v>
      </c>
      <c r="M200" s="375">
        <v>235047.3222</v>
      </c>
      <c r="N200" s="372">
        <v>1.4930000000000001</v>
      </c>
      <c r="O200" s="703">
        <v>19.09144864948577</v>
      </c>
      <c r="P200" s="375" t="s">
        <v>623</v>
      </c>
      <c r="Q200" s="375" t="s">
        <v>623</v>
      </c>
      <c r="R200" s="695">
        <v>19841221</v>
      </c>
      <c r="S200" s="375" t="s">
        <v>2114</v>
      </c>
      <c r="T200" s="696" t="s">
        <v>772</v>
      </c>
      <c r="U200" s="375" t="s">
        <v>2115</v>
      </c>
      <c r="V200" s="722">
        <v>95.67</v>
      </c>
      <c r="W200" s="722">
        <v>6.68</v>
      </c>
      <c r="X200" s="722">
        <v>2.4700000000000002</v>
      </c>
      <c r="Y200" s="722" t="s">
        <v>774</v>
      </c>
      <c r="Z200" s="382" t="s">
        <v>934</v>
      </c>
      <c r="AA200" s="372">
        <v>4317.9791230000001</v>
      </c>
      <c r="AB200" s="372">
        <v>5366.5112932000002</v>
      </c>
      <c r="AC200" s="372">
        <v>6844.1463137999999</v>
      </c>
      <c r="AD200" s="372">
        <v>6244.1862712000002</v>
      </c>
      <c r="AE200" s="372">
        <v>6440</v>
      </c>
      <c r="AF200" s="372">
        <v>7540</v>
      </c>
      <c r="AG200" s="372">
        <v>0</v>
      </c>
      <c r="AH200" s="372">
        <v>0</v>
      </c>
    </row>
    <row r="201" spans="1:34">
      <c r="A201" s="372" t="s">
        <v>2116</v>
      </c>
      <c r="B201" s="373" t="s">
        <v>2117</v>
      </c>
      <c r="C201" s="372" t="s">
        <v>2118</v>
      </c>
      <c r="D201" s="374">
        <v>1101116770138</v>
      </c>
      <c r="E201" s="372" t="s">
        <v>2119</v>
      </c>
      <c r="F201" s="372" t="s">
        <v>1970</v>
      </c>
      <c r="G201" s="375" t="s">
        <v>1970</v>
      </c>
      <c r="H201" s="375" t="s">
        <v>832</v>
      </c>
      <c r="I201" s="375" t="s">
        <v>755</v>
      </c>
      <c r="J201" s="375">
        <v>7526918.8242100002</v>
      </c>
      <c r="K201" s="375">
        <v>213392.97232</v>
      </c>
      <c r="L201" s="375">
        <v>122986.33067</v>
      </c>
      <c r="M201" s="375">
        <v>1568742.6660199999</v>
      </c>
      <c r="N201" s="372">
        <v>0.89900000000000002</v>
      </c>
      <c r="O201" s="703">
        <v>82.275259135976754</v>
      </c>
      <c r="P201" s="375" t="s">
        <v>623</v>
      </c>
      <c r="Q201" s="372" t="s">
        <v>623</v>
      </c>
      <c r="R201" s="695">
        <v>20180713</v>
      </c>
      <c r="S201" s="372" t="s">
        <v>2120</v>
      </c>
      <c r="T201" s="696">
        <v>0.23100000000000001</v>
      </c>
      <c r="U201" s="375" t="s">
        <v>2121</v>
      </c>
      <c r="V201" s="722">
        <v>6.61</v>
      </c>
      <c r="W201" s="722">
        <v>1.24</v>
      </c>
      <c r="X201" s="722">
        <v>0.21</v>
      </c>
      <c r="Y201" s="722">
        <v>16.95</v>
      </c>
      <c r="Z201" s="382">
        <v>3.1249009405489359E-2</v>
      </c>
      <c r="AA201" s="372">
        <v>51616.169996299999</v>
      </c>
      <c r="AB201" s="372">
        <v>85960.301653699993</v>
      </c>
      <c r="AC201" s="372">
        <v>88827.296651800003</v>
      </c>
      <c r="AD201" s="372">
        <v>75269.188242100005</v>
      </c>
      <c r="AE201" s="372">
        <v>77762.25</v>
      </c>
      <c r="AF201" s="372">
        <v>81082.25</v>
      </c>
      <c r="AG201" s="372">
        <v>85127.8</v>
      </c>
      <c r="AH201" s="372">
        <v>0</v>
      </c>
    </row>
    <row r="202" spans="1:34">
      <c r="A202" s="372" t="s">
        <v>2122</v>
      </c>
      <c r="B202" s="373" t="s">
        <v>2123</v>
      </c>
      <c r="C202" s="372" t="s">
        <v>2124</v>
      </c>
      <c r="D202" s="374">
        <v>1101110030497</v>
      </c>
      <c r="E202" s="372" t="s">
        <v>2125</v>
      </c>
      <c r="F202" s="375" t="s">
        <v>2126</v>
      </c>
      <c r="G202" s="375" t="s">
        <v>2126</v>
      </c>
      <c r="H202" s="375" t="s">
        <v>862</v>
      </c>
      <c r="I202" s="375" t="s">
        <v>755</v>
      </c>
      <c r="J202" s="375">
        <v>3436688.0232299999</v>
      </c>
      <c r="K202" s="375">
        <v>94366.525439999998</v>
      </c>
      <c r="L202" s="375">
        <v>23591.868129999999</v>
      </c>
      <c r="M202" s="375">
        <v>2776232.0605799998</v>
      </c>
      <c r="N202" s="372">
        <v>0.749</v>
      </c>
      <c r="O202" s="703">
        <v>107.08348751141411</v>
      </c>
      <c r="P202" s="375" t="s">
        <v>623</v>
      </c>
      <c r="Q202" s="375" t="s">
        <v>623</v>
      </c>
      <c r="R202" s="695">
        <v>19730630</v>
      </c>
      <c r="S202" s="375" t="s">
        <v>2127</v>
      </c>
      <c r="T202" s="696">
        <v>0.23100000000000001</v>
      </c>
      <c r="U202" s="375" t="s">
        <v>2128</v>
      </c>
      <c r="V202" s="722">
        <v>12.98</v>
      </c>
      <c r="W202" s="722">
        <v>0.53</v>
      </c>
      <c r="X202" s="722">
        <v>0.39</v>
      </c>
      <c r="Y202" s="722">
        <v>19547.73</v>
      </c>
      <c r="Z202" s="382">
        <v>2.2187768956818843E-2</v>
      </c>
      <c r="AA202" s="372">
        <v>25961.759470600002</v>
      </c>
      <c r="AB202" s="372">
        <v>35365.227690899999</v>
      </c>
      <c r="AC202" s="372">
        <v>37193.255231299998</v>
      </c>
      <c r="AD202" s="372">
        <v>34366.880232299998</v>
      </c>
      <c r="AE202" s="372">
        <v>34255</v>
      </c>
      <c r="AF202" s="372">
        <v>35127.5</v>
      </c>
      <c r="AG202" s="372">
        <v>37520</v>
      </c>
      <c r="AH202" s="372">
        <v>0</v>
      </c>
    </row>
    <row r="203" spans="1:34">
      <c r="A203" s="372" t="s">
        <v>2129</v>
      </c>
      <c r="B203" s="373" t="s">
        <v>2130</v>
      </c>
      <c r="C203" s="372" t="s">
        <v>2131</v>
      </c>
      <c r="D203" s="374">
        <v>1601110089395</v>
      </c>
      <c r="E203" s="372" t="s">
        <v>2132</v>
      </c>
      <c r="F203" s="375" t="s">
        <v>770</v>
      </c>
      <c r="G203" s="375" t="s">
        <v>770</v>
      </c>
      <c r="H203" s="375" t="s">
        <v>754</v>
      </c>
      <c r="I203" s="375" t="s">
        <v>755</v>
      </c>
      <c r="J203" s="375">
        <v>1901444.97502</v>
      </c>
      <c r="K203" s="375">
        <v>129035.65633</v>
      </c>
      <c r="L203" s="375">
        <v>126286.50903</v>
      </c>
      <c r="M203" s="375">
        <v>976763.73722999997</v>
      </c>
      <c r="N203" s="372">
        <v>1.145</v>
      </c>
      <c r="O203" s="703">
        <v>1.7599234808036428</v>
      </c>
      <c r="P203" s="375" t="s">
        <v>623</v>
      </c>
      <c r="Q203" s="375" t="s">
        <v>623</v>
      </c>
      <c r="R203" s="695">
        <v>20100608</v>
      </c>
      <c r="S203" s="375" t="s">
        <v>2133</v>
      </c>
      <c r="T203" s="696">
        <v>0.23100000000000001</v>
      </c>
      <c r="U203" s="375" t="s">
        <v>2134</v>
      </c>
      <c r="V203" s="722">
        <v>8.91</v>
      </c>
      <c r="W203" s="722">
        <v>1.45</v>
      </c>
      <c r="X203" s="722">
        <v>0.74</v>
      </c>
      <c r="Y203" s="722">
        <v>13.95</v>
      </c>
      <c r="Z203" s="382" t="s">
        <v>934</v>
      </c>
      <c r="AA203" s="372">
        <v>11618.962860199999</v>
      </c>
      <c r="AB203" s="372">
        <v>18988.4571602</v>
      </c>
      <c r="AC203" s="372">
        <v>21193.453636099999</v>
      </c>
      <c r="AD203" s="372">
        <v>19014.449750200001</v>
      </c>
      <c r="AE203" s="372">
        <v>20570.599999999999</v>
      </c>
      <c r="AF203" s="372">
        <v>22393.599999999999</v>
      </c>
      <c r="AG203" s="372">
        <v>0</v>
      </c>
      <c r="AH203" s="372">
        <v>0</v>
      </c>
    </row>
    <row r="204" spans="1:34">
      <c r="A204" s="372" t="s">
        <v>2135</v>
      </c>
      <c r="B204" s="373" t="s">
        <v>2136</v>
      </c>
      <c r="C204" s="372" t="s">
        <v>2137</v>
      </c>
      <c r="D204" s="374">
        <v>1341110002365</v>
      </c>
      <c r="E204" s="372" t="s">
        <v>2138</v>
      </c>
      <c r="F204" s="372" t="s">
        <v>2139</v>
      </c>
      <c r="G204" s="375" t="s">
        <v>2140</v>
      </c>
      <c r="H204" s="375" t="s">
        <v>817</v>
      </c>
      <c r="I204" s="375" t="s">
        <v>755</v>
      </c>
      <c r="J204" s="375">
        <v>268023.42043</v>
      </c>
      <c r="K204" s="375">
        <v>3770.5907299999999</v>
      </c>
      <c r="L204" s="375">
        <v>1192.01352</v>
      </c>
      <c r="M204" s="375">
        <v>254988.67350999999</v>
      </c>
      <c r="N204" s="372">
        <v>1.2110000000000001</v>
      </c>
      <c r="O204" s="703">
        <v>9.8348484478946308</v>
      </c>
      <c r="P204" s="375" t="s">
        <v>623</v>
      </c>
      <c r="Q204" s="375" t="s">
        <v>623</v>
      </c>
      <c r="R204" s="695">
        <v>19801205</v>
      </c>
      <c r="S204" s="375" t="s">
        <v>2141</v>
      </c>
      <c r="T204" s="696">
        <v>0.20900000000000002</v>
      </c>
      <c r="U204" s="375" t="s">
        <v>2142</v>
      </c>
      <c r="V204" s="722">
        <v>106.63</v>
      </c>
      <c r="W204" s="722">
        <v>6.14</v>
      </c>
      <c r="X204" s="722">
        <v>5.73</v>
      </c>
      <c r="Y204" s="722">
        <v>450.98</v>
      </c>
      <c r="Z204" s="382" t="s">
        <v>934</v>
      </c>
      <c r="AA204" s="372">
        <v>1970.1347679</v>
      </c>
      <c r="AB204" s="372">
        <v>2529.6552453999998</v>
      </c>
      <c r="AC204" s="372">
        <v>3120.5588342000001</v>
      </c>
      <c r="AD204" s="372">
        <v>2680.2342042999999</v>
      </c>
      <c r="AE204" s="372">
        <v>4377</v>
      </c>
      <c r="AF204" s="372">
        <v>0</v>
      </c>
      <c r="AG204" s="372">
        <v>0</v>
      </c>
      <c r="AH204" s="372">
        <v>0</v>
      </c>
    </row>
    <row r="205" spans="1:34">
      <c r="A205" s="372" t="s">
        <v>2143</v>
      </c>
      <c r="B205" s="373" t="s">
        <v>2144</v>
      </c>
      <c r="C205" s="372" t="s">
        <v>2145</v>
      </c>
      <c r="D205" s="374">
        <v>1351110052892</v>
      </c>
      <c r="E205" s="372" t="s">
        <v>2146</v>
      </c>
      <c r="F205" s="375" t="s">
        <v>2147</v>
      </c>
      <c r="G205" s="375" t="s">
        <v>2148</v>
      </c>
      <c r="H205" s="375" t="s">
        <v>2079</v>
      </c>
      <c r="I205" s="375" t="s">
        <v>755</v>
      </c>
      <c r="J205" s="375">
        <v>393188.58113000001</v>
      </c>
      <c r="K205" s="375">
        <v>138279.2568</v>
      </c>
      <c r="L205" s="375">
        <v>134480.21325</v>
      </c>
      <c r="M205" s="375">
        <v>463873.38241000002</v>
      </c>
      <c r="N205" s="372">
        <v>0.74199999999999999</v>
      </c>
      <c r="O205" s="703">
        <v>18.634825413687455</v>
      </c>
      <c r="P205" s="375" t="s">
        <v>623</v>
      </c>
      <c r="Q205" s="375" t="s">
        <v>623</v>
      </c>
      <c r="R205" s="695">
        <v>20170315</v>
      </c>
      <c r="S205" s="375" t="s">
        <v>2148</v>
      </c>
      <c r="T205" s="696">
        <v>0.23100000000000001</v>
      </c>
      <c r="U205" s="372" t="s">
        <v>2149</v>
      </c>
      <c r="V205" s="722">
        <v>9.86</v>
      </c>
      <c r="W205" s="722">
        <v>3</v>
      </c>
      <c r="X205" s="722">
        <v>3.69</v>
      </c>
      <c r="Y205" s="722">
        <v>15.02</v>
      </c>
      <c r="Z205" s="382">
        <v>0.10937744801026006</v>
      </c>
      <c r="AA205" s="372">
        <v>2297.4943131999999</v>
      </c>
      <c r="AB205" s="372">
        <v>2915.2968747</v>
      </c>
      <c r="AC205" s="372">
        <v>3558.6597504000001</v>
      </c>
      <c r="AD205" s="372">
        <v>3931.8858113000001</v>
      </c>
      <c r="AE205" s="372">
        <v>4552.18</v>
      </c>
      <c r="AF205" s="372">
        <v>5276.27</v>
      </c>
      <c r="AG205" s="372">
        <v>5955.5</v>
      </c>
      <c r="AH205" s="372">
        <v>12550</v>
      </c>
    </row>
    <row r="206" spans="1:34">
      <c r="A206" s="372" t="s">
        <v>2150</v>
      </c>
      <c r="B206" s="373" t="s">
        <v>2151</v>
      </c>
      <c r="C206" s="372" t="s">
        <v>2152</v>
      </c>
      <c r="D206" s="374">
        <v>1101110002694</v>
      </c>
      <c r="E206" s="372" t="s">
        <v>2153</v>
      </c>
      <c r="F206" s="375" t="s">
        <v>1867</v>
      </c>
      <c r="G206" s="375" t="s">
        <v>2154</v>
      </c>
      <c r="H206" s="375" t="s">
        <v>1397</v>
      </c>
      <c r="I206" s="375" t="s">
        <v>755</v>
      </c>
      <c r="J206" s="375">
        <v>13436684.90447</v>
      </c>
      <c r="K206" s="375">
        <v>-387945.40107999998</v>
      </c>
      <c r="L206" s="375">
        <v>-517486.52976</v>
      </c>
      <c r="M206" s="375">
        <v>4885159.8608100004</v>
      </c>
      <c r="N206" s="372">
        <v>1.07</v>
      </c>
      <c r="O206" s="703">
        <v>407.44853977283617</v>
      </c>
      <c r="P206" s="375" t="s">
        <v>623</v>
      </c>
      <c r="Q206" s="372" t="s">
        <v>623</v>
      </c>
      <c r="R206" s="695">
        <v>19810803</v>
      </c>
      <c r="S206" s="375" t="s">
        <v>2155</v>
      </c>
      <c r="T206" s="696" t="s">
        <v>772</v>
      </c>
      <c r="U206" s="375" t="s">
        <v>2156</v>
      </c>
      <c r="V206" s="722" t="s">
        <v>774</v>
      </c>
      <c r="W206" s="722">
        <v>0.3</v>
      </c>
      <c r="X206" s="722">
        <v>0.1</v>
      </c>
      <c r="Y206" s="722" t="s">
        <v>774</v>
      </c>
      <c r="Z206" s="382">
        <v>-1.0380636565213153E-2</v>
      </c>
      <c r="AA206" s="372">
        <v>101229.3083745</v>
      </c>
      <c r="AB206" s="372">
        <v>90365.754228000005</v>
      </c>
      <c r="AC206" s="372">
        <v>122991.9621475</v>
      </c>
      <c r="AD206" s="372">
        <v>134366.84904470001</v>
      </c>
      <c r="AE206" s="372">
        <v>129953.44</v>
      </c>
      <c r="AF206" s="372">
        <v>128844.67</v>
      </c>
      <c r="AG206" s="372">
        <v>128873.87</v>
      </c>
      <c r="AH206" s="372">
        <v>130600</v>
      </c>
    </row>
    <row r="207" spans="1:34">
      <c r="A207" s="372" t="s">
        <v>2157</v>
      </c>
      <c r="B207" s="373" t="s">
        <v>2158</v>
      </c>
      <c r="C207" s="372" t="s">
        <v>2159</v>
      </c>
      <c r="D207" s="374">
        <v>1648110021208</v>
      </c>
      <c r="E207" s="372" t="s">
        <v>2160</v>
      </c>
      <c r="F207" s="372" t="s">
        <v>1673</v>
      </c>
      <c r="G207" s="375" t="s">
        <v>1673</v>
      </c>
      <c r="H207" s="375" t="s">
        <v>1388</v>
      </c>
      <c r="I207" s="375" t="s">
        <v>869</v>
      </c>
      <c r="J207" s="375">
        <v>967971.48470999999</v>
      </c>
      <c r="K207" s="375">
        <v>57904.676220000001</v>
      </c>
      <c r="L207" s="375">
        <v>13978.752920000001</v>
      </c>
      <c r="M207" s="375">
        <v>544387.36942999996</v>
      </c>
      <c r="N207" s="372">
        <v>1.262</v>
      </c>
      <c r="O207" s="703">
        <v>68.616601017496819</v>
      </c>
      <c r="P207" s="375" t="s">
        <v>623</v>
      </c>
      <c r="Q207" s="375" t="s">
        <v>623</v>
      </c>
      <c r="R207" s="695">
        <v>20051011</v>
      </c>
      <c r="S207" s="375" t="s">
        <v>2161</v>
      </c>
      <c r="T207" s="696">
        <v>0.20900000000000002</v>
      </c>
      <c r="U207" s="375" t="s">
        <v>2162</v>
      </c>
      <c r="V207" s="722">
        <v>13.75</v>
      </c>
      <c r="W207" s="722">
        <v>3.87</v>
      </c>
      <c r="X207" s="722">
        <v>1.44</v>
      </c>
      <c r="Y207" s="722" t="s">
        <v>774</v>
      </c>
      <c r="Z207" s="382">
        <v>0.24347462477726833</v>
      </c>
      <c r="AA207" s="372">
        <v>5394.6019311</v>
      </c>
      <c r="AB207" s="372">
        <v>6695.1196232000002</v>
      </c>
      <c r="AC207" s="372">
        <v>8943.9589245000006</v>
      </c>
      <c r="AD207" s="372">
        <v>9679.7148471</v>
      </c>
      <c r="AE207" s="372">
        <v>14059.25</v>
      </c>
      <c r="AF207" s="372">
        <v>19680.75</v>
      </c>
      <c r="AG207" s="372">
        <v>23142.5</v>
      </c>
      <c r="AH207" s="372">
        <v>0</v>
      </c>
    </row>
    <row r="208" spans="1:34">
      <c r="A208" s="372" t="s">
        <v>2163</v>
      </c>
      <c r="B208" s="373" t="s">
        <v>2164</v>
      </c>
      <c r="C208" s="372" t="s">
        <v>2165</v>
      </c>
      <c r="D208" s="374">
        <v>1348110075342</v>
      </c>
      <c r="E208" s="372" t="s">
        <v>2166</v>
      </c>
      <c r="F208" s="372" t="s">
        <v>1259</v>
      </c>
      <c r="G208" s="375" t="s">
        <v>1259</v>
      </c>
      <c r="H208" s="375" t="s">
        <v>788</v>
      </c>
      <c r="I208" s="375" t="s">
        <v>755</v>
      </c>
      <c r="J208" s="375">
        <v>1375328.7448700001</v>
      </c>
      <c r="K208" s="375">
        <v>122591.94929</v>
      </c>
      <c r="L208" s="375">
        <v>121999.2637</v>
      </c>
      <c r="M208" s="375">
        <v>912281.02937</v>
      </c>
      <c r="N208" s="372">
        <v>0.69699999999999995</v>
      </c>
      <c r="O208" s="703">
        <v>34.272021631959234</v>
      </c>
      <c r="P208" s="375" t="s">
        <v>623</v>
      </c>
      <c r="Q208" s="375" t="s">
        <v>623</v>
      </c>
      <c r="R208" s="695">
        <v>20021101</v>
      </c>
      <c r="S208" s="375" t="s">
        <v>2167</v>
      </c>
      <c r="T208" s="696">
        <v>0.23100000000000001</v>
      </c>
      <c r="U208" s="375" t="s">
        <v>2168</v>
      </c>
      <c r="V208" s="722">
        <v>10.83</v>
      </c>
      <c r="W208" s="722">
        <v>1.76</v>
      </c>
      <c r="X208" s="722">
        <v>0.98</v>
      </c>
      <c r="Y208" s="722">
        <v>11.12</v>
      </c>
      <c r="Z208" s="382">
        <v>3.7857868534686867E-2</v>
      </c>
      <c r="AA208" s="372">
        <v>10554.2369</v>
      </c>
      <c r="AB208" s="372">
        <v>11529.7569817</v>
      </c>
      <c r="AC208" s="372">
        <v>12800.9185101</v>
      </c>
      <c r="AD208" s="372">
        <v>13753.287448700001</v>
      </c>
      <c r="AE208" s="372">
        <v>14159.6</v>
      </c>
      <c r="AF208" s="372">
        <v>15120.4</v>
      </c>
      <c r="AG208" s="372">
        <v>15957.25</v>
      </c>
      <c r="AH208" s="372">
        <v>0</v>
      </c>
    </row>
    <row r="209" spans="1:34">
      <c r="A209" s="372" t="s">
        <v>2169</v>
      </c>
      <c r="B209" s="373" t="s">
        <v>2170</v>
      </c>
      <c r="C209" s="372" t="s">
        <v>2171</v>
      </c>
      <c r="D209" s="374">
        <v>1101110109854</v>
      </c>
      <c r="E209" s="372" t="s">
        <v>2172</v>
      </c>
      <c r="F209" s="375" t="s">
        <v>1334</v>
      </c>
      <c r="G209" s="375" t="s">
        <v>1334</v>
      </c>
      <c r="H209" s="375" t="s">
        <v>788</v>
      </c>
      <c r="I209" s="375" t="s">
        <v>755</v>
      </c>
      <c r="J209" s="375">
        <v>1626643.8158199999</v>
      </c>
      <c r="K209" s="375">
        <v>34436.169540000003</v>
      </c>
      <c r="L209" s="375">
        <v>-27134.762729999999</v>
      </c>
      <c r="M209" s="375">
        <v>1539863.3094800001</v>
      </c>
      <c r="N209" s="372">
        <v>0.93400000000000005</v>
      </c>
      <c r="O209" s="703">
        <v>55.500773763121728</v>
      </c>
      <c r="P209" s="375" t="s">
        <v>623</v>
      </c>
      <c r="Q209" s="375" t="s">
        <v>623</v>
      </c>
      <c r="R209" s="695">
        <v>19890801</v>
      </c>
      <c r="S209" s="375" t="s">
        <v>2173</v>
      </c>
      <c r="T209" s="696" t="s">
        <v>772</v>
      </c>
      <c r="U209" s="375" t="s">
        <v>15987</v>
      </c>
      <c r="V209" s="722">
        <v>21.5</v>
      </c>
      <c r="W209" s="722">
        <v>1.1000000000000001</v>
      </c>
      <c r="X209" s="722">
        <v>0.9</v>
      </c>
      <c r="Y209" s="722" t="s">
        <v>774</v>
      </c>
      <c r="Z209" s="382">
        <v>5.7331639164628134E-2</v>
      </c>
      <c r="AA209" s="372">
        <v>15041.152786500001</v>
      </c>
      <c r="AB209" s="372">
        <v>15378.257502500001</v>
      </c>
      <c r="AC209" s="372">
        <v>17113.127395300002</v>
      </c>
      <c r="AD209" s="372">
        <v>16266.438158200001</v>
      </c>
      <c r="AE209" s="372">
        <v>17492.7</v>
      </c>
      <c r="AF209" s="372">
        <v>18618.8</v>
      </c>
      <c r="AG209" s="372">
        <v>20330</v>
      </c>
      <c r="AH209" s="372">
        <v>0</v>
      </c>
    </row>
    <row r="210" spans="1:34">
      <c r="A210" s="372" t="s">
        <v>2175</v>
      </c>
      <c r="B210" s="373" t="s">
        <v>2176</v>
      </c>
      <c r="C210" s="372" t="s">
        <v>2177</v>
      </c>
      <c r="D210" s="374">
        <v>1812110000013</v>
      </c>
      <c r="E210" s="372" t="s">
        <v>2178</v>
      </c>
      <c r="F210" s="372" t="s">
        <v>830</v>
      </c>
      <c r="G210" s="375" t="s">
        <v>1524</v>
      </c>
      <c r="H210" s="375" t="s">
        <v>832</v>
      </c>
      <c r="I210" s="375" t="s">
        <v>755</v>
      </c>
      <c r="J210" s="375">
        <v>1768621.1157199999</v>
      </c>
      <c r="K210" s="375">
        <v>154778.35508000001</v>
      </c>
      <c r="L210" s="375">
        <v>252768.24935</v>
      </c>
      <c r="M210" s="375">
        <v>2383205.6490799999</v>
      </c>
      <c r="N210" s="372">
        <v>0.93500000000000005</v>
      </c>
      <c r="O210" s="703">
        <v>2.2130002465280629</v>
      </c>
      <c r="P210" s="375" t="s">
        <v>623</v>
      </c>
      <c r="Q210" s="375" t="s">
        <v>623</v>
      </c>
      <c r="R210" s="695">
        <v>19760415</v>
      </c>
      <c r="S210" s="375" t="s">
        <v>2179</v>
      </c>
      <c r="T210" s="696">
        <v>0.23100000000000001</v>
      </c>
      <c r="U210" s="372" t="s">
        <v>2180</v>
      </c>
      <c r="V210" s="722">
        <v>5.0999999999999996</v>
      </c>
      <c r="W210" s="722">
        <v>0.63</v>
      </c>
      <c r="X210" s="722">
        <v>0.85</v>
      </c>
      <c r="Y210" s="722">
        <v>8.2200000000000006</v>
      </c>
      <c r="Z210" s="382">
        <v>2.892222536937461E-2</v>
      </c>
      <c r="AA210" s="372">
        <v>12636.356380699999</v>
      </c>
      <c r="AB210" s="372">
        <v>17802.930567899999</v>
      </c>
      <c r="AC210" s="372">
        <v>24637.593080899998</v>
      </c>
      <c r="AD210" s="372">
        <v>17686.211157199999</v>
      </c>
      <c r="AE210" s="372">
        <v>17351</v>
      </c>
      <c r="AF210" s="372">
        <v>18720.7</v>
      </c>
      <c r="AG210" s="372">
        <v>19822.8</v>
      </c>
      <c r="AH210" s="372">
        <v>0</v>
      </c>
    </row>
    <row r="211" spans="1:34">
      <c r="A211" s="372" t="s">
        <v>2181</v>
      </c>
      <c r="B211" s="373" t="s">
        <v>2182</v>
      </c>
      <c r="C211" s="372" t="s">
        <v>2183</v>
      </c>
      <c r="D211" s="374">
        <v>1101110003684</v>
      </c>
      <c r="E211" s="372" t="s">
        <v>2184</v>
      </c>
      <c r="F211" s="372" t="s">
        <v>2185</v>
      </c>
      <c r="G211" s="375" t="s">
        <v>2186</v>
      </c>
      <c r="H211" s="375" t="s">
        <v>1327</v>
      </c>
      <c r="I211" s="375" t="s">
        <v>755</v>
      </c>
      <c r="J211" s="375">
        <v>3224680.4818000002</v>
      </c>
      <c r="K211" s="375">
        <v>210669.75258999999</v>
      </c>
      <c r="L211" s="375">
        <v>207359.13</v>
      </c>
      <c r="M211" s="375">
        <v>1536835.57813</v>
      </c>
      <c r="N211" s="372">
        <v>0.48499999999999999</v>
      </c>
      <c r="O211" s="703">
        <v>146.94614099928225</v>
      </c>
      <c r="P211" s="375" t="s">
        <v>623</v>
      </c>
      <c r="Q211" s="372" t="s">
        <v>623</v>
      </c>
      <c r="R211" s="695">
        <v>19730621</v>
      </c>
      <c r="S211" s="375" t="s">
        <v>2187</v>
      </c>
      <c r="T211" s="696">
        <v>0.23100000000000001</v>
      </c>
      <c r="U211" s="375" t="s">
        <v>2188</v>
      </c>
      <c r="V211" s="722">
        <v>7.43</v>
      </c>
      <c r="W211" s="722">
        <v>1.01</v>
      </c>
      <c r="X211" s="722">
        <v>0.46</v>
      </c>
      <c r="Y211" s="722">
        <v>8.89</v>
      </c>
      <c r="Z211" s="382">
        <v>9.5211498292139929E-2</v>
      </c>
      <c r="AA211" s="372">
        <v>22579.733009399999</v>
      </c>
      <c r="AB211" s="372">
        <v>25060.932701999998</v>
      </c>
      <c r="AC211" s="372">
        <v>28417.4704986</v>
      </c>
      <c r="AD211" s="372">
        <v>32246.804818000001</v>
      </c>
      <c r="AE211" s="372">
        <v>41456.81</v>
      </c>
      <c r="AF211" s="372">
        <v>44286.879999999997</v>
      </c>
      <c r="AG211" s="372">
        <v>46395.8</v>
      </c>
      <c r="AH211" s="372">
        <v>0</v>
      </c>
    </row>
    <row r="212" spans="1:34">
      <c r="A212" s="372" t="s">
        <v>2189</v>
      </c>
      <c r="B212" s="373" t="s">
        <v>2190</v>
      </c>
      <c r="C212" s="372" t="s">
        <v>2191</v>
      </c>
      <c r="D212" s="374">
        <v>1346110007844</v>
      </c>
      <c r="E212" s="372" t="s">
        <v>2192</v>
      </c>
      <c r="F212" s="375" t="s">
        <v>2193</v>
      </c>
      <c r="G212" s="375" t="s">
        <v>2194</v>
      </c>
      <c r="H212" s="375" t="s">
        <v>1388</v>
      </c>
      <c r="I212" s="375" t="s">
        <v>869</v>
      </c>
      <c r="J212" s="375">
        <v>226652.88153000001</v>
      </c>
      <c r="K212" s="375">
        <v>66702.958320000005</v>
      </c>
      <c r="L212" s="375">
        <v>75251.224180000005</v>
      </c>
      <c r="M212" s="375">
        <v>458270.71174</v>
      </c>
      <c r="N212" s="372">
        <v>0.84899999999999998</v>
      </c>
      <c r="O212" s="703">
        <v>4.8931803780334016E-2</v>
      </c>
      <c r="P212" s="375" t="s">
        <v>623</v>
      </c>
      <c r="Q212" s="375" t="s">
        <v>623</v>
      </c>
      <c r="R212" s="695">
        <v>20030813</v>
      </c>
      <c r="S212" s="375" t="s">
        <v>2195</v>
      </c>
      <c r="T212" s="696">
        <v>0.23100000000000001</v>
      </c>
      <c r="U212" s="375" t="s">
        <v>2196</v>
      </c>
      <c r="V212" s="722">
        <v>0</v>
      </c>
      <c r="W212" s="722">
        <v>2.84</v>
      </c>
      <c r="X212" s="722">
        <v>0</v>
      </c>
      <c r="Y212" s="722">
        <v>0</v>
      </c>
      <c r="Z212" s="382" t="s">
        <v>934</v>
      </c>
      <c r="AA212" s="372">
        <v>2282.0974500000002</v>
      </c>
      <c r="AB212" s="372">
        <v>2707.6656769000001</v>
      </c>
      <c r="AC212" s="372">
        <v>3195.6283619000001</v>
      </c>
      <c r="AD212" s="372">
        <v>2266.5288153000001</v>
      </c>
      <c r="AE212" s="372">
        <v>0</v>
      </c>
      <c r="AF212" s="372">
        <v>0</v>
      </c>
      <c r="AG212" s="372">
        <v>0</v>
      </c>
      <c r="AH212" s="372">
        <v>0</v>
      </c>
    </row>
    <row r="213" spans="1:34">
      <c r="A213" s="372" t="s">
        <v>2197</v>
      </c>
      <c r="B213" s="373" t="s">
        <v>2198</v>
      </c>
      <c r="C213" s="372" t="s">
        <v>2199</v>
      </c>
      <c r="D213" s="374">
        <v>1311110000271</v>
      </c>
      <c r="E213" s="372" t="s">
        <v>2200</v>
      </c>
      <c r="F213" s="375" t="s">
        <v>1259</v>
      </c>
      <c r="G213" s="375" t="s">
        <v>1259</v>
      </c>
      <c r="H213" s="375" t="s">
        <v>788</v>
      </c>
      <c r="I213" s="375" t="s">
        <v>755</v>
      </c>
      <c r="J213" s="375">
        <v>1813841.46212</v>
      </c>
      <c r="K213" s="375">
        <v>195606.28284999999</v>
      </c>
      <c r="L213" s="375">
        <v>202522.03993</v>
      </c>
      <c r="M213" s="375">
        <v>1436798.7774100001</v>
      </c>
      <c r="N213" s="372">
        <v>1.036</v>
      </c>
      <c r="O213" s="703">
        <v>58.324802853979428</v>
      </c>
      <c r="P213" s="375" t="s">
        <v>623</v>
      </c>
      <c r="Q213" s="375" t="s">
        <v>623</v>
      </c>
      <c r="R213" s="695">
        <v>19730626</v>
      </c>
      <c r="S213" s="375" t="s">
        <v>2201</v>
      </c>
      <c r="T213" s="696">
        <v>0.23100000000000001</v>
      </c>
      <c r="U213" s="375" t="s">
        <v>2202</v>
      </c>
      <c r="V213" s="722">
        <v>7.54</v>
      </c>
      <c r="W213" s="722">
        <v>1.19</v>
      </c>
      <c r="X213" s="722">
        <v>0.66</v>
      </c>
      <c r="Y213" s="722">
        <v>7.86</v>
      </c>
      <c r="Z213" s="382">
        <v>4.9912403095459634E-2</v>
      </c>
      <c r="AA213" s="372">
        <v>13553.3738675</v>
      </c>
      <c r="AB213" s="372">
        <v>15113.7358081</v>
      </c>
      <c r="AC213" s="372">
        <v>16973.3848258</v>
      </c>
      <c r="AD213" s="372">
        <v>18138.414621200001</v>
      </c>
      <c r="AE213" s="372">
        <v>18826</v>
      </c>
      <c r="AF213" s="372">
        <v>20821</v>
      </c>
      <c r="AG213" s="372">
        <v>22040</v>
      </c>
      <c r="AH213" s="372">
        <v>21530</v>
      </c>
    </row>
    <row r="214" spans="1:34">
      <c r="A214" s="372" t="s">
        <v>2203</v>
      </c>
      <c r="B214" s="373" t="s">
        <v>2204</v>
      </c>
      <c r="C214" s="372" t="s">
        <v>2205</v>
      </c>
      <c r="D214" s="374">
        <v>1101111397648</v>
      </c>
      <c r="E214" s="372" t="s">
        <v>2206</v>
      </c>
      <c r="F214" s="375" t="s">
        <v>2207</v>
      </c>
      <c r="G214" s="375" t="s">
        <v>2208</v>
      </c>
      <c r="H214" s="375" t="s">
        <v>868</v>
      </c>
      <c r="I214" s="375" t="s">
        <v>869</v>
      </c>
      <c r="J214" s="375">
        <v>144806.37632000001</v>
      </c>
      <c r="K214" s="375">
        <v>27560.237099999998</v>
      </c>
      <c r="L214" s="375">
        <v>27143.091960000002</v>
      </c>
      <c r="M214" s="375">
        <v>143484.61395</v>
      </c>
      <c r="N214" s="372">
        <v>0.746</v>
      </c>
      <c r="O214" s="703">
        <v>2.65736128092695</v>
      </c>
      <c r="P214" s="375" t="s">
        <v>623</v>
      </c>
      <c r="Q214" s="372" t="s">
        <v>623</v>
      </c>
      <c r="R214" s="695">
        <v>20151217</v>
      </c>
      <c r="S214" s="372" t="s">
        <v>2209</v>
      </c>
      <c r="T214" s="696">
        <v>0.23100000000000001</v>
      </c>
      <c r="U214" s="375" t="s">
        <v>2210</v>
      </c>
      <c r="V214" s="722">
        <v>37.49</v>
      </c>
      <c r="W214" s="722">
        <v>8.2899999999999991</v>
      </c>
      <c r="X214" s="722">
        <v>8.34</v>
      </c>
      <c r="Y214" s="722">
        <v>49.15</v>
      </c>
      <c r="Z214" s="382">
        <v>0.14152093237590191</v>
      </c>
      <c r="AA214" s="372">
        <v>712.231358</v>
      </c>
      <c r="AB214" s="372">
        <v>852.50257550000003</v>
      </c>
      <c r="AC214" s="372">
        <v>1245.220114</v>
      </c>
      <c r="AD214" s="372">
        <v>1448.0637632</v>
      </c>
      <c r="AE214" s="372">
        <v>1738.13</v>
      </c>
      <c r="AF214" s="372">
        <v>2106.25</v>
      </c>
      <c r="AG214" s="372">
        <v>2458.8000000000002</v>
      </c>
      <c r="AH214" s="372">
        <v>2900</v>
      </c>
    </row>
    <row r="215" spans="1:34">
      <c r="A215" s="372" t="s">
        <v>2211</v>
      </c>
      <c r="B215" s="373" t="s">
        <v>2212</v>
      </c>
      <c r="C215" s="372" t="s">
        <v>2213</v>
      </c>
      <c r="D215" s="374">
        <v>1314110460809</v>
      </c>
      <c r="E215" s="372" t="s">
        <v>2214</v>
      </c>
      <c r="F215" s="375" t="s">
        <v>1005</v>
      </c>
      <c r="G215" s="375" t="s">
        <v>1005</v>
      </c>
      <c r="H215" s="375" t="s">
        <v>754</v>
      </c>
      <c r="I215" s="375" t="s">
        <v>755</v>
      </c>
      <c r="J215" s="375">
        <v>909651.48688999994</v>
      </c>
      <c r="K215" s="375">
        <v>23732.043880000001</v>
      </c>
      <c r="L215" s="375">
        <v>28376.15307</v>
      </c>
      <c r="M215" s="375">
        <v>868336.08048999996</v>
      </c>
      <c r="N215" s="372">
        <v>1.284</v>
      </c>
      <c r="O215" s="703">
        <v>1.7422976138806798</v>
      </c>
      <c r="P215" s="375" t="s">
        <v>623</v>
      </c>
      <c r="Q215" s="375" t="s">
        <v>623</v>
      </c>
      <c r="R215" s="695">
        <v>20200521</v>
      </c>
      <c r="S215" s="375" t="s">
        <v>2215</v>
      </c>
      <c r="T215" s="696">
        <v>0.23100000000000001</v>
      </c>
      <c r="U215" s="375" t="s">
        <v>2216</v>
      </c>
      <c r="V215" s="722">
        <v>9.7899999999999991</v>
      </c>
      <c r="W215" s="722">
        <v>1.6</v>
      </c>
      <c r="X215" s="722">
        <v>1.53</v>
      </c>
      <c r="Y215" s="722">
        <v>54.91</v>
      </c>
      <c r="Z215" s="382">
        <v>9.3580016853529457E-2</v>
      </c>
      <c r="AA215" s="372">
        <v>6109.1990331999996</v>
      </c>
      <c r="AB215" s="372">
        <v>10009.315187800001</v>
      </c>
      <c r="AC215" s="372">
        <v>13161.634202499999</v>
      </c>
      <c r="AD215" s="372">
        <v>9096.5148688999998</v>
      </c>
      <c r="AE215" s="372">
        <v>9903.2199999999993</v>
      </c>
      <c r="AF215" s="372">
        <v>11404.22</v>
      </c>
      <c r="AG215" s="372">
        <v>13010</v>
      </c>
      <c r="AH215" s="372">
        <v>17430</v>
      </c>
    </row>
    <row r="216" spans="1:34">
      <c r="A216" s="372" t="s">
        <v>2217</v>
      </c>
      <c r="B216" s="373" t="s">
        <v>2218</v>
      </c>
      <c r="C216" s="372" t="s">
        <v>2219</v>
      </c>
      <c r="D216" s="374">
        <v>1101115379692</v>
      </c>
      <c r="E216" s="372" t="s">
        <v>2220</v>
      </c>
      <c r="F216" s="375" t="s">
        <v>1259</v>
      </c>
      <c r="G216" s="375" t="s">
        <v>1259</v>
      </c>
      <c r="H216" s="375" t="s">
        <v>868</v>
      </c>
      <c r="I216" s="375" t="s">
        <v>869</v>
      </c>
      <c r="J216" s="375">
        <v>828908.23282000003</v>
      </c>
      <c r="K216" s="375">
        <v>65929.937879999998</v>
      </c>
      <c r="L216" s="375">
        <v>45166.024100000002</v>
      </c>
      <c r="M216" s="375">
        <v>1203646.38925</v>
      </c>
      <c r="N216" s="372">
        <v>0.69599999999999995</v>
      </c>
      <c r="O216" s="703">
        <v>41.101643507570238</v>
      </c>
      <c r="P216" s="375" t="s">
        <v>623</v>
      </c>
      <c r="Q216" s="375" t="s">
        <v>623</v>
      </c>
      <c r="R216" s="695">
        <v>20210809</v>
      </c>
      <c r="S216" s="375" t="s">
        <v>2221</v>
      </c>
      <c r="T216" s="696">
        <v>0.23100000000000001</v>
      </c>
      <c r="U216" s="375" t="s">
        <v>2222</v>
      </c>
      <c r="V216" s="722">
        <v>0</v>
      </c>
      <c r="W216" s="722">
        <v>1.05</v>
      </c>
      <c r="X216" s="722">
        <v>0</v>
      </c>
      <c r="Y216" s="722">
        <v>0</v>
      </c>
      <c r="Z216" s="382" t="s">
        <v>934</v>
      </c>
      <c r="AA216" s="372">
        <v>5984.4671816</v>
      </c>
      <c r="AB216" s="372">
        <v>7697.8555546999996</v>
      </c>
      <c r="AC216" s="372">
        <v>8465.2170062999994</v>
      </c>
      <c r="AD216" s="372">
        <v>8289.0823282000001</v>
      </c>
      <c r="AE216" s="372">
        <v>9542</v>
      </c>
      <c r="AF216" s="372">
        <v>10980</v>
      </c>
      <c r="AG216" s="372">
        <v>0</v>
      </c>
      <c r="AH216" s="372">
        <v>0</v>
      </c>
    </row>
    <row r="217" spans="1:34">
      <c r="A217" s="372" t="s">
        <v>2223</v>
      </c>
      <c r="B217" s="373" t="s">
        <v>2224</v>
      </c>
      <c r="C217" s="372" t="s">
        <v>2225</v>
      </c>
      <c r="D217" s="374">
        <v>1101112644725</v>
      </c>
      <c r="E217" s="372" t="s">
        <v>2226</v>
      </c>
      <c r="F217" s="375" t="s">
        <v>1665</v>
      </c>
      <c r="G217" s="375" t="s">
        <v>1666</v>
      </c>
      <c r="H217" s="375" t="s">
        <v>853</v>
      </c>
      <c r="I217" s="375" t="s">
        <v>755</v>
      </c>
      <c r="J217" s="375">
        <v>4207452.8949999996</v>
      </c>
      <c r="K217" s="375">
        <v>303469.76299999998</v>
      </c>
      <c r="L217" s="375">
        <v>41622.258999999998</v>
      </c>
      <c r="M217" s="375">
        <v>6279127.7220000001</v>
      </c>
      <c r="N217" s="372">
        <v>0.93700000000000006</v>
      </c>
      <c r="O217" s="703">
        <v>247.40241021125189</v>
      </c>
      <c r="P217" s="375" t="s">
        <v>623</v>
      </c>
      <c r="Q217" s="375" t="s">
        <v>623</v>
      </c>
      <c r="R217" s="695">
        <v>20021125</v>
      </c>
      <c r="S217" s="375" t="s">
        <v>1666</v>
      </c>
      <c r="T217" s="696">
        <v>0.23100000000000001</v>
      </c>
      <c r="U217" s="375" t="s">
        <v>2227</v>
      </c>
      <c r="V217" s="722">
        <v>6.27</v>
      </c>
      <c r="W217" s="722">
        <v>0.26</v>
      </c>
      <c r="X217" s="722">
        <v>0.28999999999999998</v>
      </c>
      <c r="Y217" s="722" t="s">
        <v>774</v>
      </c>
      <c r="Z217" s="382">
        <v>3.5451486326185888E-2</v>
      </c>
      <c r="AA217" s="372">
        <v>22731.518650000002</v>
      </c>
      <c r="AB217" s="372">
        <v>35724.331819999999</v>
      </c>
      <c r="AC217" s="372">
        <v>50141.236290000001</v>
      </c>
      <c r="AD217" s="372">
        <v>42074.52895</v>
      </c>
      <c r="AE217" s="372">
        <v>44547.54</v>
      </c>
      <c r="AF217" s="372">
        <v>48086.42</v>
      </c>
      <c r="AG217" s="372">
        <v>48365.79</v>
      </c>
      <c r="AH217" s="372">
        <v>0</v>
      </c>
    </row>
    <row r="218" spans="1:34">
      <c r="A218" s="372" t="s">
        <v>2228</v>
      </c>
      <c r="B218" s="373" t="s">
        <v>2229</v>
      </c>
      <c r="C218" s="372" t="s">
        <v>2230</v>
      </c>
      <c r="D218" s="374">
        <v>1101112508088</v>
      </c>
      <c r="E218" s="372" t="s">
        <v>2231</v>
      </c>
      <c r="F218" s="375" t="s">
        <v>1195</v>
      </c>
      <c r="G218" s="375" t="s">
        <v>1196</v>
      </c>
      <c r="H218" s="375" t="s">
        <v>868</v>
      </c>
      <c r="I218" s="375" t="s">
        <v>869</v>
      </c>
      <c r="J218" s="375">
        <v>225630.69138999999</v>
      </c>
      <c r="K218" s="375">
        <v>20372.22609</v>
      </c>
      <c r="L218" s="375">
        <v>30583.85068</v>
      </c>
      <c r="M218" s="375">
        <v>305317.86495999998</v>
      </c>
      <c r="N218" s="372">
        <v>1.2529999999999999</v>
      </c>
      <c r="O218" s="703">
        <v>1.8266495227173405</v>
      </c>
      <c r="P218" s="375" t="s">
        <v>623</v>
      </c>
      <c r="Q218" s="372" t="s">
        <v>623</v>
      </c>
      <c r="R218" s="695">
        <v>20080603</v>
      </c>
      <c r="S218" s="375" t="s">
        <v>2232</v>
      </c>
      <c r="T218" s="696">
        <v>0.23100000000000001</v>
      </c>
      <c r="U218" s="375" t="s">
        <v>2233</v>
      </c>
      <c r="V218" s="722">
        <v>34.69</v>
      </c>
      <c r="W218" s="722">
        <v>3.28</v>
      </c>
      <c r="X218" s="722">
        <v>5.04</v>
      </c>
      <c r="Y218" s="722">
        <v>51.82</v>
      </c>
      <c r="Z218" s="382">
        <v>8.6953235479289459E-2</v>
      </c>
      <c r="AA218" s="372">
        <v>1795.4513394000001</v>
      </c>
      <c r="AB218" s="372">
        <v>2473.0134207999999</v>
      </c>
      <c r="AC218" s="372">
        <v>2753.5958719999999</v>
      </c>
      <c r="AD218" s="372">
        <v>2256.3069138999999</v>
      </c>
      <c r="AE218" s="372">
        <v>2476</v>
      </c>
      <c r="AF218" s="372">
        <v>2807.67</v>
      </c>
      <c r="AG218" s="372">
        <v>3149.5</v>
      </c>
      <c r="AH218" s="372">
        <v>0</v>
      </c>
    </row>
    <row r="219" spans="1:34">
      <c r="A219" s="372" t="s">
        <v>2234</v>
      </c>
      <c r="B219" s="373" t="s">
        <v>2235</v>
      </c>
      <c r="C219" s="372" t="s">
        <v>2236</v>
      </c>
      <c r="D219" s="374">
        <v>1101110226533</v>
      </c>
      <c r="E219" s="372" t="s">
        <v>2237</v>
      </c>
      <c r="F219" s="375" t="s">
        <v>2238</v>
      </c>
      <c r="G219" s="375" t="s">
        <v>2238</v>
      </c>
      <c r="H219" s="375" t="s">
        <v>940</v>
      </c>
      <c r="I219" s="375" t="s">
        <v>755</v>
      </c>
      <c r="J219" s="375">
        <v>5338463.8239000002</v>
      </c>
      <c r="K219" s="375">
        <v>363673.39705000003</v>
      </c>
      <c r="L219" s="375">
        <v>361436.33181</v>
      </c>
      <c r="M219" s="375">
        <v>3252895.7292499999</v>
      </c>
      <c r="N219" s="372">
        <v>0.502</v>
      </c>
      <c r="O219" s="703">
        <v>0</v>
      </c>
      <c r="P219" s="375" t="s">
        <v>623</v>
      </c>
      <c r="Q219" s="375" t="s">
        <v>623</v>
      </c>
      <c r="R219" s="695">
        <v>19691222</v>
      </c>
      <c r="S219" s="375" t="s">
        <v>2239</v>
      </c>
      <c r="T219" s="696">
        <v>0.26400000000000001</v>
      </c>
      <c r="U219" s="375" t="s">
        <v>2240</v>
      </c>
      <c r="V219" s="722">
        <v>0</v>
      </c>
      <c r="W219" s="722">
        <v>0.35</v>
      </c>
      <c r="X219" s="722">
        <v>0.17</v>
      </c>
      <c r="Y219" s="722">
        <v>4.17</v>
      </c>
      <c r="Z219" s="382" t="s">
        <v>934</v>
      </c>
      <c r="AA219" s="372">
        <v>84470.677850499997</v>
      </c>
      <c r="AB219" s="372">
        <v>84887.203650299998</v>
      </c>
      <c r="AC219" s="372">
        <v>60320.207805700004</v>
      </c>
      <c r="AD219" s="372">
        <v>53384.638239</v>
      </c>
      <c r="AE219" s="372">
        <v>0</v>
      </c>
      <c r="AF219" s="372">
        <v>0</v>
      </c>
      <c r="AG219" s="372">
        <v>0</v>
      </c>
      <c r="AH219" s="372">
        <v>0</v>
      </c>
    </row>
    <row r="220" spans="1:34">
      <c r="A220" s="372" t="s">
        <v>2241</v>
      </c>
      <c r="B220" s="373" t="s">
        <v>2242</v>
      </c>
      <c r="C220" s="372" t="s">
        <v>2243</v>
      </c>
      <c r="D220" s="374">
        <v>1101116536481</v>
      </c>
      <c r="E220" s="372" t="s">
        <v>2244</v>
      </c>
      <c r="F220" s="375" t="s">
        <v>2245</v>
      </c>
      <c r="G220" s="375" t="s">
        <v>2245</v>
      </c>
      <c r="H220" s="375" t="s">
        <v>1327</v>
      </c>
      <c r="I220" s="375" t="s">
        <v>755</v>
      </c>
      <c r="J220" s="375">
        <v>4066391.8631099998</v>
      </c>
      <c r="K220" s="375">
        <v>177018.02064999999</v>
      </c>
      <c r="L220" s="375">
        <v>109837.64009</v>
      </c>
      <c r="M220" s="375">
        <v>2142636.8358700001</v>
      </c>
      <c r="N220" s="372">
        <v>0.34100000000000003</v>
      </c>
      <c r="O220" s="703">
        <v>114.26341087967489</v>
      </c>
      <c r="P220" s="375" t="s">
        <v>623</v>
      </c>
      <c r="Q220" s="375" t="s">
        <v>623</v>
      </c>
      <c r="R220" s="695">
        <v>20171030</v>
      </c>
      <c r="S220" s="375" t="s">
        <v>2246</v>
      </c>
      <c r="T220" s="696">
        <v>0.23100000000000001</v>
      </c>
      <c r="U220" s="375" t="s">
        <v>15988</v>
      </c>
      <c r="V220" s="722">
        <v>5.45</v>
      </c>
      <c r="W220" s="722">
        <v>0.56000000000000005</v>
      </c>
      <c r="X220" s="722">
        <v>0.28999999999999998</v>
      </c>
      <c r="Y220" s="722">
        <v>16.559999999999999</v>
      </c>
      <c r="Z220" s="382">
        <v>2.8687710458935145E-2</v>
      </c>
      <c r="AA220" s="372">
        <v>20760.480219500001</v>
      </c>
      <c r="AB220" s="372">
        <v>21454.072447800001</v>
      </c>
      <c r="AC220" s="372">
        <v>32032.6446105</v>
      </c>
      <c r="AD220" s="372">
        <v>40663.918631100001</v>
      </c>
      <c r="AE220" s="372">
        <v>41962.879999999997</v>
      </c>
      <c r="AF220" s="372">
        <v>43992.25</v>
      </c>
      <c r="AG220" s="372">
        <v>45534.8</v>
      </c>
      <c r="AH220" s="372">
        <v>0</v>
      </c>
    </row>
    <row r="221" spans="1:34">
      <c r="A221" s="372" t="s">
        <v>2247</v>
      </c>
      <c r="B221" s="373" t="s">
        <v>2248</v>
      </c>
      <c r="C221" s="372" t="s">
        <v>16140</v>
      </c>
      <c r="D221" s="374">
        <v>1101111263203</v>
      </c>
      <c r="E221" s="372" t="s">
        <v>16141</v>
      </c>
      <c r="F221" s="375" t="s">
        <v>1381</v>
      </c>
      <c r="G221" s="375" t="s">
        <v>1381</v>
      </c>
      <c r="H221" s="375" t="s">
        <v>1693</v>
      </c>
      <c r="I221" s="375" t="s">
        <v>869</v>
      </c>
      <c r="J221" s="375">
        <v>347618.26289999997</v>
      </c>
      <c r="K221" s="375">
        <v>90309.374649999998</v>
      </c>
      <c r="L221" s="375">
        <v>96073.845520000003</v>
      </c>
      <c r="M221" s="375">
        <v>293346.00326000003</v>
      </c>
      <c r="N221" s="372">
        <v>1.099</v>
      </c>
      <c r="O221" s="703">
        <v>1.373861994911497</v>
      </c>
      <c r="P221" s="375" t="s">
        <v>623</v>
      </c>
      <c r="Q221" s="375" t="s">
        <v>623</v>
      </c>
      <c r="R221" s="695">
        <v>20031217</v>
      </c>
      <c r="S221" s="375" t="s">
        <v>2249</v>
      </c>
      <c r="T221" s="696">
        <v>0.23100000000000001</v>
      </c>
      <c r="U221" s="375" t="s">
        <v>2250</v>
      </c>
      <c r="V221" s="722">
        <v>8.93</v>
      </c>
      <c r="W221" s="722">
        <v>2.94</v>
      </c>
      <c r="X221" s="722">
        <v>2.83</v>
      </c>
      <c r="Y221" s="722">
        <v>13.19</v>
      </c>
      <c r="Z221" s="382">
        <v>0.11247742491581714</v>
      </c>
      <c r="AA221" s="372">
        <v>1965.6647788</v>
      </c>
      <c r="AB221" s="372">
        <v>2722.9477099999999</v>
      </c>
      <c r="AC221" s="372">
        <v>3149.7699131999998</v>
      </c>
      <c r="AD221" s="372">
        <v>3476.1826289999999</v>
      </c>
      <c r="AE221" s="372">
        <v>4188.5</v>
      </c>
      <c r="AF221" s="372">
        <v>4694.21</v>
      </c>
      <c r="AG221" s="372">
        <v>5324.36</v>
      </c>
      <c r="AH221" s="372">
        <v>0</v>
      </c>
    </row>
    <row r="222" spans="1:34">
      <c r="A222" s="372" t="s">
        <v>2251</v>
      </c>
      <c r="B222" s="373" t="s">
        <v>2252</v>
      </c>
      <c r="C222" s="372" t="s">
        <v>2253</v>
      </c>
      <c r="D222" s="374">
        <v>1545110039704</v>
      </c>
      <c r="E222" s="372" t="s">
        <v>2254</v>
      </c>
      <c r="F222" s="372" t="s">
        <v>1259</v>
      </c>
      <c r="G222" s="375" t="s">
        <v>1259</v>
      </c>
      <c r="H222" s="375" t="s">
        <v>868</v>
      </c>
      <c r="I222" s="375" t="s">
        <v>869</v>
      </c>
      <c r="J222" s="375">
        <v>284991.65240000002</v>
      </c>
      <c r="K222" s="375">
        <v>33511.661590000003</v>
      </c>
      <c r="L222" s="375">
        <v>23354.25346</v>
      </c>
      <c r="M222" s="375">
        <v>386906.41850999999</v>
      </c>
      <c r="N222" s="372">
        <v>0.90600000000000003</v>
      </c>
      <c r="O222" s="703">
        <v>10.861722332748291</v>
      </c>
      <c r="P222" s="375" t="s">
        <v>623</v>
      </c>
      <c r="Q222" s="375" t="s">
        <v>623</v>
      </c>
      <c r="R222" s="695">
        <v>20160623</v>
      </c>
      <c r="S222" s="375" t="s">
        <v>2255</v>
      </c>
      <c r="T222" s="696">
        <v>0.23100000000000001</v>
      </c>
      <c r="U222" s="375" t="s">
        <v>2256</v>
      </c>
      <c r="V222" s="722">
        <v>24.4</v>
      </c>
      <c r="W222" s="722">
        <v>3.32</v>
      </c>
      <c r="X222" s="722">
        <v>4.47</v>
      </c>
      <c r="Y222" s="722">
        <v>65.13</v>
      </c>
      <c r="Z222" s="382">
        <v>0.1231461894460093</v>
      </c>
      <c r="AA222" s="372">
        <v>1241.0866398000001</v>
      </c>
      <c r="AB222" s="372">
        <v>1656.4194705</v>
      </c>
      <c r="AC222" s="372">
        <v>2493.2167797000002</v>
      </c>
      <c r="AD222" s="372">
        <v>2849.9165240000002</v>
      </c>
      <c r="AE222" s="372">
        <v>3246.67</v>
      </c>
      <c r="AF222" s="372">
        <v>3810.08</v>
      </c>
      <c r="AG222" s="372">
        <v>4535</v>
      </c>
      <c r="AH222" s="372">
        <v>5097.5</v>
      </c>
    </row>
    <row r="223" spans="1:34">
      <c r="A223" s="372" t="s">
        <v>2257</v>
      </c>
      <c r="B223" s="373" t="s">
        <v>2258</v>
      </c>
      <c r="C223" s="372" t="s">
        <v>2259</v>
      </c>
      <c r="D223" s="374">
        <v>1601110094162</v>
      </c>
      <c r="E223" s="372" t="s">
        <v>2260</v>
      </c>
      <c r="F223" s="375" t="s">
        <v>1782</v>
      </c>
      <c r="G223" s="375" t="s">
        <v>2261</v>
      </c>
      <c r="H223" s="375" t="s">
        <v>868</v>
      </c>
      <c r="I223" s="375" t="s">
        <v>869</v>
      </c>
      <c r="J223" s="375">
        <v>83170.197740000003</v>
      </c>
      <c r="K223" s="375">
        <v>11892.08021</v>
      </c>
      <c r="L223" s="375">
        <v>19151.569060000002</v>
      </c>
      <c r="M223" s="375">
        <v>239501.92431999999</v>
      </c>
      <c r="N223" s="372">
        <v>0.998</v>
      </c>
      <c r="O223" s="703">
        <v>10.343975826517886</v>
      </c>
      <c r="P223" s="375" t="s">
        <v>623</v>
      </c>
      <c r="Q223" s="372" t="s">
        <v>623</v>
      </c>
      <c r="R223" s="695">
        <v>20110209</v>
      </c>
      <c r="S223" s="375" t="s">
        <v>2262</v>
      </c>
      <c r="T223" s="696">
        <v>0.20900000000000002</v>
      </c>
      <c r="U223" s="375" t="s">
        <v>2263</v>
      </c>
      <c r="V223" s="722">
        <v>89.82</v>
      </c>
      <c r="W223" s="722">
        <v>6.1</v>
      </c>
      <c r="X223" s="722">
        <v>17.75</v>
      </c>
      <c r="Y223" s="722">
        <v>88</v>
      </c>
      <c r="Z223" s="382">
        <v>0.44239328434710568</v>
      </c>
      <c r="AA223" s="372">
        <v>485.24487749999997</v>
      </c>
      <c r="AB223" s="372">
        <v>610.68879909999998</v>
      </c>
      <c r="AC223" s="372">
        <v>799.12146319999999</v>
      </c>
      <c r="AD223" s="372">
        <v>831.70197740000003</v>
      </c>
      <c r="AE223" s="372">
        <v>1623.67</v>
      </c>
      <c r="AF223" s="372">
        <v>3326</v>
      </c>
      <c r="AG223" s="372">
        <v>3600</v>
      </c>
      <c r="AH223" s="372">
        <v>0</v>
      </c>
    </row>
    <row r="224" spans="1:34">
      <c r="A224" s="372" t="s">
        <v>2264</v>
      </c>
      <c r="B224" s="373" t="s">
        <v>2265</v>
      </c>
      <c r="C224" s="372" t="s">
        <v>2266</v>
      </c>
      <c r="D224" s="374">
        <v>1201110004218</v>
      </c>
      <c r="E224" s="372" t="s">
        <v>2267</v>
      </c>
      <c r="F224" s="375" t="s">
        <v>2268</v>
      </c>
      <c r="G224" s="375" t="s">
        <v>2269</v>
      </c>
      <c r="H224" s="375" t="s">
        <v>868</v>
      </c>
      <c r="I224" s="375" t="s">
        <v>869</v>
      </c>
      <c r="J224" s="375">
        <v>963223.22528000001</v>
      </c>
      <c r="K224" s="375">
        <v>-16571.978650000001</v>
      </c>
      <c r="L224" s="375">
        <v>-114773.89175</v>
      </c>
      <c r="M224" s="375">
        <v>986832.99341999996</v>
      </c>
      <c r="N224" s="372">
        <v>1.0760000000000001</v>
      </c>
      <c r="O224" s="703">
        <v>97.718520840703263</v>
      </c>
      <c r="P224" s="375" t="s">
        <v>16142</v>
      </c>
      <c r="Q224" s="375" t="s">
        <v>623</v>
      </c>
      <c r="R224" s="695">
        <v>19950731</v>
      </c>
      <c r="S224" s="375" t="s">
        <v>2270</v>
      </c>
      <c r="T224" s="696" t="s">
        <v>772</v>
      </c>
      <c r="U224" s="375" t="s">
        <v>2271</v>
      </c>
      <c r="V224" s="722">
        <v>37.28</v>
      </c>
      <c r="W224" s="722">
        <v>1.37</v>
      </c>
      <c r="X224" s="722">
        <v>1.28</v>
      </c>
      <c r="Y224" s="722" t="s">
        <v>774</v>
      </c>
      <c r="Z224" s="382">
        <v>7.21989176210176E-2</v>
      </c>
      <c r="AA224" s="372">
        <v>7448.7800656999998</v>
      </c>
      <c r="AB224" s="372">
        <v>9323.9425993999994</v>
      </c>
      <c r="AC224" s="372">
        <v>11004.151125</v>
      </c>
      <c r="AD224" s="372">
        <v>9632.2322528000004</v>
      </c>
      <c r="AE224" s="372">
        <v>9738</v>
      </c>
      <c r="AF224" s="372">
        <v>11430</v>
      </c>
      <c r="AG224" s="372">
        <v>12730</v>
      </c>
      <c r="AH224" s="372">
        <v>0</v>
      </c>
    </row>
    <row r="225" spans="1:34">
      <c r="A225" s="372" t="s">
        <v>2272</v>
      </c>
      <c r="B225" s="373" t="s">
        <v>2273</v>
      </c>
      <c r="C225" s="372" t="s">
        <v>2274</v>
      </c>
      <c r="D225" s="374">
        <v>1101112310946</v>
      </c>
      <c r="E225" s="372" t="s">
        <v>2275</v>
      </c>
      <c r="F225" s="375" t="s">
        <v>786</v>
      </c>
      <c r="G225" s="375" t="s">
        <v>786</v>
      </c>
      <c r="H225" s="375" t="s">
        <v>868</v>
      </c>
      <c r="I225" s="375" t="s">
        <v>869</v>
      </c>
      <c r="J225" s="375">
        <v>79209.511670000007</v>
      </c>
      <c r="K225" s="375">
        <v>40377.972809999999</v>
      </c>
      <c r="L225" s="375">
        <v>49572.305840000001</v>
      </c>
      <c r="M225" s="375">
        <v>227298.89477000001</v>
      </c>
      <c r="N225" s="372">
        <v>0.879</v>
      </c>
      <c r="O225" s="703">
        <v>0</v>
      </c>
      <c r="P225" s="375" t="s">
        <v>623</v>
      </c>
      <c r="Q225" s="375" t="s">
        <v>623</v>
      </c>
      <c r="R225" s="695">
        <v>20151117</v>
      </c>
      <c r="S225" s="375" t="s">
        <v>2276</v>
      </c>
      <c r="T225" s="696">
        <v>0.23100000000000001</v>
      </c>
      <c r="U225" s="375" t="s">
        <v>2277</v>
      </c>
      <c r="V225" s="722">
        <v>32.57</v>
      </c>
      <c r="W225" s="722">
        <v>5.0199999999999996</v>
      </c>
      <c r="X225" s="722">
        <v>18.649999999999999</v>
      </c>
      <c r="Y225" s="722">
        <v>36.99</v>
      </c>
      <c r="Z225" s="382" t="s">
        <v>934</v>
      </c>
      <c r="AA225" s="372">
        <v>602.95113419999996</v>
      </c>
      <c r="AB225" s="372">
        <v>590.87882660000002</v>
      </c>
      <c r="AC225" s="372">
        <v>690.9767488</v>
      </c>
      <c r="AD225" s="372">
        <v>792.09511669999995</v>
      </c>
      <c r="AE225" s="372">
        <v>0</v>
      </c>
      <c r="AF225" s="372">
        <v>0</v>
      </c>
      <c r="AG225" s="372">
        <v>0</v>
      </c>
      <c r="AH225" s="372">
        <v>0</v>
      </c>
    </row>
    <row r="226" spans="1:34">
      <c r="A226" s="372" t="s">
        <v>2278</v>
      </c>
      <c r="B226" s="373" t="s">
        <v>2279</v>
      </c>
      <c r="C226" s="372" t="s">
        <v>2280</v>
      </c>
      <c r="D226" s="374">
        <v>1101116740008</v>
      </c>
      <c r="E226" s="372" t="s">
        <v>2281</v>
      </c>
      <c r="F226" s="375" t="s">
        <v>2282</v>
      </c>
      <c r="G226" s="375" t="s">
        <v>2282</v>
      </c>
      <c r="H226" s="375" t="s">
        <v>1397</v>
      </c>
      <c r="I226" s="375" t="s">
        <v>755</v>
      </c>
      <c r="J226" s="375">
        <v>4190788.1483399998</v>
      </c>
      <c r="K226" s="375">
        <v>195313.16514</v>
      </c>
      <c r="L226" s="375">
        <v>237021.67300000001</v>
      </c>
      <c r="M226" s="375">
        <v>3008017.1946899998</v>
      </c>
      <c r="N226" s="372">
        <v>0.95799999999999996</v>
      </c>
      <c r="O226" s="703">
        <v>193.04584528366377</v>
      </c>
      <c r="P226" s="375" t="s">
        <v>623</v>
      </c>
      <c r="Q226" s="372" t="s">
        <v>623</v>
      </c>
      <c r="R226" s="695">
        <v>20180612</v>
      </c>
      <c r="S226" s="372" t="s">
        <v>2283</v>
      </c>
      <c r="T226" s="696">
        <v>0.23100000000000001</v>
      </c>
      <c r="U226" s="372" t="s">
        <v>2284</v>
      </c>
      <c r="V226" s="722">
        <v>8.39</v>
      </c>
      <c r="W226" s="722">
        <v>0.32</v>
      </c>
      <c r="X226" s="722">
        <v>0.23</v>
      </c>
      <c r="Y226" s="722">
        <v>5.56</v>
      </c>
      <c r="Z226" s="382">
        <v>5.4161331601611185E-2</v>
      </c>
      <c r="AA226" s="372">
        <v>36702.2498041</v>
      </c>
      <c r="AB226" s="372">
        <v>33639.056057900001</v>
      </c>
      <c r="AC226" s="372">
        <v>32982.996417299997</v>
      </c>
      <c r="AD226" s="372">
        <v>41907.8814834</v>
      </c>
      <c r="AE226" s="372">
        <v>43844.11</v>
      </c>
      <c r="AF226" s="372">
        <v>50210.22</v>
      </c>
      <c r="AG226" s="372">
        <v>51751.63</v>
      </c>
      <c r="AH226" s="372">
        <v>51770</v>
      </c>
    </row>
    <row r="227" spans="1:34">
      <c r="A227" s="372" t="s">
        <v>2285</v>
      </c>
      <c r="B227" s="373" t="s">
        <v>2286</v>
      </c>
      <c r="C227" s="372" t="s">
        <v>2287</v>
      </c>
      <c r="D227" s="374">
        <v>1101110129274</v>
      </c>
      <c r="E227" s="372" t="s">
        <v>2288</v>
      </c>
      <c r="F227" s="375" t="s">
        <v>1457</v>
      </c>
      <c r="G227" s="375" t="s">
        <v>1458</v>
      </c>
      <c r="H227" s="375" t="s">
        <v>1547</v>
      </c>
      <c r="I227" s="375" t="s">
        <v>869</v>
      </c>
      <c r="J227" s="375">
        <v>994199.11364</v>
      </c>
      <c r="K227" s="375">
        <v>145770.07227</v>
      </c>
      <c r="L227" s="375">
        <v>91500.022549999994</v>
      </c>
      <c r="M227" s="375">
        <v>1785465.08717</v>
      </c>
      <c r="N227" s="372">
        <v>0.72399999999999998</v>
      </c>
      <c r="O227" s="703">
        <v>101.26737449326022</v>
      </c>
      <c r="P227" s="375" t="s">
        <v>623</v>
      </c>
      <c r="Q227" s="375" t="s">
        <v>623</v>
      </c>
      <c r="R227" s="695">
        <v>20021101</v>
      </c>
      <c r="S227" s="375" t="s">
        <v>2289</v>
      </c>
      <c r="T227" s="696">
        <v>0.23100000000000001</v>
      </c>
      <c r="U227" s="375" t="s">
        <v>2290</v>
      </c>
      <c r="V227" s="722">
        <v>9.2100000000000009</v>
      </c>
      <c r="W227" s="722">
        <v>0.85</v>
      </c>
      <c r="X227" s="722">
        <v>1.23</v>
      </c>
      <c r="Y227" s="722">
        <v>19.54</v>
      </c>
      <c r="Z227" s="382">
        <v>6.5406384342229895E-2</v>
      </c>
      <c r="AA227" s="372">
        <v>4538.8118127999996</v>
      </c>
      <c r="AB227" s="372">
        <v>4144.6617282999996</v>
      </c>
      <c r="AC227" s="372">
        <v>5876.3741092999999</v>
      </c>
      <c r="AD227" s="372">
        <v>9941.9911364</v>
      </c>
      <c r="AE227" s="372">
        <v>11149.33</v>
      </c>
      <c r="AF227" s="372">
        <v>12007.88</v>
      </c>
      <c r="AG227" s="372">
        <v>12809.57</v>
      </c>
      <c r="AH227" s="372">
        <v>0</v>
      </c>
    </row>
    <row r="228" spans="1:34">
      <c r="A228" s="372" t="s">
        <v>2291</v>
      </c>
      <c r="B228" s="373" t="s">
        <v>2292</v>
      </c>
      <c r="C228" s="372" t="s">
        <v>2293</v>
      </c>
      <c r="D228" s="374">
        <v>1101110084915</v>
      </c>
      <c r="E228" s="372" t="s">
        <v>2293</v>
      </c>
      <c r="F228" s="375" t="s">
        <v>1313</v>
      </c>
      <c r="G228" s="375" t="s">
        <v>1313</v>
      </c>
      <c r="H228" s="375" t="s">
        <v>832</v>
      </c>
      <c r="I228" s="375" t="s">
        <v>755</v>
      </c>
      <c r="J228" s="375">
        <v>5017815.8212400004</v>
      </c>
      <c r="K228" s="375">
        <v>150696.39199999999</v>
      </c>
      <c r="L228" s="375">
        <v>-172529.89163</v>
      </c>
      <c r="M228" s="375">
        <v>4533401.1643099999</v>
      </c>
      <c r="N228" s="372">
        <v>1.0029999999999999</v>
      </c>
      <c r="O228" s="703">
        <v>516.51731888616564</v>
      </c>
      <c r="P228" s="375" t="s">
        <v>623</v>
      </c>
      <c r="Q228" s="375" t="s">
        <v>623</v>
      </c>
      <c r="R228" s="695">
        <v>19760202</v>
      </c>
      <c r="S228" s="375" t="s">
        <v>861</v>
      </c>
      <c r="T228" s="696" t="s">
        <v>772</v>
      </c>
      <c r="U228" s="372" t="s">
        <v>2294</v>
      </c>
      <c r="V228" s="722">
        <v>11.29</v>
      </c>
      <c r="W228" s="722">
        <v>0.3</v>
      </c>
      <c r="X228" s="722">
        <v>0.23</v>
      </c>
      <c r="Y228" s="722" t="s">
        <v>774</v>
      </c>
      <c r="Z228" s="382">
        <v>4.8439109606014608E-2</v>
      </c>
      <c r="AA228" s="372">
        <v>15661.488116799999</v>
      </c>
      <c r="AB228" s="372">
        <v>23587.747967700001</v>
      </c>
      <c r="AC228" s="372">
        <v>51737.071701699999</v>
      </c>
      <c r="AD228" s="372">
        <v>50178.158212399998</v>
      </c>
      <c r="AE228" s="372">
        <v>58585</v>
      </c>
      <c r="AF228" s="372">
        <v>60248.33</v>
      </c>
      <c r="AG228" s="372">
        <v>60630</v>
      </c>
      <c r="AH228" s="372">
        <v>0</v>
      </c>
    </row>
    <row r="229" spans="1:34">
      <c r="A229" s="372" t="s">
        <v>2295</v>
      </c>
      <c r="B229" s="373" t="s">
        <v>2296</v>
      </c>
      <c r="C229" s="372" t="s">
        <v>2297</v>
      </c>
      <c r="D229" s="374">
        <v>1647110030756</v>
      </c>
      <c r="E229" s="372" t="s">
        <v>2298</v>
      </c>
      <c r="F229" s="375" t="s">
        <v>1104</v>
      </c>
      <c r="G229" s="375" t="s">
        <v>1105</v>
      </c>
      <c r="H229" s="375" t="s">
        <v>832</v>
      </c>
      <c r="I229" s="375" t="s">
        <v>755</v>
      </c>
      <c r="J229" s="375">
        <v>2155675.9274200001</v>
      </c>
      <c r="K229" s="375">
        <v>136143.34</v>
      </c>
      <c r="L229" s="375">
        <v>34338.000780000002</v>
      </c>
      <c r="M229" s="375">
        <v>1418590.13656</v>
      </c>
      <c r="N229" s="372">
        <v>0.56799999999999995</v>
      </c>
      <c r="O229" s="703">
        <v>93.067992692632174</v>
      </c>
      <c r="P229" s="375" t="s">
        <v>623</v>
      </c>
      <c r="Q229" s="375" t="s">
        <v>623</v>
      </c>
      <c r="R229" s="695">
        <v>20121019</v>
      </c>
      <c r="S229" s="375" t="s">
        <v>2299</v>
      </c>
      <c r="T229" s="696">
        <v>0.23100000000000001</v>
      </c>
      <c r="U229" s="375" t="s">
        <v>2300</v>
      </c>
      <c r="V229" s="722">
        <v>12.25</v>
      </c>
      <c r="W229" s="722">
        <v>1.89</v>
      </c>
      <c r="X229" s="722">
        <v>0.56999999999999995</v>
      </c>
      <c r="Y229" s="722">
        <v>236.22</v>
      </c>
      <c r="Z229" s="382">
        <v>7.5651605705389979E-2</v>
      </c>
      <c r="AA229" s="372">
        <v>13220.813176600001</v>
      </c>
      <c r="AB229" s="372">
        <v>15863.327102400001</v>
      </c>
      <c r="AC229" s="372">
        <v>18657.315230299999</v>
      </c>
      <c r="AD229" s="372">
        <v>21556.759274200002</v>
      </c>
      <c r="AE229" s="372">
        <v>24521</v>
      </c>
      <c r="AF229" s="372">
        <v>26789.64</v>
      </c>
      <c r="AG229" s="372">
        <v>28858.25</v>
      </c>
      <c r="AH229" s="372">
        <v>0</v>
      </c>
    </row>
    <row r="230" spans="1:34">
      <c r="A230" s="372" t="s">
        <v>2301</v>
      </c>
      <c r="B230" s="373" t="s">
        <v>2302</v>
      </c>
      <c r="C230" s="372" t="s">
        <v>2303</v>
      </c>
      <c r="D230" s="374">
        <v>1311110501021</v>
      </c>
      <c r="E230" s="372" t="s">
        <v>2304</v>
      </c>
      <c r="F230" s="375" t="s">
        <v>2305</v>
      </c>
      <c r="G230" s="375" t="s">
        <v>2305</v>
      </c>
      <c r="H230" s="375" t="s">
        <v>832</v>
      </c>
      <c r="I230" s="375" t="s">
        <v>755</v>
      </c>
      <c r="J230" s="375">
        <v>1748777.7403800001</v>
      </c>
      <c r="K230" s="375">
        <v>83302.487080000006</v>
      </c>
      <c r="L230" s="375">
        <v>52418.701659999999</v>
      </c>
      <c r="M230" s="375">
        <v>2675774.05584</v>
      </c>
      <c r="N230" s="372">
        <v>1.06</v>
      </c>
      <c r="O230" s="703">
        <v>106.51653905674409</v>
      </c>
      <c r="P230" s="375" t="s">
        <v>623</v>
      </c>
      <c r="Q230" s="375" t="s">
        <v>623</v>
      </c>
      <c r="R230" s="695">
        <v>20180105</v>
      </c>
      <c r="S230" s="375" t="s">
        <v>2306</v>
      </c>
      <c r="T230" s="696">
        <v>0.23100000000000001</v>
      </c>
      <c r="U230" s="375" t="s">
        <v>2307</v>
      </c>
      <c r="V230" s="722">
        <v>9.08</v>
      </c>
      <c r="W230" s="722">
        <v>0.61</v>
      </c>
      <c r="X230" s="722">
        <v>0.75</v>
      </c>
      <c r="Y230" s="722">
        <v>32.700000000000003</v>
      </c>
      <c r="Z230" s="382">
        <v>4.3436852803434123E-2</v>
      </c>
      <c r="AA230" s="372">
        <v>11987.8077039</v>
      </c>
      <c r="AB230" s="372">
        <v>20896.3187641</v>
      </c>
      <c r="AC230" s="372">
        <v>18291.913229199999</v>
      </c>
      <c r="AD230" s="372">
        <v>17487.777403799999</v>
      </c>
      <c r="AE230" s="372">
        <v>15717</v>
      </c>
      <c r="AF230" s="372">
        <v>15839</v>
      </c>
      <c r="AG230" s="372">
        <v>20730</v>
      </c>
      <c r="AH230" s="372">
        <v>0</v>
      </c>
    </row>
    <row r="231" spans="1:34">
      <c r="A231" s="372" t="s">
        <v>2308</v>
      </c>
      <c r="B231" s="373" t="s">
        <v>2309</v>
      </c>
      <c r="C231" s="372" t="s">
        <v>2310</v>
      </c>
      <c r="D231" s="374">
        <v>1501110205802</v>
      </c>
      <c r="E231" s="372" t="s">
        <v>2311</v>
      </c>
      <c r="F231" s="375" t="s">
        <v>1005</v>
      </c>
      <c r="G231" s="375" t="s">
        <v>1006</v>
      </c>
      <c r="H231" s="375" t="s">
        <v>1388</v>
      </c>
      <c r="I231" s="375" t="s">
        <v>869</v>
      </c>
      <c r="J231" s="375">
        <v>1041895.72497</v>
      </c>
      <c r="K231" s="375">
        <v>-88124.119460000002</v>
      </c>
      <c r="L231" s="375">
        <v>-144691.21189999999</v>
      </c>
      <c r="M231" s="375">
        <v>470437.81965999998</v>
      </c>
      <c r="N231" s="372">
        <v>1.08</v>
      </c>
      <c r="O231" s="703">
        <v>21.802648837700687</v>
      </c>
      <c r="P231" s="375" t="s">
        <v>623</v>
      </c>
      <c r="Q231" s="375" t="s">
        <v>623</v>
      </c>
      <c r="R231" s="695">
        <v>20150807</v>
      </c>
      <c r="S231" s="375" t="s">
        <v>2312</v>
      </c>
      <c r="T231" s="696" t="s">
        <v>772</v>
      </c>
      <c r="U231" s="375" t="s">
        <v>2313</v>
      </c>
      <c r="V231" s="722" t="s">
        <v>774</v>
      </c>
      <c r="W231" s="722">
        <v>2.62</v>
      </c>
      <c r="X231" s="722">
        <v>1.18</v>
      </c>
      <c r="Y231" s="722" t="s">
        <v>774</v>
      </c>
      <c r="Z231" s="382">
        <v>0.10014607894830307</v>
      </c>
      <c r="AA231" s="372">
        <v>12013.747035</v>
      </c>
      <c r="AB231" s="372">
        <v>13658.3287612</v>
      </c>
      <c r="AC231" s="372">
        <v>16974.52348</v>
      </c>
      <c r="AD231" s="372">
        <v>10418.957249700001</v>
      </c>
      <c r="AE231" s="372">
        <v>12494</v>
      </c>
      <c r="AF231" s="372">
        <v>14029.13</v>
      </c>
      <c r="AG231" s="372">
        <v>15262.5</v>
      </c>
      <c r="AH231" s="372">
        <v>15480</v>
      </c>
    </row>
    <row r="232" spans="1:34">
      <c r="A232" s="372" t="s">
        <v>2314</v>
      </c>
      <c r="B232" s="373" t="s">
        <v>2315</v>
      </c>
      <c r="C232" s="372" t="s">
        <v>2316</v>
      </c>
      <c r="D232" s="374">
        <v>1353110013606</v>
      </c>
      <c r="E232" s="372" t="s">
        <v>2317</v>
      </c>
      <c r="F232" s="375" t="s">
        <v>1970</v>
      </c>
      <c r="G232" s="375" t="s">
        <v>1970</v>
      </c>
      <c r="H232" s="375" t="s">
        <v>832</v>
      </c>
      <c r="I232" s="375" t="s">
        <v>755</v>
      </c>
      <c r="J232" s="375">
        <v>5061157.9213899998</v>
      </c>
      <c r="K232" s="375">
        <v>157625.47406000001</v>
      </c>
      <c r="L232" s="375">
        <v>89621.632329999993</v>
      </c>
      <c r="M232" s="375">
        <v>2929657.0666</v>
      </c>
      <c r="N232" s="372">
        <v>1.0389999999999999</v>
      </c>
      <c r="O232" s="703">
        <v>200.47601788222673</v>
      </c>
      <c r="P232" s="375" t="s">
        <v>623</v>
      </c>
      <c r="Q232" s="372" t="s">
        <v>623</v>
      </c>
      <c r="R232" s="695">
        <v>20100201</v>
      </c>
      <c r="S232" s="375" t="s">
        <v>2318</v>
      </c>
      <c r="T232" s="696">
        <v>0.23100000000000001</v>
      </c>
      <c r="U232" s="372" t="s">
        <v>2319</v>
      </c>
      <c r="V232" s="722">
        <v>8.26</v>
      </c>
      <c r="W232" s="722">
        <v>0.48</v>
      </c>
      <c r="X232" s="722">
        <v>0.27</v>
      </c>
      <c r="Y232" s="722">
        <v>31.52</v>
      </c>
      <c r="Z232" s="382">
        <v>3.7352337835988125E-2</v>
      </c>
      <c r="AA232" s="372">
        <v>39702.639661100002</v>
      </c>
      <c r="AB232" s="372">
        <v>46620.503954400003</v>
      </c>
      <c r="AC232" s="372">
        <v>53674.735560699999</v>
      </c>
      <c r="AD232" s="372">
        <v>50611.579213899997</v>
      </c>
      <c r="AE232" s="372">
        <v>50530.71</v>
      </c>
      <c r="AF232" s="372">
        <v>53959.57</v>
      </c>
      <c r="AG232" s="372">
        <v>58607.75</v>
      </c>
      <c r="AH232" s="372">
        <v>0</v>
      </c>
    </row>
    <row r="233" spans="1:34">
      <c r="A233" s="372" t="s">
        <v>2320</v>
      </c>
      <c r="B233" s="373" t="s">
        <v>2321</v>
      </c>
      <c r="C233" s="372" t="s">
        <v>2322</v>
      </c>
      <c r="D233" s="374">
        <v>1101110152738</v>
      </c>
      <c r="E233" s="372" t="s">
        <v>2323</v>
      </c>
      <c r="F233" s="375" t="s">
        <v>1782</v>
      </c>
      <c r="G233" s="375" t="s">
        <v>2261</v>
      </c>
      <c r="H233" s="375" t="s">
        <v>832</v>
      </c>
      <c r="I233" s="375" t="s">
        <v>755</v>
      </c>
      <c r="J233" s="375">
        <v>798983.65289000003</v>
      </c>
      <c r="K233" s="375">
        <v>3005.5940000000001</v>
      </c>
      <c r="L233" s="375">
        <v>-6871.6007</v>
      </c>
      <c r="M233" s="375">
        <v>644489.60973000003</v>
      </c>
      <c r="N233" s="372">
        <v>1.1319999999999999</v>
      </c>
      <c r="O233" s="703">
        <v>19.508125642138307</v>
      </c>
      <c r="P233" s="375" t="s">
        <v>623</v>
      </c>
      <c r="Q233" s="375" t="s">
        <v>623</v>
      </c>
      <c r="R233" s="695">
        <v>19870723</v>
      </c>
      <c r="S233" s="375" t="s">
        <v>2324</v>
      </c>
      <c r="T233" s="696" t="s">
        <v>772</v>
      </c>
      <c r="U233" s="375" t="s">
        <v>2325</v>
      </c>
      <c r="V233" s="722">
        <v>73.41</v>
      </c>
      <c r="W233" s="722">
        <v>5.08</v>
      </c>
      <c r="X233" s="722">
        <v>1.74</v>
      </c>
      <c r="Y233" s="722" t="s">
        <v>774</v>
      </c>
      <c r="Z233" s="382" t="s">
        <v>934</v>
      </c>
      <c r="AA233" s="372">
        <v>3555.0197140999999</v>
      </c>
      <c r="AB233" s="372">
        <v>5126.1434812999996</v>
      </c>
      <c r="AC233" s="372">
        <v>7181.9457009999996</v>
      </c>
      <c r="AD233" s="372">
        <v>7989.8365289000003</v>
      </c>
      <c r="AE233" s="372">
        <v>15152</v>
      </c>
      <c r="AF233" s="372">
        <v>0</v>
      </c>
      <c r="AG233" s="372">
        <v>0</v>
      </c>
      <c r="AH233" s="372">
        <v>0</v>
      </c>
    </row>
    <row r="234" spans="1:34">
      <c r="A234" s="372" t="s">
        <v>2326</v>
      </c>
      <c r="B234" s="373" t="s">
        <v>2327</v>
      </c>
      <c r="C234" s="372" t="s">
        <v>2328</v>
      </c>
      <c r="D234" s="374">
        <v>1101112183749</v>
      </c>
      <c r="E234" s="372" t="s">
        <v>2329</v>
      </c>
      <c r="F234" s="375" t="s">
        <v>1062</v>
      </c>
      <c r="G234" s="375" t="s">
        <v>1062</v>
      </c>
      <c r="H234" s="375" t="s">
        <v>868</v>
      </c>
      <c r="I234" s="375" t="s">
        <v>869</v>
      </c>
      <c r="J234" s="375">
        <v>261010.91055999999</v>
      </c>
      <c r="K234" s="375">
        <v>92257.786630000002</v>
      </c>
      <c r="L234" s="375">
        <v>100704.56736</v>
      </c>
      <c r="M234" s="375">
        <v>462194.59707999998</v>
      </c>
      <c r="N234" s="372">
        <v>0.61299999999999999</v>
      </c>
      <c r="O234" s="703">
        <v>2.6357721949300768</v>
      </c>
      <c r="P234" s="375" t="s">
        <v>623</v>
      </c>
      <c r="Q234" s="375" t="s">
        <v>623</v>
      </c>
      <c r="R234" s="695">
        <v>20150724</v>
      </c>
      <c r="S234" s="375" t="s">
        <v>2330</v>
      </c>
      <c r="T234" s="696">
        <v>0.23100000000000001</v>
      </c>
      <c r="U234" s="375" t="s">
        <v>15989</v>
      </c>
      <c r="V234" s="722">
        <v>11.12</v>
      </c>
      <c r="W234" s="722">
        <v>2.58</v>
      </c>
      <c r="X234" s="722">
        <v>4.3099999999999996</v>
      </c>
      <c r="Y234" s="722">
        <v>14.71</v>
      </c>
      <c r="Z234" s="382">
        <v>0.12469311499079549</v>
      </c>
      <c r="AA234" s="372">
        <v>1087.4592187999999</v>
      </c>
      <c r="AB234" s="372">
        <v>1540.8289789</v>
      </c>
      <c r="AC234" s="372">
        <v>1947.5864392999999</v>
      </c>
      <c r="AD234" s="372">
        <v>2610.1091056</v>
      </c>
      <c r="AE234" s="372">
        <v>3193.6</v>
      </c>
      <c r="AF234" s="372">
        <v>3639.5</v>
      </c>
      <c r="AG234" s="372">
        <v>4176.33</v>
      </c>
      <c r="AH234" s="372">
        <v>4620</v>
      </c>
    </row>
    <row r="235" spans="1:34">
      <c r="A235" s="372" t="s">
        <v>2331</v>
      </c>
      <c r="B235" s="373" t="s">
        <v>2332</v>
      </c>
      <c r="C235" s="372" t="s">
        <v>2333</v>
      </c>
      <c r="D235" s="374">
        <v>1341110003595</v>
      </c>
      <c r="E235" s="372" t="s">
        <v>2334</v>
      </c>
      <c r="F235" s="372" t="s">
        <v>2335</v>
      </c>
      <c r="G235" s="375" t="s">
        <v>2336</v>
      </c>
      <c r="H235" s="375" t="s">
        <v>853</v>
      </c>
      <c r="I235" s="375" t="s">
        <v>755</v>
      </c>
      <c r="J235" s="375">
        <v>1966947.0338099999</v>
      </c>
      <c r="K235" s="375">
        <v>1946.6088500000001</v>
      </c>
      <c r="L235" s="375">
        <v>-49400.70925</v>
      </c>
      <c r="M235" s="375">
        <v>342770.35421000002</v>
      </c>
      <c r="N235" s="372">
        <v>1.0349999999999999</v>
      </c>
      <c r="O235" s="703">
        <v>28.731522227703493</v>
      </c>
      <c r="P235" s="375" t="s">
        <v>623</v>
      </c>
      <c r="Q235" s="375" t="s">
        <v>623</v>
      </c>
      <c r="R235" s="695">
        <v>20020716</v>
      </c>
      <c r="S235" s="375" t="s">
        <v>2337</v>
      </c>
      <c r="T235" s="696" t="s">
        <v>772</v>
      </c>
      <c r="U235" s="372" t="s">
        <v>2338</v>
      </c>
      <c r="V235" s="722">
        <v>18.100000000000001</v>
      </c>
      <c r="W235" s="722">
        <v>2.06</v>
      </c>
      <c r="X235" s="722">
        <v>0.64</v>
      </c>
      <c r="Y235" s="722" t="s">
        <v>774</v>
      </c>
      <c r="Z235" s="382">
        <v>3.1842571995228663E-2</v>
      </c>
      <c r="AA235" s="372">
        <v>20674.686626999999</v>
      </c>
      <c r="AB235" s="372">
        <v>22312.209492999998</v>
      </c>
      <c r="AC235" s="372">
        <v>20009.0606572</v>
      </c>
      <c r="AD235" s="372">
        <v>19669.4703381</v>
      </c>
      <c r="AE235" s="372">
        <v>20035.7</v>
      </c>
      <c r="AF235" s="372">
        <v>20324.669999999998</v>
      </c>
      <c r="AG235" s="372">
        <v>22297</v>
      </c>
      <c r="AH235" s="372">
        <v>0</v>
      </c>
    </row>
    <row r="236" spans="1:34">
      <c r="A236" s="372" t="s">
        <v>2339</v>
      </c>
      <c r="B236" s="373" t="s">
        <v>2340</v>
      </c>
      <c r="C236" s="372" t="s">
        <v>2341</v>
      </c>
      <c r="D236" s="374">
        <v>1615110027263</v>
      </c>
      <c r="E236" s="372" t="s">
        <v>2342</v>
      </c>
      <c r="F236" s="372" t="s">
        <v>1673</v>
      </c>
      <c r="G236" s="375" t="s">
        <v>1673</v>
      </c>
      <c r="H236" s="375" t="s">
        <v>1388</v>
      </c>
      <c r="I236" s="375" t="s">
        <v>869</v>
      </c>
      <c r="J236" s="375">
        <v>437586.07715000003</v>
      </c>
      <c r="K236" s="375">
        <v>-16710.120330000002</v>
      </c>
      <c r="L236" s="375">
        <v>-14885.484060000001</v>
      </c>
      <c r="M236" s="375">
        <v>470160.71468999999</v>
      </c>
      <c r="N236" s="372">
        <v>1.1499999999999999</v>
      </c>
      <c r="O236" s="703">
        <v>10.404505147246883</v>
      </c>
      <c r="P236" s="375" t="s">
        <v>623</v>
      </c>
      <c r="Q236" s="375" t="s">
        <v>623</v>
      </c>
      <c r="R236" s="695">
        <v>20010427</v>
      </c>
      <c r="S236" s="375" t="s">
        <v>2343</v>
      </c>
      <c r="T236" s="696" t="s">
        <v>772</v>
      </c>
      <c r="U236" s="375" t="s">
        <v>2344</v>
      </c>
      <c r="V236" s="722">
        <v>35.71</v>
      </c>
      <c r="W236" s="722">
        <v>2.2000000000000002</v>
      </c>
      <c r="X236" s="722">
        <v>2.27</v>
      </c>
      <c r="Y236" s="722" t="s">
        <v>774</v>
      </c>
      <c r="Z236" s="382">
        <v>0.14132213634173318</v>
      </c>
      <c r="AA236" s="372">
        <v>5730.7754034</v>
      </c>
      <c r="AB236" s="372">
        <v>6411.0881968000003</v>
      </c>
      <c r="AC236" s="372">
        <v>6994.1211063000001</v>
      </c>
      <c r="AD236" s="372">
        <v>4375.8607714999998</v>
      </c>
      <c r="AE236" s="372">
        <v>5413.5</v>
      </c>
      <c r="AF236" s="372">
        <v>6630</v>
      </c>
      <c r="AG236" s="372">
        <v>7425</v>
      </c>
      <c r="AH236" s="372">
        <v>0</v>
      </c>
    </row>
    <row r="237" spans="1:34">
      <c r="A237" s="372" t="s">
        <v>2345</v>
      </c>
      <c r="B237" s="373" t="s">
        <v>2346</v>
      </c>
      <c r="C237" s="372" t="s">
        <v>2347</v>
      </c>
      <c r="D237" s="374">
        <v>1101115974020</v>
      </c>
      <c r="E237" s="372" t="s">
        <v>2348</v>
      </c>
      <c r="F237" s="375" t="s">
        <v>786</v>
      </c>
      <c r="G237" s="375" t="s">
        <v>786</v>
      </c>
      <c r="H237" s="375" t="s">
        <v>868</v>
      </c>
      <c r="I237" s="375" t="s">
        <v>869</v>
      </c>
      <c r="J237" s="375">
        <v>65547.054619999995</v>
      </c>
      <c r="K237" s="375">
        <v>-2617.1010000000001</v>
      </c>
      <c r="L237" s="375">
        <v>-2646.66329</v>
      </c>
      <c r="M237" s="375">
        <v>74079.110480000003</v>
      </c>
      <c r="N237" s="372">
        <v>0.96299999999999997</v>
      </c>
      <c r="O237" s="703">
        <v>3.5285725820466527</v>
      </c>
      <c r="P237" s="375" t="s">
        <v>623</v>
      </c>
      <c r="Q237" s="375" t="s">
        <v>623</v>
      </c>
      <c r="R237" s="695">
        <v>20181219</v>
      </c>
      <c r="S237" s="375" t="s">
        <v>2349</v>
      </c>
      <c r="T237" s="696" t="s">
        <v>772</v>
      </c>
      <c r="U237" s="375" t="s">
        <v>2350</v>
      </c>
      <c r="V237" s="722" t="s">
        <v>774</v>
      </c>
      <c r="W237" s="722">
        <v>15.9</v>
      </c>
      <c r="X237" s="722">
        <v>17.96</v>
      </c>
      <c r="Y237" s="722" t="s">
        <v>774</v>
      </c>
      <c r="Z237" s="382">
        <v>-0.15765463666083679</v>
      </c>
      <c r="AA237" s="372">
        <v>81.042034599999994</v>
      </c>
      <c r="AB237" s="372">
        <v>53.320689399999999</v>
      </c>
      <c r="AC237" s="372">
        <v>673.00799410000002</v>
      </c>
      <c r="AD237" s="372">
        <v>655.47054619999994</v>
      </c>
      <c r="AE237" s="372">
        <v>347</v>
      </c>
      <c r="AF237" s="372">
        <v>560</v>
      </c>
      <c r="AG237" s="372">
        <v>330</v>
      </c>
      <c r="AH237" s="372">
        <v>0</v>
      </c>
    </row>
    <row r="238" spans="1:34">
      <c r="A238" s="372" t="s">
        <v>2351</v>
      </c>
      <c r="B238" s="373" t="s">
        <v>2352</v>
      </c>
      <c r="C238" s="372" t="s">
        <v>2353</v>
      </c>
      <c r="D238" s="374">
        <v>1101110004632</v>
      </c>
      <c r="E238" s="372" t="s">
        <v>2354</v>
      </c>
      <c r="F238" s="375" t="s">
        <v>1076</v>
      </c>
      <c r="G238" s="375" t="s">
        <v>2355</v>
      </c>
      <c r="H238" s="375" t="s">
        <v>853</v>
      </c>
      <c r="I238" s="375" t="s">
        <v>755</v>
      </c>
      <c r="J238" s="375">
        <v>14514349.86912</v>
      </c>
      <c r="K238" s="375">
        <v>433109.59409000003</v>
      </c>
      <c r="L238" s="375">
        <v>342797.99706000002</v>
      </c>
      <c r="M238" s="375">
        <v>3074954.89402</v>
      </c>
      <c r="N238" s="372">
        <v>0.90200000000000002</v>
      </c>
      <c r="O238" s="703">
        <v>252.91447598889695</v>
      </c>
      <c r="P238" s="375" t="s">
        <v>623</v>
      </c>
      <c r="Q238" s="375" t="s">
        <v>623</v>
      </c>
      <c r="R238" s="695">
        <v>19760130</v>
      </c>
      <c r="S238" s="375" t="s">
        <v>2356</v>
      </c>
      <c r="T238" s="696">
        <v>0.26400000000000001</v>
      </c>
      <c r="U238" s="372" t="s">
        <v>2357</v>
      </c>
      <c r="V238" s="722">
        <v>4.4000000000000004</v>
      </c>
      <c r="W238" s="722">
        <v>0.49</v>
      </c>
      <c r="X238" s="722">
        <v>0.08</v>
      </c>
      <c r="Y238" s="722">
        <v>9.73</v>
      </c>
      <c r="Z238" s="382">
        <v>2.291323897939046E-2</v>
      </c>
      <c r="AA238" s="372">
        <v>112826.3238957</v>
      </c>
      <c r="AB238" s="372">
        <v>166865.3263365</v>
      </c>
      <c r="AC238" s="372">
        <v>187595.49404029999</v>
      </c>
      <c r="AD238" s="372">
        <v>145143.49869119999</v>
      </c>
      <c r="AE238" s="372">
        <v>149638.25</v>
      </c>
      <c r="AF238" s="372">
        <v>152909.38</v>
      </c>
      <c r="AG238" s="372">
        <v>158910.57</v>
      </c>
      <c r="AH238" s="372">
        <v>139400</v>
      </c>
    </row>
    <row r="239" spans="1:34">
      <c r="A239" s="372" t="s">
        <v>2358</v>
      </c>
      <c r="B239" s="373" t="s">
        <v>2359</v>
      </c>
      <c r="C239" s="372" t="s">
        <v>2360</v>
      </c>
      <c r="D239" s="374">
        <v>1301110007616</v>
      </c>
      <c r="E239" s="372" t="s">
        <v>2361</v>
      </c>
      <c r="F239" s="375" t="s">
        <v>1286</v>
      </c>
      <c r="G239" s="375" t="s">
        <v>1465</v>
      </c>
      <c r="H239" s="375" t="s">
        <v>1388</v>
      </c>
      <c r="I239" s="375" t="s">
        <v>869</v>
      </c>
      <c r="J239" s="375">
        <v>184988.88182000001</v>
      </c>
      <c r="K239" s="375">
        <v>6208.9411</v>
      </c>
      <c r="L239" s="375">
        <v>-471.82675</v>
      </c>
      <c r="M239" s="375">
        <v>156880.99687999999</v>
      </c>
      <c r="N239" s="372">
        <v>1.224</v>
      </c>
      <c r="O239" s="703">
        <v>16.579037214772395</v>
      </c>
      <c r="P239" s="375" t="s">
        <v>623</v>
      </c>
      <c r="Q239" s="375" t="s">
        <v>623</v>
      </c>
      <c r="R239" s="695">
        <v>20041208</v>
      </c>
      <c r="S239" s="375" t="s">
        <v>2362</v>
      </c>
      <c r="T239" s="696" t="s">
        <v>772</v>
      </c>
      <c r="U239" s="375" t="s">
        <v>2363</v>
      </c>
      <c r="V239" s="722">
        <v>100.05</v>
      </c>
      <c r="W239" s="722">
        <v>7.82</v>
      </c>
      <c r="X239" s="722">
        <v>7.23</v>
      </c>
      <c r="Y239" s="722">
        <v>1924.29</v>
      </c>
      <c r="Z239" s="382">
        <v>0.3150253837786261</v>
      </c>
      <c r="AA239" s="372">
        <v>1545.4346883000001</v>
      </c>
      <c r="AB239" s="372">
        <v>1987.0769931</v>
      </c>
      <c r="AC239" s="372">
        <v>1740.9840732</v>
      </c>
      <c r="AD239" s="372">
        <v>1849.8888182000001</v>
      </c>
      <c r="AE239" s="372">
        <v>2628.67</v>
      </c>
      <c r="AF239" s="372">
        <v>4258.67</v>
      </c>
      <c r="AG239" s="372">
        <v>5532</v>
      </c>
      <c r="AH239" s="372">
        <v>0</v>
      </c>
    </row>
    <row r="240" spans="1:34">
      <c r="A240" s="372" t="s">
        <v>2364</v>
      </c>
      <c r="B240" s="373" t="s">
        <v>2365</v>
      </c>
      <c r="C240" s="372" t="s">
        <v>2366</v>
      </c>
      <c r="D240" s="374">
        <v>1313110083497</v>
      </c>
      <c r="E240" s="372" t="s">
        <v>2367</v>
      </c>
      <c r="F240" s="375" t="s">
        <v>2368</v>
      </c>
      <c r="G240" s="375" t="s">
        <v>2368</v>
      </c>
      <c r="H240" s="375" t="s">
        <v>817</v>
      </c>
      <c r="I240" s="375" t="s">
        <v>755</v>
      </c>
      <c r="J240" s="375">
        <v>4125263.9472500002</v>
      </c>
      <c r="K240" s="375">
        <v>228636.48071999999</v>
      </c>
      <c r="L240" s="375">
        <v>201086.56576</v>
      </c>
      <c r="M240" s="375">
        <v>1965954.52049</v>
      </c>
      <c r="N240" s="372">
        <v>1.0780000000000001</v>
      </c>
      <c r="O240" s="703">
        <v>39.579547156196533</v>
      </c>
      <c r="P240" s="375" t="s">
        <v>623</v>
      </c>
      <c r="Q240" s="372" t="s">
        <v>623</v>
      </c>
      <c r="R240" s="695">
        <v>20080730</v>
      </c>
      <c r="S240" s="375">
        <v>0</v>
      </c>
      <c r="T240" s="696">
        <v>0.23100000000000001</v>
      </c>
      <c r="U240" s="375" t="s">
        <v>2369</v>
      </c>
      <c r="V240" s="722">
        <v>4.29</v>
      </c>
      <c r="W240" s="722">
        <v>0.55000000000000004</v>
      </c>
      <c r="X240" s="722">
        <v>0.27</v>
      </c>
      <c r="Y240" s="722">
        <v>7.02</v>
      </c>
      <c r="Z240" s="382">
        <v>5.3778827009094421E-2</v>
      </c>
      <c r="AA240" s="372">
        <v>25936.3602574</v>
      </c>
      <c r="AB240" s="372">
        <v>35094.982785200002</v>
      </c>
      <c r="AC240" s="372">
        <v>43729.825012200003</v>
      </c>
      <c r="AD240" s="372">
        <v>41252.639472499999</v>
      </c>
      <c r="AE240" s="372">
        <v>46288.79</v>
      </c>
      <c r="AF240" s="372">
        <v>49142.64</v>
      </c>
      <c r="AG240" s="372">
        <v>50868.58</v>
      </c>
      <c r="AH240" s="372">
        <v>0</v>
      </c>
    </row>
    <row r="241" spans="1:34">
      <c r="A241" s="372" t="s">
        <v>2370</v>
      </c>
      <c r="B241" s="373" t="s">
        <v>2371</v>
      </c>
      <c r="C241" s="372" t="s">
        <v>2372</v>
      </c>
      <c r="D241" s="374">
        <v>2111110049793</v>
      </c>
      <c r="E241" s="372" t="s">
        <v>2373</v>
      </c>
      <c r="F241" s="375" t="s">
        <v>1313</v>
      </c>
      <c r="G241" s="375" t="s">
        <v>1313</v>
      </c>
      <c r="H241" s="375" t="s">
        <v>868</v>
      </c>
      <c r="I241" s="375" t="s">
        <v>869</v>
      </c>
      <c r="J241" s="375">
        <v>247367.78685</v>
      </c>
      <c r="K241" s="375">
        <v>-8338.4332300000005</v>
      </c>
      <c r="L241" s="375">
        <v>-11653.87133</v>
      </c>
      <c r="M241" s="375">
        <v>324130.29321999999</v>
      </c>
      <c r="N241" s="372">
        <v>0.76500000000000001</v>
      </c>
      <c r="O241" s="703">
        <v>20.187262496610607</v>
      </c>
      <c r="P241" s="375" t="s">
        <v>623</v>
      </c>
      <c r="Q241" s="375" t="s">
        <v>623</v>
      </c>
      <c r="R241" s="695">
        <v>20220728</v>
      </c>
      <c r="S241" s="375" t="s">
        <v>2374</v>
      </c>
      <c r="T241" s="696" t="s">
        <v>772</v>
      </c>
      <c r="U241" s="375" t="s">
        <v>2375</v>
      </c>
      <c r="V241" s="722">
        <v>266.08</v>
      </c>
      <c r="W241" s="722">
        <v>4.25</v>
      </c>
      <c r="X241" s="722">
        <v>5.29</v>
      </c>
      <c r="Y241" s="722">
        <v>52.77</v>
      </c>
      <c r="Z241" s="382">
        <v>0.23971879566249488</v>
      </c>
      <c r="AA241" s="372">
        <v>659.38698829999998</v>
      </c>
      <c r="AB241" s="372">
        <v>1472.5408579</v>
      </c>
      <c r="AC241" s="372">
        <v>2698.9552051999999</v>
      </c>
      <c r="AD241" s="372">
        <v>2473.6778684999999</v>
      </c>
      <c r="AE241" s="372">
        <v>2952.5</v>
      </c>
      <c r="AF241" s="372">
        <v>4130</v>
      </c>
      <c r="AG241" s="372">
        <v>5843</v>
      </c>
      <c r="AH241" s="372">
        <v>0</v>
      </c>
    </row>
    <row r="242" spans="1:34">
      <c r="A242" s="372" t="s">
        <v>2376</v>
      </c>
      <c r="B242" s="373" t="s">
        <v>2377</v>
      </c>
      <c r="C242" s="372" t="s">
        <v>2378</v>
      </c>
      <c r="D242" s="374">
        <v>1341110010839</v>
      </c>
      <c r="E242" s="372" t="s">
        <v>2379</v>
      </c>
      <c r="F242" s="375" t="s">
        <v>1368</v>
      </c>
      <c r="G242" s="375" t="s">
        <v>1368</v>
      </c>
      <c r="H242" s="375" t="s">
        <v>832</v>
      </c>
      <c r="I242" s="375" t="s">
        <v>755</v>
      </c>
      <c r="J242" s="375">
        <v>0</v>
      </c>
      <c r="K242" s="375">
        <v>0</v>
      </c>
      <c r="L242" s="375">
        <v>0</v>
      </c>
      <c r="M242" s="375">
        <v>281175.21088000003</v>
      </c>
      <c r="N242" s="372" t="s">
        <v>1033</v>
      </c>
      <c r="O242" s="703">
        <v>47.243092626291507</v>
      </c>
      <c r="P242" s="375" t="s">
        <v>623</v>
      </c>
      <c r="Q242" s="375" t="s">
        <v>623</v>
      </c>
      <c r="R242" s="695">
        <v>20231222</v>
      </c>
      <c r="S242" s="375" t="s">
        <v>2380</v>
      </c>
      <c r="T242" s="696" t="s">
        <v>772</v>
      </c>
      <c r="U242" s="372" t="s">
        <v>15990</v>
      </c>
      <c r="V242" s="722">
        <v>0</v>
      </c>
      <c r="W242" s="722">
        <v>6.11</v>
      </c>
      <c r="X242" s="722">
        <v>0</v>
      </c>
      <c r="Y242" s="722">
        <v>0</v>
      </c>
      <c r="Z242" s="382" t="s">
        <v>934</v>
      </c>
      <c r="AA242" s="372">
        <v>5993.5350900000003</v>
      </c>
      <c r="AB242" s="372">
        <v>9005.0721379999995</v>
      </c>
      <c r="AC242" s="372">
        <v>11337.1996375</v>
      </c>
      <c r="AD242" s="372">
        <v>10704.4004255</v>
      </c>
      <c r="AE242" s="372">
        <v>13059</v>
      </c>
      <c r="AF242" s="372">
        <v>0</v>
      </c>
      <c r="AG242" s="372">
        <v>0</v>
      </c>
      <c r="AH242" s="372">
        <v>0</v>
      </c>
    </row>
    <row r="243" spans="1:34">
      <c r="A243" s="372" t="s">
        <v>2381</v>
      </c>
      <c r="B243" s="373" t="s">
        <v>2382</v>
      </c>
      <c r="C243" s="372" t="s">
        <v>2383</v>
      </c>
      <c r="D243" s="374">
        <v>1101112615578</v>
      </c>
      <c r="E243" s="372" t="s">
        <v>2384</v>
      </c>
      <c r="F243" s="375" t="s">
        <v>1124</v>
      </c>
      <c r="G243" s="375" t="s">
        <v>1347</v>
      </c>
      <c r="H243" s="375" t="s">
        <v>1348</v>
      </c>
      <c r="I243" s="375" t="s">
        <v>869</v>
      </c>
      <c r="J243" s="375">
        <v>31720.932229999999</v>
      </c>
      <c r="K243" s="375">
        <v>-14488.56612</v>
      </c>
      <c r="L243" s="375">
        <v>-12480.30292</v>
      </c>
      <c r="M243" s="375">
        <v>61444.362860000001</v>
      </c>
      <c r="N243" s="372">
        <v>0.57099999999999995</v>
      </c>
      <c r="O243" s="703">
        <v>4.4558946209095951E-2</v>
      </c>
      <c r="P243" s="375" t="s">
        <v>623</v>
      </c>
      <c r="Q243" s="375" t="s">
        <v>623</v>
      </c>
      <c r="R243" s="695">
        <v>20120120</v>
      </c>
      <c r="S243" s="375" t="s">
        <v>2385</v>
      </c>
      <c r="T243" s="696" t="s">
        <v>772</v>
      </c>
      <c r="U243" s="375" t="s">
        <v>2386</v>
      </c>
      <c r="V243" s="722" t="s">
        <v>774</v>
      </c>
      <c r="W243" s="722">
        <v>18.79</v>
      </c>
      <c r="X243" s="722">
        <v>34.78</v>
      </c>
      <c r="Y243" s="722" t="s">
        <v>774</v>
      </c>
      <c r="Z243" s="382" t="s">
        <v>934</v>
      </c>
      <c r="AA243" s="372">
        <v>286.34181280000001</v>
      </c>
      <c r="AB243" s="372">
        <v>266.53873349999998</v>
      </c>
      <c r="AC243" s="372">
        <v>307.26176390000001</v>
      </c>
      <c r="AD243" s="372">
        <v>317.2093223</v>
      </c>
      <c r="AE243" s="372">
        <v>0</v>
      </c>
      <c r="AF243" s="372">
        <v>0</v>
      </c>
      <c r="AG243" s="372">
        <v>0</v>
      </c>
      <c r="AH243" s="372">
        <v>0</v>
      </c>
    </row>
    <row r="244" spans="1:34">
      <c r="A244" s="372" t="s">
        <v>2387</v>
      </c>
      <c r="B244" s="373" t="s">
        <v>2388</v>
      </c>
      <c r="C244" s="372" t="s">
        <v>2389</v>
      </c>
      <c r="D244" s="374">
        <v>1101115767269</v>
      </c>
      <c r="E244" s="372" t="s">
        <v>2390</v>
      </c>
      <c r="F244" s="375" t="s">
        <v>1673</v>
      </c>
      <c r="G244" s="375" t="s">
        <v>2391</v>
      </c>
      <c r="H244" s="375" t="s">
        <v>1388</v>
      </c>
      <c r="I244" s="375" t="s">
        <v>869</v>
      </c>
      <c r="J244" s="375">
        <v>0</v>
      </c>
      <c r="K244" s="375">
        <v>0</v>
      </c>
      <c r="L244" s="375">
        <v>0</v>
      </c>
      <c r="M244" s="375">
        <v>186348.17563000001</v>
      </c>
      <c r="N244" s="372" t="s">
        <v>1033</v>
      </c>
      <c r="O244" s="703">
        <v>4.7404197216812776</v>
      </c>
      <c r="P244" s="375" t="s">
        <v>623</v>
      </c>
      <c r="Q244" s="375" t="s">
        <v>623</v>
      </c>
      <c r="R244" s="695">
        <v>20230807</v>
      </c>
      <c r="S244" s="375" t="s">
        <v>2392</v>
      </c>
      <c r="T244" s="696" t="s">
        <v>772</v>
      </c>
      <c r="U244" s="372" t="s">
        <v>2393</v>
      </c>
      <c r="V244" s="722">
        <v>0</v>
      </c>
      <c r="W244" s="722">
        <v>6.16</v>
      </c>
      <c r="X244" s="722">
        <v>0</v>
      </c>
      <c r="Y244" s="722">
        <v>0</v>
      </c>
      <c r="Z244" s="382" t="s">
        <v>934</v>
      </c>
      <c r="AA244" s="372">
        <v>8.3850867999999998</v>
      </c>
      <c r="AB244" s="372">
        <v>51.568164400000001</v>
      </c>
      <c r="AC244" s="372">
        <v>564.01518169999997</v>
      </c>
      <c r="AD244" s="372">
        <v>224.7090571</v>
      </c>
      <c r="AE244" s="372">
        <v>0</v>
      </c>
      <c r="AF244" s="372">
        <v>0</v>
      </c>
      <c r="AG244" s="372">
        <v>0</v>
      </c>
      <c r="AH244" s="372">
        <v>0</v>
      </c>
    </row>
    <row r="245" spans="1:34">
      <c r="A245" s="372" t="s">
        <v>2394</v>
      </c>
      <c r="B245" s="373" t="s">
        <v>2395</v>
      </c>
      <c r="C245" s="372" t="s">
        <v>2396</v>
      </c>
      <c r="D245" s="374">
        <v>1101110165830</v>
      </c>
      <c r="E245" s="372" t="s">
        <v>2397</v>
      </c>
      <c r="F245" s="375" t="s">
        <v>900</v>
      </c>
      <c r="G245" s="375" t="s">
        <v>901</v>
      </c>
      <c r="H245" s="375" t="s">
        <v>862</v>
      </c>
      <c r="I245" s="375" t="s">
        <v>755</v>
      </c>
      <c r="J245" s="375">
        <v>4355478.2623300003</v>
      </c>
      <c r="K245" s="375">
        <v>872582.13350999996</v>
      </c>
      <c r="L245" s="375">
        <v>936830.97987000004</v>
      </c>
      <c r="M245" s="375">
        <v>4579898.9265400004</v>
      </c>
      <c r="N245" s="372">
        <v>0.75</v>
      </c>
      <c r="O245" s="703">
        <v>64.872439739276118</v>
      </c>
      <c r="P245" s="375" t="s">
        <v>623</v>
      </c>
      <c r="Q245" s="372" t="s">
        <v>623</v>
      </c>
      <c r="R245" s="695">
        <v>19881107</v>
      </c>
      <c r="S245" s="372" t="s">
        <v>2398</v>
      </c>
      <c r="T245" s="696">
        <v>0.26400000000000001</v>
      </c>
      <c r="U245" s="372" t="s">
        <v>1763</v>
      </c>
      <c r="V245" s="722">
        <v>3.37</v>
      </c>
      <c r="W245" s="722">
        <v>0.45</v>
      </c>
      <c r="X245" s="722">
        <v>0.24</v>
      </c>
      <c r="Y245" s="722">
        <v>2.86</v>
      </c>
      <c r="Z245" s="382" t="s">
        <v>934</v>
      </c>
      <c r="AA245" s="372">
        <v>28509.564683600001</v>
      </c>
      <c r="AB245" s="372">
        <v>32405.138274199999</v>
      </c>
      <c r="AC245" s="372">
        <v>45338.7920552</v>
      </c>
      <c r="AD245" s="372">
        <v>43554.782623300001</v>
      </c>
      <c r="AE245" s="372">
        <v>45262</v>
      </c>
      <c r="AF245" s="372">
        <v>47279</v>
      </c>
      <c r="AG245" s="372">
        <v>0</v>
      </c>
      <c r="AH245" s="372">
        <v>0</v>
      </c>
    </row>
    <row r="246" spans="1:34">
      <c r="A246" s="372" t="s">
        <v>2399</v>
      </c>
      <c r="B246" s="373" t="s">
        <v>2400</v>
      </c>
      <c r="C246" s="372" t="s">
        <v>2401</v>
      </c>
      <c r="D246" s="374">
        <v>2201110050575</v>
      </c>
      <c r="E246" s="372" t="s">
        <v>2402</v>
      </c>
      <c r="F246" s="375" t="s">
        <v>1097</v>
      </c>
      <c r="G246" s="375" t="s">
        <v>1097</v>
      </c>
      <c r="H246" s="375" t="s">
        <v>916</v>
      </c>
      <c r="I246" s="375" t="s">
        <v>755</v>
      </c>
      <c r="J246" s="375">
        <v>1724008.54223</v>
      </c>
      <c r="K246" s="375">
        <v>169792.11765</v>
      </c>
      <c r="L246" s="375">
        <v>172547.27166999999</v>
      </c>
      <c r="M246" s="375">
        <v>311202.86193999997</v>
      </c>
      <c r="N246" s="372">
        <v>0.68700000000000006</v>
      </c>
      <c r="O246" s="703">
        <v>87.128440274921672</v>
      </c>
      <c r="P246" s="375" t="s">
        <v>623</v>
      </c>
      <c r="Q246" s="375" t="s">
        <v>623</v>
      </c>
      <c r="R246" s="695">
        <v>20151106</v>
      </c>
      <c r="S246" s="375" t="s">
        <v>2403</v>
      </c>
      <c r="T246" s="696">
        <v>0.23100000000000001</v>
      </c>
      <c r="U246" s="375" t="s">
        <v>2404</v>
      </c>
      <c r="V246" s="722">
        <v>4.7699999999999996</v>
      </c>
      <c r="W246" s="722">
        <v>3.02</v>
      </c>
      <c r="X246" s="722">
        <v>0.53</v>
      </c>
      <c r="Y246" s="722">
        <v>6.75</v>
      </c>
      <c r="Z246" s="382">
        <v>3.6447379317944284E-2</v>
      </c>
      <c r="AA246" s="372">
        <v>3770.4566070000001</v>
      </c>
      <c r="AB246" s="372">
        <v>2730.7919907999999</v>
      </c>
      <c r="AC246" s="372">
        <v>7025.0327580000003</v>
      </c>
      <c r="AD246" s="372">
        <v>17240.085422299999</v>
      </c>
      <c r="AE246" s="372">
        <v>19097.400000000001</v>
      </c>
      <c r="AF246" s="372">
        <v>18945</v>
      </c>
      <c r="AG246" s="372">
        <v>19894.29</v>
      </c>
      <c r="AH246" s="372">
        <v>0</v>
      </c>
    </row>
    <row r="247" spans="1:34">
      <c r="A247" s="372" t="s">
        <v>2405</v>
      </c>
      <c r="B247" s="373" t="s">
        <v>2406</v>
      </c>
      <c r="C247" s="372" t="s">
        <v>2407</v>
      </c>
      <c r="D247" s="374">
        <v>1101116525723</v>
      </c>
      <c r="E247" s="372" t="s">
        <v>2408</v>
      </c>
      <c r="F247" s="375" t="s">
        <v>1368</v>
      </c>
      <c r="G247" s="375" t="s">
        <v>1368</v>
      </c>
      <c r="H247" s="375" t="s">
        <v>868</v>
      </c>
      <c r="I247" s="375" t="s">
        <v>869</v>
      </c>
      <c r="J247" s="375">
        <v>117789.81114000001</v>
      </c>
      <c r="K247" s="375">
        <v>29526.390619999998</v>
      </c>
      <c r="L247" s="375">
        <v>24365.460129999999</v>
      </c>
      <c r="M247" s="375">
        <v>110734.98378</v>
      </c>
      <c r="N247" s="372">
        <v>1.1060000000000001</v>
      </c>
      <c r="O247" s="703">
        <v>11.423502002474887</v>
      </c>
      <c r="P247" s="375" t="s">
        <v>623</v>
      </c>
      <c r="Q247" s="375" t="s">
        <v>623</v>
      </c>
      <c r="R247" s="695">
        <v>20171212</v>
      </c>
      <c r="S247" s="375" t="s">
        <v>2409</v>
      </c>
      <c r="T247" s="696">
        <v>0.23100000000000001</v>
      </c>
      <c r="U247" s="372" t="s">
        <v>2410</v>
      </c>
      <c r="V247" s="722">
        <v>32.35</v>
      </c>
      <c r="W247" s="722">
        <v>10.39</v>
      </c>
      <c r="X247" s="722">
        <v>9.68</v>
      </c>
      <c r="Y247" s="722">
        <v>47.26</v>
      </c>
      <c r="Z247" s="382" t="s">
        <v>934</v>
      </c>
      <c r="AA247" s="372">
        <v>464.8735193</v>
      </c>
      <c r="AB247" s="372">
        <v>818.53769509999995</v>
      </c>
      <c r="AC247" s="372">
        <v>1315.0671548</v>
      </c>
      <c r="AD247" s="372">
        <v>1177.8981114000001</v>
      </c>
      <c r="AE247" s="372">
        <v>1795</v>
      </c>
      <c r="AF247" s="372">
        <v>2571</v>
      </c>
      <c r="AG247" s="372">
        <v>0</v>
      </c>
      <c r="AH247" s="372">
        <v>0</v>
      </c>
    </row>
    <row r="248" spans="1:34">
      <c r="A248" s="372" t="s">
        <v>2411</v>
      </c>
      <c r="B248" s="373" t="s">
        <v>2412</v>
      </c>
      <c r="C248" s="372" t="s">
        <v>2413</v>
      </c>
      <c r="D248" s="374">
        <v>1101115781277</v>
      </c>
      <c r="E248" s="372" t="s">
        <v>2414</v>
      </c>
      <c r="F248" s="375" t="s">
        <v>1381</v>
      </c>
      <c r="G248" s="375" t="s">
        <v>1381</v>
      </c>
      <c r="H248" s="375" t="s">
        <v>1693</v>
      </c>
      <c r="I248" s="375" t="s">
        <v>869</v>
      </c>
      <c r="J248" s="375">
        <v>193272.16953000001</v>
      </c>
      <c r="K248" s="375">
        <v>12013.961590000001</v>
      </c>
      <c r="L248" s="375">
        <v>15737.37701</v>
      </c>
      <c r="M248" s="375">
        <v>262844.33292999998</v>
      </c>
      <c r="N248" s="372">
        <v>1.175</v>
      </c>
      <c r="O248" s="703">
        <v>2.6223947370938183</v>
      </c>
      <c r="P248" s="375" t="s">
        <v>623</v>
      </c>
      <c r="Q248" s="375" t="s">
        <v>623</v>
      </c>
      <c r="R248" s="695">
        <v>20150925</v>
      </c>
      <c r="S248" s="375" t="s">
        <v>2415</v>
      </c>
      <c r="T248" s="696">
        <v>0.20900000000000002</v>
      </c>
      <c r="U248" s="375" t="s">
        <v>15991</v>
      </c>
      <c r="V248" s="722">
        <v>45.74</v>
      </c>
      <c r="W248" s="722">
        <v>3.33</v>
      </c>
      <c r="X248" s="722">
        <v>5.0999999999999996</v>
      </c>
      <c r="Y248" s="722">
        <v>87.24</v>
      </c>
      <c r="Z248" s="382" t="s">
        <v>934</v>
      </c>
      <c r="AA248" s="372">
        <v>814.04202239999995</v>
      </c>
      <c r="AB248" s="372">
        <v>630.84058000000005</v>
      </c>
      <c r="AC248" s="372">
        <v>1323.7492596</v>
      </c>
      <c r="AD248" s="372">
        <v>1932.7216953</v>
      </c>
      <c r="AE248" s="372">
        <v>2360.33</v>
      </c>
      <c r="AF248" s="372">
        <v>2947.67</v>
      </c>
      <c r="AG248" s="372">
        <v>0</v>
      </c>
      <c r="AH248" s="372">
        <v>0</v>
      </c>
    </row>
    <row r="249" spans="1:34">
      <c r="A249" s="372" t="s">
        <v>2416</v>
      </c>
      <c r="B249" s="373" t="s">
        <v>2417</v>
      </c>
      <c r="C249" s="372" t="s">
        <v>2418</v>
      </c>
      <c r="D249" s="374">
        <v>1345110065662</v>
      </c>
      <c r="E249" s="372" t="s">
        <v>2419</v>
      </c>
      <c r="F249" s="375" t="s">
        <v>786</v>
      </c>
      <c r="G249" s="375" t="s">
        <v>787</v>
      </c>
      <c r="H249" s="375" t="s">
        <v>868</v>
      </c>
      <c r="I249" s="375" t="s">
        <v>869</v>
      </c>
      <c r="J249" s="375">
        <v>953951.42313000001</v>
      </c>
      <c r="K249" s="375">
        <v>-9567.4687300000005</v>
      </c>
      <c r="L249" s="375">
        <v>3187.9275600000001</v>
      </c>
      <c r="M249" s="375">
        <v>656333.96952000004</v>
      </c>
      <c r="N249" s="372">
        <v>1.1559999999999999</v>
      </c>
      <c r="O249" s="703">
        <v>46.664916250295349</v>
      </c>
      <c r="P249" s="375" t="s">
        <v>623</v>
      </c>
      <c r="Q249" s="375" t="s">
        <v>623</v>
      </c>
      <c r="R249" s="695">
        <v>20051227</v>
      </c>
      <c r="S249" s="375" t="s">
        <v>2420</v>
      </c>
      <c r="T249" s="696">
        <v>0.20900000000000002</v>
      </c>
      <c r="U249" s="375" t="s">
        <v>2421</v>
      </c>
      <c r="V249" s="722">
        <v>60.27</v>
      </c>
      <c r="W249" s="722">
        <v>3.87</v>
      </c>
      <c r="X249" s="722">
        <v>1.1599999999999999</v>
      </c>
      <c r="Y249" s="722" t="s">
        <v>774</v>
      </c>
      <c r="Z249" s="382" t="s">
        <v>934</v>
      </c>
      <c r="AA249" s="372">
        <v>6647.1682565999999</v>
      </c>
      <c r="AB249" s="372">
        <v>7274.7608676</v>
      </c>
      <c r="AC249" s="372">
        <v>8445.8286731000007</v>
      </c>
      <c r="AD249" s="372">
        <v>9539.5142312999997</v>
      </c>
      <c r="AE249" s="372">
        <v>0</v>
      </c>
      <c r="AF249" s="372">
        <v>0</v>
      </c>
      <c r="AG249" s="372">
        <v>0</v>
      </c>
      <c r="AH249" s="372">
        <v>0</v>
      </c>
    </row>
    <row r="250" spans="1:34">
      <c r="A250" s="372" t="s">
        <v>2422</v>
      </c>
      <c r="B250" s="373" t="s">
        <v>2423</v>
      </c>
      <c r="C250" s="372" t="s">
        <v>2424</v>
      </c>
      <c r="D250" s="374">
        <v>1601110014483</v>
      </c>
      <c r="E250" s="372" t="s">
        <v>2425</v>
      </c>
      <c r="F250" s="375" t="s">
        <v>939</v>
      </c>
      <c r="G250" s="375" t="s">
        <v>939</v>
      </c>
      <c r="H250" s="375" t="s">
        <v>940</v>
      </c>
      <c r="I250" s="375" t="s">
        <v>755</v>
      </c>
      <c r="J250" s="375">
        <v>1513682.4873200001</v>
      </c>
      <c r="K250" s="375">
        <v>169121.16488999999</v>
      </c>
      <c r="L250" s="375">
        <v>164968.12005999999</v>
      </c>
      <c r="M250" s="375">
        <v>2910747.63656</v>
      </c>
      <c r="N250" s="372">
        <v>0.91300000000000003</v>
      </c>
      <c r="O250" s="703">
        <v>84.200030435315753</v>
      </c>
      <c r="P250" s="375" t="s">
        <v>623</v>
      </c>
      <c r="Q250" s="375" t="s">
        <v>623</v>
      </c>
      <c r="R250" s="695">
        <v>20150708</v>
      </c>
      <c r="S250" s="375" t="s">
        <v>2426</v>
      </c>
      <c r="T250" s="696">
        <v>0.23100000000000001</v>
      </c>
      <c r="U250" s="375" t="s">
        <v>2427</v>
      </c>
      <c r="V250" s="722">
        <v>0</v>
      </c>
      <c r="W250" s="722">
        <v>0.28999999999999998</v>
      </c>
      <c r="X250" s="722">
        <v>0.19</v>
      </c>
      <c r="Y250" s="722">
        <v>8.06</v>
      </c>
      <c r="Z250" s="382" t="s">
        <v>934</v>
      </c>
      <c r="AA250" s="372">
        <v>17905.6291432</v>
      </c>
      <c r="AB250" s="372">
        <v>17317.427294900001</v>
      </c>
      <c r="AC250" s="372">
        <v>40945.965871300003</v>
      </c>
      <c r="AD250" s="372">
        <v>15136.824873199999</v>
      </c>
      <c r="AE250" s="372">
        <v>0</v>
      </c>
      <c r="AF250" s="372">
        <v>0</v>
      </c>
      <c r="AG250" s="372">
        <v>0</v>
      </c>
      <c r="AH250" s="372">
        <v>0</v>
      </c>
    </row>
    <row r="251" spans="1:34">
      <c r="A251" s="372" t="s">
        <v>2428</v>
      </c>
      <c r="B251" s="373" t="s">
        <v>2429</v>
      </c>
      <c r="C251" s="372" t="s">
        <v>2430</v>
      </c>
      <c r="D251" s="374">
        <v>1344110015693</v>
      </c>
      <c r="E251" s="372" t="s">
        <v>2431</v>
      </c>
      <c r="F251" s="375" t="s">
        <v>1368</v>
      </c>
      <c r="G251" s="375" t="s">
        <v>1368</v>
      </c>
      <c r="H251" s="375" t="s">
        <v>868</v>
      </c>
      <c r="I251" s="375" t="s">
        <v>869</v>
      </c>
      <c r="J251" s="375">
        <v>9481.3846300000005</v>
      </c>
      <c r="K251" s="375">
        <v>-9785.1486299999997</v>
      </c>
      <c r="L251" s="375">
        <v>-14498.31338</v>
      </c>
      <c r="M251" s="375">
        <v>45271.012260000003</v>
      </c>
      <c r="N251" s="372">
        <v>0.65500000000000003</v>
      </c>
      <c r="O251" s="703">
        <v>0.68788121357449183</v>
      </c>
      <c r="P251" s="375" t="s">
        <v>623</v>
      </c>
      <c r="Q251" s="375" t="s">
        <v>623</v>
      </c>
      <c r="R251" s="695">
        <v>20020806</v>
      </c>
      <c r="S251" s="375" t="s">
        <v>2432</v>
      </c>
      <c r="T251" s="696" t="s">
        <v>772</v>
      </c>
      <c r="U251" s="375" t="s">
        <v>2433</v>
      </c>
      <c r="V251" s="722" t="s">
        <v>774</v>
      </c>
      <c r="W251" s="722">
        <v>22.95</v>
      </c>
      <c r="X251" s="722">
        <v>109.5</v>
      </c>
      <c r="Y251" s="722" t="s">
        <v>774</v>
      </c>
      <c r="Z251" s="382" t="s">
        <v>934</v>
      </c>
      <c r="AA251" s="372">
        <v>125.1141578</v>
      </c>
      <c r="AB251" s="372">
        <v>92.414944899999995</v>
      </c>
      <c r="AC251" s="372">
        <v>78.515781000000004</v>
      </c>
      <c r="AD251" s="372">
        <v>94.813846299999994</v>
      </c>
      <c r="AE251" s="372">
        <v>0</v>
      </c>
      <c r="AF251" s="372">
        <v>0</v>
      </c>
      <c r="AG251" s="372">
        <v>0</v>
      </c>
      <c r="AH251" s="372">
        <v>0</v>
      </c>
    </row>
    <row r="252" spans="1:34">
      <c r="A252" s="372" t="s">
        <v>2434</v>
      </c>
      <c r="B252" s="373" t="s">
        <v>2435</v>
      </c>
      <c r="C252" s="372" t="s">
        <v>2436</v>
      </c>
      <c r="D252" s="374">
        <v>1101116363868</v>
      </c>
      <c r="E252" s="372" t="s">
        <v>2437</v>
      </c>
      <c r="F252" s="375" t="s">
        <v>2438</v>
      </c>
      <c r="G252" s="375" t="s">
        <v>2438</v>
      </c>
      <c r="H252" s="375" t="s">
        <v>1050</v>
      </c>
      <c r="I252" s="375" t="s">
        <v>755</v>
      </c>
      <c r="J252" s="375">
        <v>3824966.8760000002</v>
      </c>
      <c r="K252" s="375">
        <v>257228.43700000001</v>
      </c>
      <c r="L252" s="375">
        <v>190194.875</v>
      </c>
      <c r="M252" s="375">
        <v>1771073.331</v>
      </c>
      <c r="N252" s="372">
        <v>1.0920000000000001</v>
      </c>
      <c r="O252" s="703">
        <v>82.436042804672624</v>
      </c>
      <c r="P252" s="375" t="s">
        <v>623</v>
      </c>
      <c r="Q252" s="372" t="s">
        <v>623</v>
      </c>
      <c r="R252" s="695">
        <v>20170510</v>
      </c>
      <c r="S252" s="372" t="s">
        <v>2439</v>
      </c>
      <c r="T252" s="696">
        <v>0.23100000000000001</v>
      </c>
      <c r="U252" s="372" t="s">
        <v>15992</v>
      </c>
      <c r="V252" s="722">
        <v>4.54</v>
      </c>
      <c r="W252" s="722">
        <v>0.62</v>
      </c>
      <c r="X252" s="722">
        <v>0.27</v>
      </c>
      <c r="Y252" s="722">
        <v>7.31</v>
      </c>
      <c r="Z252" s="382">
        <v>3.0921274862997894E-2</v>
      </c>
      <c r="AA252" s="372">
        <v>23905.09794</v>
      </c>
      <c r="AB252" s="372">
        <v>32843.396229999998</v>
      </c>
      <c r="AC252" s="372">
        <v>35156.119209999997</v>
      </c>
      <c r="AD252" s="372">
        <v>38249.66876</v>
      </c>
      <c r="AE252" s="372">
        <v>39310.730000000003</v>
      </c>
      <c r="AF252" s="372">
        <v>41600.82</v>
      </c>
      <c r="AG252" s="372">
        <v>43204.57</v>
      </c>
      <c r="AH252" s="372">
        <v>0</v>
      </c>
    </row>
    <row r="253" spans="1:34">
      <c r="A253" s="372" t="s">
        <v>2440</v>
      </c>
      <c r="B253" s="373" t="s">
        <v>2441</v>
      </c>
      <c r="C253" s="372" t="s">
        <v>2442</v>
      </c>
      <c r="D253" s="374">
        <v>1351110051329</v>
      </c>
      <c r="E253" s="372" t="s">
        <v>2443</v>
      </c>
      <c r="F253" s="375" t="s">
        <v>1195</v>
      </c>
      <c r="G253" s="375" t="s">
        <v>1196</v>
      </c>
      <c r="H253" s="375" t="s">
        <v>1388</v>
      </c>
      <c r="I253" s="375" t="s">
        <v>869</v>
      </c>
      <c r="J253" s="375">
        <v>276533.35077000002</v>
      </c>
      <c r="K253" s="375">
        <v>24325.72896</v>
      </c>
      <c r="L253" s="375">
        <v>31795.4558</v>
      </c>
      <c r="M253" s="375">
        <v>368475.40914</v>
      </c>
      <c r="N253" s="372">
        <v>1.3069999999999999</v>
      </c>
      <c r="O253" s="703">
        <v>0.40107904883470141</v>
      </c>
      <c r="P253" s="375" t="s">
        <v>623</v>
      </c>
      <c r="Q253" s="375" t="s">
        <v>623</v>
      </c>
      <c r="R253" s="695">
        <v>20060117</v>
      </c>
      <c r="S253" s="375" t="s">
        <v>2444</v>
      </c>
      <c r="T253" s="696">
        <v>0.23100000000000001</v>
      </c>
      <c r="U253" s="375" t="s">
        <v>2445</v>
      </c>
      <c r="V253" s="722">
        <v>22.22</v>
      </c>
      <c r="W253" s="722">
        <v>2.61</v>
      </c>
      <c r="X253" s="722">
        <v>3.38</v>
      </c>
      <c r="Y253" s="722">
        <v>38.26</v>
      </c>
      <c r="Z253" s="382">
        <v>0.15316203469915379</v>
      </c>
      <c r="AA253" s="372">
        <v>2025.9182542000001</v>
      </c>
      <c r="AB253" s="372">
        <v>3245.7585726000002</v>
      </c>
      <c r="AC253" s="372">
        <v>3106.3291776999999</v>
      </c>
      <c r="AD253" s="372">
        <v>2765.3335077000002</v>
      </c>
      <c r="AE253" s="372">
        <v>3170.14</v>
      </c>
      <c r="AF253" s="372">
        <v>4051.29</v>
      </c>
      <c r="AG253" s="372">
        <v>4890</v>
      </c>
      <c r="AH253" s="372">
        <v>5520</v>
      </c>
    </row>
    <row r="254" spans="1:34">
      <c r="A254" s="372" t="s">
        <v>2446</v>
      </c>
      <c r="B254" s="373" t="s">
        <v>2447</v>
      </c>
      <c r="C254" s="372" t="s">
        <v>2448</v>
      </c>
      <c r="D254" s="374">
        <v>1942110032714</v>
      </c>
      <c r="E254" s="372" t="s">
        <v>2449</v>
      </c>
      <c r="F254" s="372" t="s">
        <v>2450</v>
      </c>
      <c r="G254" s="375" t="s">
        <v>2451</v>
      </c>
      <c r="H254" s="375" t="s">
        <v>868</v>
      </c>
      <c r="I254" s="375" t="s">
        <v>869</v>
      </c>
      <c r="J254" s="375">
        <v>1881198.62567</v>
      </c>
      <c r="K254" s="375">
        <v>85475.264980000007</v>
      </c>
      <c r="L254" s="375">
        <v>58988.723839999999</v>
      </c>
      <c r="M254" s="375">
        <v>1617782.49465</v>
      </c>
      <c r="N254" s="372">
        <v>0.80500000000000005</v>
      </c>
      <c r="O254" s="703">
        <v>49.607795430573795</v>
      </c>
      <c r="P254" s="375" t="s">
        <v>623</v>
      </c>
      <c r="Q254" s="375" t="s">
        <v>623</v>
      </c>
      <c r="R254" s="695">
        <v>20011214</v>
      </c>
      <c r="S254" s="375" t="s">
        <v>2452</v>
      </c>
      <c r="T254" s="696">
        <v>0.23100000000000001</v>
      </c>
      <c r="U254" s="375" t="s">
        <v>2453</v>
      </c>
      <c r="V254" s="722">
        <v>10.19</v>
      </c>
      <c r="W254" s="722">
        <v>0.95</v>
      </c>
      <c r="X254" s="722">
        <v>0.57999999999999996</v>
      </c>
      <c r="Y254" s="722">
        <v>27.31</v>
      </c>
      <c r="Z254" s="382">
        <v>0.12808450104559999</v>
      </c>
      <c r="AA254" s="372">
        <v>15511.7093365</v>
      </c>
      <c r="AB254" s="372">
        <v>15649.371698200001</v>
      </c>
      <c r="AC254" s="372">
        <v>16843.663855999999</v>
      </c>
      <c r="AD254" s="372">
        <v>18811.986256699998</v>
      </c>
      <c r="AE254" s="372">
        <v>22375</v>
      </c>
      <c r="AF254" s="372">
        <v>26697</v>
      </c>
      <c r="AG254" s="372">
        <v>30465</v>
      </c>
      <c r="AH254" s="372">
        <v>0</v>
      </c>
    </row>
    <row r="255" spans="1:34">
      <c r="A255" s="372" t="s">
        <v>2454</v>
      </c>
      <c r="B255" s="373" t="s">
        <v>2455</v>
      </c>
      <c r="C255" s="372" t="s">
        <v>2456</v>
      </c>
      <c r="D255" s="374">
        <v>1746110000866</v>
      </c>
      <c r="E255" s="372" t="s">
        <v>2457</v>
      </c>
      <c r="F255" s="375" t="s">
        <v>2112</v>
      </c>
      <c r="G255" s="375" t="s">
        <v>2458</v>
      </c>
      <c r="H255" s="375" t="s">
        <v>868</v>
      </c>
      <c r="I255" s="375" t="s">
        <v>869</v>
      </c>
      <c r="J255" s="375">
        <v>341410.23522999999</v>
      </c>
      <c r="K255" s="375">
        <v>4487.6294399999997</v>
      </c>
      <c r="L255" s="375">
        <v>5768.7229100000004</v>
      </c>
      <c r="M255" s="375">
        <v>115756.95078</v>
      </c>
      <c r="N255" s="372">
        <v>1.651</v>
      </c>
      <c r="O255" s="703">
        <v>6.7965498819482023E-2</v>
      </c>
      <c r="P255" s="375" t="s">
        <v>623</v>
      </c>
      <c r="Q255" s="375" t="s">
        <v>623</v>
      </c>
      <c r="R255" s="695">
        <v>19971110</v>
      </c>
      <c r="S255" s="375" t="s">
        <v>2459</v>
      </c>
      <c r="T255" s="696">
        <v>0.20900000000000002</v>
      </c>
      <c r="U255" s="375" t="s">
        <v>2460</v>
      </c>
      <c r="V255" s="722">
        <v>0</v>
      </c>
      <c r="W255" s="722">
        <v>10.56</v>
      </c>
      <c r="X255" s="722">
        <v>0</v>
      </c>
      <c r="Y255" s="722">
        <v>0</v>
      </c>
      <c r="Z255" s="382" t="s">
        <v>934</v>
      </c>
      <c r="AA255" s="372">
        <v>2553.9980006000001</v>
      </c>
      <c r="AB255" s="372">
        <v>3238.7835908000002</v>
      </c>
      <c r="AC255" s="372">
        <v>3421.7591078999999</v>
      </c>
      <c r="AD255" s="372">
        <v>3414.1023522999999</v>
      </c>
      <c r="AE255" s="372">
        <v>0</v>
      </c>
      <c r="AF255" s="372">
        <v>0</v>
      </c>
      <c r="AG255" s="372">
        <v>0</v>
      </c>
      <c r="AH255" s="372">
        <v>0</v>
      </c>
    </row>
    <row r="256" spans="1:34">
      <c r="A256" s="372" t="s">
        <v>2461</v>
      </c>
      <c r="B256" s="373" t="s">
        <v>2462</v>
      </c>
      <c r="C256" s="372" t="s">
        <v>2463</v>
      </c>
      <c r="D256" s="374">
        <v>1101110981038</v>
      </c>
      <c r="E256" s="372" t="s">
        <v>2464</v>
      </c>
      <c r="F256" s="375" t="s">
        <v>2465</v>
      </c>
      <c r="G256" s="375" t="s">
        <v>2465</v>
      </c>
      <c r="H256" s="375" t="s">
        <v>823</v>
      </c>
      <c r="I256" s="375" t="s">
        <v>755</v>
      </c>
      <c r="J256" s="375">
        <v>411611.60946000001</v>
      </c>
      <c r="K256" s="375">
        <v>34047.986429999997</v>
      </c>
      <c r="L256" s="375">
        <v>57304.233650000002</v>
      </c>
      <c r="M256" s="375">
        <v>159304.07923999999</v>
      </c>
      <c r="N256" s="372">
        <v>0.75600000000000001</v>
      </c>
      <c r="O256" s="703">
        <v>14.233594691743981</v>
      </c>
      <c r="P256" s="375" t="s">
        <v>623</v>
      </c>
      <c r="Q256" s="372" t="s">
        <v>623</v>
      </c>
      <c r="R256" s="695">
        <v>20001124</v>
      </c>
      <c r="S256" s="375" t="s">
        <v>2466</v>
      </c>
      <c r="T256" s="696">
        <v>0.23100000000000001</v>
      </c>
      <c r="U256" s="375" t="s">
        <v>2467</v>
      </c>
      <c r="V256" s="722">
        <v>13.31</v>
      </c>
      <c r="W256" s="722">
        <v>4.09</v>
      </c>
      <c r="X256" s="722">
        <v>2.0299999999999998</v>
      </c>
      <c r="Y256" s="722">
        <v>17.77</v>
      </c>
      <c r="Z256" s="382">
        <v>0.17795286786316522</v>
      </c>
      <c r="AA256" s="372">
        <v>1095.7161432</v>
      </c>
      <c r="AB256" s="372">
        <v>402.58281899999997</v>
      </c>
      <c r="AC256" s="372">
        <v>1149.6946299000001</v>
      </c>
      <c r="AD256" s="372">
        <v>4116.1160946</v>
      </c>
      <c r="AE256" s="372">
        <v>6319.6</v>
      </c>
      <c r="AF256" s="372">
        <v>7098.25</v>
      </c>
      <c r="AG256" s="372">
        <v>7925</v>
      </c>
      <c r="AH256" s="372">
        <v>0</v>
      </c>
    </row>
    <row r="257" spans="1:34">
      <c r="A257" s="372" t="s">
        <v>2468</v>
      </c>
      <c r="B257" s="373" t="s">
        <v>2469</v>
      </c>
      <c r="C257" s="372" t="s">
        <v>2470</v>
      </c>
      <c r="D257" s="374">
        <v>1101118626561</v>
      </c>
      <c r="E257" s="372" t="s">
        <v>2471</v>
      </c>
      <c r="F257" s="375" t="s">
        <v>830</v>
      </c>
      <c r="G257" s="375" t="s">
        <v>831</v>
      </c>
      <c r="H257" s="375" t="s">
        <v>832</v>
      </c>
      <c r="I257" s="375" t="s">
        <v>755</v>
      </c>
      <c r="J257" s="375">
        <v>0</v>
      </c>
      <c r="K257" s="375">
        <v>0</v>
      </c>
      <c r="L257" s="375">
        <v>0</v>
      </c>
      <c r="M257" s="375">
        <v>94988.539130000005</v>
      </c>
      <c r="N257" s="372" t="s">
        <v>1033</v>
      </c>
      <c r="O257" s="703">
        <v>4.8888838776788246</v>
      </c>
      <c r="P257" s="375" t="s">
        <v>16142</v>
      </c>
      <c r="Q257" s="375" t="s">
        <v>623</v>
      </c>
      <c r="R257" s="695">
        <v>20230531</v>
      </c>
      <c r="S257" s="375" t="s">
        <v>2472</v>
      </c>
      <c r="T257" s="696" t="s">
        <v>772</v>
      </c>
      <c r="U257" s="375" t="s">
        <v>2473</v>
      </c>
      <c r="V257" s="722">
        <v>0</v>
      </c>
      <c r="W257" s="722">
        <v>8.7799999999999994</v>
      </c>
      <c r="X257" s="722">
        <v>0</v>
      </c>
      <c r="Y257" s="722">
        <v>0</v>
      </c>
      <c r="Z257" s="382" t="s">
        <v>934</v>
      </c>
      <c r="AA257" s="372">
        <v>0</v>
      </c>
      <c r="AB257" s="372">
        <v>0</v>
      </c>
      <c r="AC257" s="372">
        <v>0</v>
      </c>
      <c r="AD257" s="372">
        <v>1175.2861493</v>
      </c>
      <c r="AE257" s="372">
        <v>0</v>
      </c>
      <c r="AF257" s="372">
        <v>0</v>
      </c>
      <c r="AG257" s="372">
        <v>0</v>
      </c>
      <c r="AH257" s="372">
        <v>0</v>
      </c>
    </row>
    <row r="258" spans="1:34">
      <c r="A258" s="372" t="s">
        <v>2474</v>
      </c>
      <c r="B258" s="373" t="s">
        <v>2475</v>
      </c>
      <c r="C258" s="372" t="s">
        <v>2476</v>
      </c>
      <c r="D258" s="374">
        <v>1311110047918</v>
      </c>
      <c r="E258" s="372" t="s">
        <v>2477</v>
      </c>
      <c r="F258" s="372" t="s">
        <v>1673</v>
      </c>
      <c r="G258" s="375" t="s">
        <v>1673</v>
      </c>
      <c r="H258" s="375" t="s">
        <v>1388</v>
      </c>
      <c r="I258" s="375" t="s">
        <v>869</v>
      </c>
      <c r="J258" s="375">
        <v>145899.79358999999</v>
      </c>
      <c r="K258" s="375">
        <v>17838.425309999999</v>
      </c>
      <c r="L258" s="375">
        <v>22007.168740000001</v>
      </c>
      <c r="M258" s="375">
        <v>158568.40513999999</v>
      </c>
      <c r="N258" s="372">
        <v>1.073</v>
      </c>
      <c r="O258" s="703">
        <v>2.6837381133460751</v>
      </c>
      <c r="P258" s="375" t="s">
        <v>623</v>
      </c>
      <c r="Q258" s="372" t="s">
        <v>623</v>
      </c>
      <c r="R258" s="695">
        <v>20050125</v>
      </c>
      <c r="S258" s="375" t="s">
        <v>2478</v>
      </c>
      <c r="T258" s="696">
        <v>0.23100000000000001</v>
      </c>
      <c r="U258" s="375" t="s">
        <v>2479</v>
      </c>
      <c r="V258" s="722">
        <v>22.05</v>
      </c>
      <c r="W258" s="722">
        <v>2.93</v>
      </c>
      <c r="X258" s="722">
        <v>3.23</v>
      </c>
      <c r="Y258" s="722">
        <v>28.21</v>
      </c>
      <c r="Z258" s="382" t="s">
        <v>934</v>
      </c>
      <c r="AA258" s="372">
        <v>1269.5276961</v>
      </c>
      <c r="AB258" s="372">
        <v>1933.1467587</v>
      </c>
      <c r="AC258" s="372">
        <v>1582.5806288000001</v>
      </c>
      <c r="AD258" s="372">
        <v>1458.9979358999999</v>
      </c>
      <c r="AE258" s="372">
        <v>0</v>
      </c>
      <c r="AF258" s="372">
        <v>0</v>
      </c>
      <c r="AG258" s="372">
        <v>0</v>
      </c>
      <c r="AH258" s="372">
        <v>0</v>
      </c>
    </row>
    <row r="259" spans="1:34">
      <c r="A259" s="372" t="s">
        <v>2480</v>
      </c>
      <c r="B259" s="373" t="s">
        <v>2481</v>
      </c>
      <c r="C259" s="372" t="s">
        <v>2482</v>
      </c>
      <c r="D259" s="374">
        <v>1101113326588</v>
      </c>
      <c r="E259" s="372" t="s">
        <v>2483</v>
      </c>
      <c r="F259" s="375" t="s">
        <v>2484</v>
      </c>
      <c r="G259" s="375" t="s">
        <v>2484</v>
      </c>
      <c r="H259" s="375" t="s">
        <v>823</v>
      </c>
      <c r="I259" s="375" t="s">
        <v>755</v>
      </c>
      <c r="J259" s="375">
        <v>2752292.1050900002</v>
      </c>
      <c r="K259" s="375">
        <v>305192.20298</v>
      </c>
      <c r="L259" s="375">
        <v>161436.61324999999</v>
      </c>
      <c r="M259" s="375">
        <v>1365281.27128</v>
      </c>
      <c r="N259" s="372">
        <v>0.63100000000000001</v>
      </c>
      <c r="O259" s="703">
        <v>429.09713607030477</v>
      </c>
      <c r="P259" s="375" t="s">
        <v>623</v>
      </c>
      <c r="Q259" s="375" t="s">
        <v>623</v>
      </c>
      <c r="R259" s="695">
        <v>20210819</v>
      </c>
      <c r="S259" s="375" t="s">
        <v>2485</v>
      </c>
      <c r="T259" s="696">
        <v>0.23100000000000001</v>
      </c>
      <c r="U259" s="375" t="s">
        <v>2486</v>
      </c>
      <c r="V259" s="722">
        <v>3.39</v>
      </c>
      <c r="W259" s="722">
        <v>0.74</v>
      </c>
      <c r="X259" s="722">
        <v>0.37</v>
      </c>
      <c r="Y259" s="722">
        <v>8.4700000000000006</v>
      </c>
      <c r="Z259" s="382">
        <v>4.5189267639171193E-2</v>
      </c>
      <c r="AA259" s="372">
        <v>22520.727878400001</v>
      </c>
      <c r="AB259" s="372">
        <v>24226.588384899998</v>
      </c>
      <c r="AC259" s="372">
        <v>27389.395892699999</v>
      </c>
      <c r="AD259" s="372">
        <v>27522.9210509</v>
      </c>
      <c r="AE259" s="372">
        <v>28490.55</v>
      </c>
      <c r="AF259" s="372">
        <v>30687.91</v>
      </c>
      <c r="AG259" s="372">
        <v>32845.379999999997</v>
      </c>
      <c r="AH259" s="372">
        <v>0</v>
      </c>
    </row>
    <row r="260" spans="1:34">
      <c r="A260" s="372" t="s">
        <v>2487</v>
      </c>
      <c r="B260" s="373" t="s">
        <v>2488</v>
      </c>
      <c r="C260" s="372" t="s">
        <v>2489</v>
      </c>
      <c r="D260" s="374">
        <v>1615110176036</v>
      </c>
      <c r="E260" s="372" t="s">
        <v>2490</v>
      </c>
      <c r="F260" s="375" t="s">
        <v>1285</v>
      </c>
      <c r="G260" s="375" t="s">
        <v>1285</v>
      </c>
      <c r="H260" s="375" t="s">
        <v>1388</v>
      </c>
      <c r="I260" s="375" t="s">
        <v>869</v>
      </c>
      <c r="J260" s="375">
        <v>163702.14326000001</v>
      </c>
      <c r="K260" s="375">
        <v>32919.649530000002</v>
      </c>
      <c r="L260" s="375">
        <v>41724.243649999997</v>
      </c>
      <c r="M260" s="375">
        <v>353193.37945000001</v>
      </c>
      <c r="N260" s="372">
        <v>0.83299999999999996</v>
      </c>
      <c r="O260" s="703">
        <v>2.4416942209084982</v>
      </c>
      <c r="P260" s="375" t="s">
        <v>623</v>
      </c>
      <c r="Q260" s="375" t="s">
        <v>623</v>
      </c>
      <c r="R260" s="695">
        <v>20150206</v>
      </c>
      <c r="S260" s="375" t="s">
        <v>2491</v>
      </c>
      <c r="T260" s="696">
        <v>0.23100000000000001</v>
      </c>
      <c r="U260" s="375" t="s">
        <v>2492</v>
      </c>
      <c r="V260" s="722">
        <v>26.52</v>
      </c>
      <c r="W260" s="722">
        <v>3.04</v>
      </c>
      <c r="X260" s="722">
        <v>6.75</v>
      </c>
      <c r="Y260" s="722">
        <v>30.86</v>
      </c>
      <c r="Z260" s="382">
        <v>0.1459966726078239</v>
      </c>
      <c r="AA260" s="372">
        <v>1441.6264718</v>
      </c>
      <c r="AB260" s="372">
        <v>1913.5800134000001</v>
      </c>
      <c r="AC260" s="372">
        <v>1766.7717318</v>
      </c>
      <c r="AD260" s="372">
        <v>1637.0214326</v>
      </c>
      <c r="AE260" s="372">
        <v>2076.42</v>
      </c>
      <c r="AF260" s="372">
        <v>2402.6</v>
      </c>
      <c r="AG260" s="372">
        <v>2823.5</v>
      </c>
      <c r="AH260" s="372">
        <v>0</v>
      </c>
    </row>
    <row r="261" spans="1:34">
      <c r="A261" s="372" t="s">
        <v>2493</v>
      </c>
      <c r="B261" s="373" t="s">
        <v>2494</v>
      </c>
      <c r="C261" s="372" t="s">
        <v>2495</v>
      </c>
      <c r="D261" s="374">
        <v>1615110086227</v>
      </c>
      <c r="E261" s="372" t="s">
        <v>2496</v>
      </c>
      <c r="F261" s="375" t="s">
        <v>770</v>
      </c>
      <c r="G261" s="375" t="s">
        <v>770</v>
      </c>
      <c r="H261" s="375" t="s">
        <v>1388</v>
      </c>
      <c r="I261" s="375" t="s">
        <v>869</v>
      </c>
      <c r="J261" s="375">
        <v>233576.71629000001</v>
      </c>
      <c r="K261" s="375">
        <v>41282.810389999999</v>
      </c>
      <c r="L261" s="375">
        <v>40465.649899999997</v>
      </c>
      <c r="M261" s="375">
        <v>399694.21294</v>
      </c>
      <c r="N261" s="372">
        <v>1.0760000000000001</v>
      </c>
      <c r="O261" s="703">
        <v>20.519757478310684</v>
      </c>
      <c r="P261" s="375" t="s">
        <v>623</v>
      </c>
      <c r="Q261" s="375" t="s">
        <v>623</v>
      </c>
      <c r="R261" s="695">
        <v>20170428</v>
      </c>
      <c r="S261" s="375" t="s">
        <v>2497</v>
      </c>
      <c r="T261" s="696">
        <v>0.23100000000000001</v>
      </c>
      <c r="U261" s="372" t="s">
        <v>2498</v>
      </c>
      <c r="V261" s="722">
        <v>15.44</v>
      </c>
      <c r="W261" s="722">
        <v>2.46</v>
      </c>
      <c r="X261" s="722">
        <v>4.25</v>
      </c>
      <c r="Y261" s="722">
        <v>29</v>
      </c>
      <c r="Z261" s="382">
        <v>0.13813969563478867</v>
      </c>
      <c r="AA261" s="372">
        <v>2006.8545323999999</v>
      </c>
      <c r="AB261" s="372">
        <v>2711.005647</v>
      </c>
      <c r="AC261" s="372">
        <v>3073.2440068000001</v>
      </c>
      <c r="AD261" s="372">
        <v>2335.7671629000001</v>
      </c>
      <c r="AE261" s="372">
        <v>2695.8</v>
      </c>
      <c r="AF261" s="372">
        <v>3412.6</v>
      </c>
      <c r="AG261" s="372">
        <v>3919.33</v>
      </c>
      <c r="AH261" s="372">
        <v>0</v>
      </c>
    </row>
    <row r="262" spans="1:34">
      <c r="A262" s="372" t="s">
        <v>2499</v>
      </c>
      <c r="B262" s="373" t="s">
        <v>2500</v>
      </c>
      <c r="C262" s="372" t="s">
        <v>2501</v>
      </c>
      <c r="D262" s="374">
        <v>1101110003824</v>
      </c>
      <c r="E262" s="372" t="s">
        <v>2502</v>
      </c>
      <c r="F262" s="375" t="s">
        <v>1040</v>
      </c>
      <c r="G262" s="375" t="s">
        <v>1041</v>
      </c>
      <c r="H262" s="375" t="s">
        <v>817</v>
      </c>
      <c r="I262" s="375" t="s">
        <v>755</v>
      </c>
      <c r="J262" s="375">
        <v>3761732.6322599999</v>
      </c>
      <c r="K262" s="375">
        <v>-169812.60876</v>
      </c>
      <c r="L262" s="375">
        <v>-102595.95647999999</v>
      </c>
      <c r="M262" s="375">
        <v>4282768.7947800001</v>
      </c>
      <c r="N262" s="372">
        <v>1.1559999999999999</v>
      </c>
      <c r="O262" s="703">
        <v>60.303507264454495</v>
      </c>
      <c r="P262" s="375" t="s">
        <v>623</v>
      </c>
      <c r="Q262" s="375" t="s">
        <v>623</v>
      </c>
      <c r="R262" s="695">
        <v>19760612</v>
      </c>
      <c r="S262" s="375" t="s">
        <v>2503</v>
      </c>
      <c r="T262" s="696" t="s">
        <v>772</v>
      </c>
      <c r="U262" s="375" t="s">
        <v>2504</v>
      </c>
      <c r="V262" s="722" t="s">
        <v>774</v>
      </c>
      <c r="W262" s="722">
        <v>0.25</v>
      </c>
      <c r="X262" s="722">
        <v>0.25</v>
      </c>
      <c r="Y262" s="722" t="s">
        <v>774</v>
      </c>
      <c r="Z262" s="382" t="s">
        <v>934</v>
      </c>
      <c r="AA262" s="372">
        <v>31834.327772600001</v>
      </c>
      <c r="AB262" s="372">
        <v>35820.748263599999</v>
      </c>
      <c r="AC262" s="372">
        <v>44294.881666000001</v>
      </c>
      <c r="AD262" s="372">
        <v>37617.326322599998</v>
      </c>
      <c r="AE262" s="372">
        <v>36250</v>
      </c>
      <c r="AF262" s="372">
        <v>38790</v>
      </c>
      <c r="AG262" s="372">
        <v>0</v>
      </c>
      <c r="AH262" s="372">
        <v>0</v>
      </c>
    </row>
    <row r="263" spans="1:34">
      <c r="A263" s="372" t="s">
        <v>2505</v>
      </c>
      <c r="B263" s="373" t="s">
        <v>2506</v>
      </c>
      <c r="C263" s="372" t="s">
        <v>2507</v>
      </c>
      <c r="D263" s="374">
        <v>1913110003485</v>
      </c>
      <c r="E263" s="372" t="s">
        <v>2508</v>
      </c>
      <c r="F263" s="375" t="s">
        <v>2509</v>
      </c>
      <c r="G263" s="375" t="s">
        <v>2510</v>
      </c>
      <c r="H263" s="375" t="s">
        <v>817</v>
      </c>
      <c r="I263" s="375" t="s">
        <v>755</v>
      </c>
      <c r="J263" s="375">
        <v>925835.67584000004</v>
      </c>
      <c r="K263" s="375">
        <v>75604.296310000005</v>
      </c>
      <c r="L263" s="375">
        <v>63098.91994</v>
      </c>
      <c r="M263" s="375">
        <v>698841.96158999996</v>
      </c>
      <c r="N263" s="372">
        <v>0.95299999999999996</v>
      </c>
      <c r="O263" s="703">
        <v>28.181965750317755</v>
      </c>
      <c r="P263" s="375" t="s">
        <v>623</v>
      </c>
      <c r="Q263" s="375" t="s">
        <v>623</v>
      </c>
      <c r="R263" s="695">
        <v>20080801</v>
      </c>
      <c r="S263" s="375" t="s">
        <v>2511</v>
      </c>
      <c r="T263" s="696">
        <v>0.23100000000000001</v>
      </c>
      <c r="U263" s="375" t="s">
        <v>15993</v>
      </c>
      <c r="V263" s="722">
        <v>13.44</v>
      </c>
      <c r="W263" s="722">
        <v>1.68</v>
      </c>
      <c r="X263" s="722">
        <v>1.26</v>
      </c>
      <c r="Y263" s="722">
        <v>20.36</v>
      </c>
      <c r="Z263" s="382">
        <v>9.9191055237592085E-2</v>
      </c>
      <c r="AA263" s="372">
        <v>4272.3922583000003</v>
      </c>
      <c r="AB263" s="372">
        <v>5030.6040007000001</v>
      </c>
      <c r="AC263" s="372">
        <v>6918.3013922</v>
      </c>
      <c r="AD263" s="372">
        <v>9258.3567583999993</v>
      </c>
      <c r="AE263" s="372">
        <v>9895.91</v>
      </c>
      <c r="AF263" s="372">
        <v>11840.7</v>
      </c>
      <c r="AG263" s="372">
        <v>13515.33</v>
      </c>
      <c r="AH263" s="372">
        <v>17610</v>
      </c>
    </row>
    <row r="264" spans="1:34">
      <c r="A264" s="372" t="s">
        <v>2512</v>
      </c>
      <c r="B264" s="373" t="s">
        <v>2513</v>
      </c>
      <c r="C264" s="372" t="s">
        <v>2514</v>
      </c>
      <c r="D264" s="374">
        <v>1345110078029</v>
      </c>
      <c r="E264" s="372" t="s">
        <v>2515</v>
      </c>
      <c r="F264" s="375" t="s">
        <v>1985</v>
      </c>
      <c r="G264" s="375" t="s">
        <v>1985</v>
      </c>
      <c r="H264" s="375" t="s">
        <v>1388</v>
      </c>
      <c r="I264" s="375" t="s">
        <v>869</v>
      </c>
      <c r="J264" s="375">
        <v>0</v>
      </c>
      <c r="K264" s="375">
        <v>0</v>
      </c>
      <c r="L264" s="375">
        <v>0</v>
      </c>
      <c r="M264" s="375">
        <v>212614.53229</v>
      </c>
      <c r="N264" s="372" t="s">
        <v>1033</v>
      </c>
      <c r="O264" s="703">
        <v>0</v>
      </c>
      <c r="P264" s="375" t="s">
        <v>623</v>
      </c>
      <c r="Q264" s="375" t="s">
        <v>623</v>
      </c>
      <c r="R264" s="695">
        <v>20230524</v>
      </c>
      <c r="S264" s="375" t="s">
        <v>2516</v>
      </c>
      <c r="T264" s="696" t="s">
        <v>772</v>
      </c>
      <c r="U264" s="375" t="s">
        <v>2517</v>
      </c>
      <c r="V264" s="722">
        <v>0</v>
      </c>
      <c r="W264" s="722">
        <v>4.4000000000000004</v>
      </c>
      <c r="X264" s="722">
        <v>0</v>
      </c>
      <c r="Y264" s="722">
        <v>0</v>
      </c>
      <c r="Z264" s="382" t="s">
        <v>934</v>
      </c>
      <c r="AA264" s="372">
        <v>680.74131320000004</v>
      </c>
      <c r="AB264" s="372">
        <v>439.73155100000002</v>
      </c>
      <c r="AC264" s="372">
        <v>997.27656930000001</v>
      </c>
      <c r="AD264" s="372">
        <v>914.22516770000004</v>
      </c>
      <c r="AE264" s="372">
        <v>0</v>
      </c>
      <c r="AF264" s="372">
        <v>0</v>
      </c>
      <c r="AG264" s="372">
        <v>0</v>
      </c>
      <c r="AH264" s="372">
        <v>0</v>
      </c>
    </row>
    <row r="265" spans="1:34">
      <c r="A265" s="372" t="s">
        <v>2518</v>
      </c>
      <c r="B265" s="373" t="s">
        <v>2519</v>
      </c>
      <c r="C265" s="372" t="s">
        <v>2520</v>
      </c>
      <c r="D265" s="374">
        <v>1101110185276</v>
      </c>
      <c r="E265" s="372" t="s">
        <v>2521</v>
      </c>
      <c r="F265" s="375" t="s">
        <v>1970</v>
      </c>
      <c r="G265" s="375" t="s">
        <v>2522</v>
      </c>
      <c r="H265" s="375" t="s">
        <v>832</v>
      </c>
      <c r="I265" s="375" t="s">
        <v>755</v>
      </c>
      <c r="J265" s="375">
        <v>2265489.9182000002</v>
      </c>
      <c r="K265" s="375">
        <v>-99370.075159999993</v>
      </c>
      <c r="L265" s="375">
        <v>1191.5998199999999</v>
      </c>
      <c r="M265" s="375">
        <v>4029499.4109299998</v>
      </c>
      <c r="N265" s="372">
        <v>0.94199999999999995</v>
      </c>
      <c r="O265" s="703">
        <v>17.739293530411086</v>
      </c>
      <c r="P265" s="375" t="s">
        <v>623</v>
      </c>
      <c r="Q265" s="375" t="s">
        <v>623</v>
      </c>
      <c r="R265" s="695">
        <v>19751227</v>
      </c>
      <c r="S265" s="375" t="s">
        <v>2523</v>
      </c>
      <c r="T265" s="696">
        <v>0.20900000000000002</v>
      </c>
      <c r="U265" s="372" t="s">
        <v>2524</v>
      </c>
      <c r="V265" s="722" t="s">
        <v>774</v>
      </c>
      <c r="W265" s="722">
        <v>0.16</v>
      </c>
      <c r="X265" s="722">
        <v>0.3</v>
      </c>
      <c r="Y265" s="722" t="s">
        <v>774</v>
      </c>
      <c r="Z265" s="382" t="s">
        <v>934</v>
      </c>
      <c r="AA265" s="372">
        <v>17405.882274</v>
      </c>
      <c r="AB265" s="372">
        <v>25918.462499900001</v>
      </c>
      <c r="AC265" s="372">
        <v>26065.963066699998</v>
      </c>
      <c r="AD265" s="372">
        <v>22654.899182000001</v>
      </c>
      <c r="AE265" s="372">
        <v>0</v>
      </c>
      <c r="AF265" s="372">
        <v>0</v>
      </c>
      <c r="AG265" s="372">
        <v>0</v>
      </c>
      <c r="AH265" s="372">
        <v>0</v>
      </c>
    </row>
    <row r="266" spans="1:34">
      <c r="A266" s="372" t="s">
        <v>2525</v>
      </c>
      <c r="B266" s="373" t="s">
        <v>2526</v>
      </c>
      <c r="C266" s="372" t="s">
        <v>2527</v>
      </c>
      <c r="D266" s="374">
        <v>1101114855924</v>
      </c>
      <c r="E266" s="372" t="s">
        <v>2528</v>
      </c>
      <c r="F266" s="375" t="s">
        <v>1013</v>
      </c>
      <c r="G266" s="375" t="s">
        <v>1013</v>
      </c>
      <c r="H266" s="375" t="s">
        <v>823</v>
      </c>
      <c r="I266" s="375" t="s">
        <v>755</v>
      </c>
      <c r="J266" s="375">
        <v>582333.57499999995</v>
      </c>
      <c r="K266" s="375">
        <v>213292.02038</v>
      </c>
      <c r="L266" s="375">
        <v>244338.74346999999</v>
      </c>
      <c r="M266" s="375">
        <v>1196725.2587600001</v>
      </c>
      <c r="N266" s="372">
        <v>0.76800000000000002</v>
      </c>
      <c r="O266" s="703">
        <v>5.6876485832549948</v>
      </c>
      <c r="P266" s="375" t="s">
        <v>623</v>
      </c>
      <c r="Q266" s="372" t="s">
        <v>623</v>
      </c>
      <c r="R266" s="695">
        <v>20151104</v>
      </c>
      <c r="S266" s="372" t="s">
        <v>2529</v>
      </c>
      <c r="T266" s="696">
        <v>0.23100000000000001</v>
      </c>
      <c r="U266" s="375" t="s">
        <v>2530</v>
      </c>
      <c r="V266" s="722">
        <v>5.36</v>
      </c>
      <c r="W266" s="722">
        <v>0.92</v>
      </c>
      <c r="X266" s="722">
        <v>1.49</v>
      </c>
      <c r="Y266" s="722">
        <v>5.82</v>
      </c>
      <c r="Z266" s="382">
        <v>6.5663075500363544E-2</v>
      </c>
      <c r="AA266" s="372">
        <v>6581.7593852</v>
      </c>
      <c r="AB266" s="372">
        <v>6240.6077347</v>
      </c>
      <c r="AC266" s="372">
        <v>6172.6201951000003</v>
      </c>
      <c r="AD266" s="372">
        <v>5823.3357500000002</v>
      </c>
      <c r="AE266" s="372">
        <v>6475.73</v>
      </c>
      <c r="AF266" s="372">
        <v>6811.45</v>
      </c>
      <c r="AG266" s="372">
        <v>7510.2</v>
      </c>
      <c r="AH266" s="372">
        <v>0</v>
      </c>
    </row>
    <row r="267" spans="1:34">
      <c r="A267" s="372" t="s">
        <v>2531</v>
      </c>
      <c r="B267" s="373" t="s">
        <v>2532</v>
      </c>
      <c r="C267" s="372" t="s">
        <v>2533</v>
      </c>
      <c r="D267" s="374">
        <v>1341110011712</v>
      </c>
      <c r="E267" s="372" t="s">
        <v>2534</v>
      </c>
      <c r="F267" s="375" t="s">
        <v>2535</v>
      </c>
      <c r="G267" s="375" t="s">
        <v>2535</v>
      </c>
      <c r="H267" s="375" t="s">
        <v>832</v>
      </c>
      <c r="I267" s="375" t="s">
        <v>755</v>
      </c>
      <c r="J267" s="375">
        <v>1276650.64641</v>
      </c>
      <c r="K267" s="375">
        <v>80851.256460000004</v>
      </c>
      <c r="L267" s="375">
        <v>69557.856060000006</v>
      </c>
      <c r="M267" s="375">
        <v>774050.78616000002</v>
      </c>
      <c r="N267" s="372">
        <v>0.99299999999999999</v>
      </c>
      <c r="O267" s="703">
        <v>40.989276561396693</v>
      </c>
      <c r="P267" s="375" t="s">
        <v>623</v>
      </c>
      <c r="Q267" s="375" t="s">
        <v>623</v>
      </c>
      <c r="R267" s="695">
        <v>19940329</v>
      </c>
      <c r="S267" s="375" t="s">
        <v>2536</v>
      </c>
      <c r="T267" s="696">
        <v>0.23100000000000001</v>
      </c>
      <c r="U267" s="375" t="s">
        <v>2537</v>
      </c>
      <c r="V267" s="722">
        <v>8.7200000000000006</v>
      </c>
      <c r="W267" s="722">
        <v>1.31</v>
      </c>
      <c r="X267" s="722">
        <v>0.79</v>
      </c>
      <c r="Y267" s="722">
        <v>15.72</v>
      </c>
      <c r="Z267" s="382" t="s">
        <v>934</v>
      </c>
      <c r="AA267" s="372">
        <v>10785.395439899999</v>
      </c>
      <c r="AB267" s="372">
        <v>12508.822703100001</v>
      </c>
      <c r="AC267" s="372">
        <v>14369.994515599999</v>
      </c>
      <c r="AD267" s="372">
        <v>12766.506464100001</v>
      </c>
      <c r="AE267" s="372">
        <v>14360</v>
      </c>
      <c r="AF267" s="372">
        <v>16190</v>
      </c>
      <c r="AG267" s="372">
        <v>0</v>
      </c>
      <c r="AH267" s="372">
        <v>0</v>
      </c>
    </row>
    <row r="268" spans="1:34">
      <c r="A268" s="372" t="s">
        <v>2538</v>
      </c>
      <c r="B268" s="373" t="s">
        <v>2539</v>
      </c>
      <c r="C268" s="372" t="s">
        <v>2540</v>
      </c>
      <c r="D268" s="374">
        <v>1101110414758</v>
      </c>
      <c r="E268" s="372" t="s">
        <v>2541</v>
      </c>
      <c r="F268" s="375" t="s">
        <v>2542</v>
      </c>
      <c r="G268" s="375" t="s">
        <v>2542</v>
      </c>
      <c r="H268" s="375" t="s">
        <v>823</v>
      </c>
      <c r="I268" s="375" t="s">
        <v>755</v>
      </c>
      <c r="J268" s="375">
        <v>9855141.7971299998</v>
      </c>
      <c r="K268" s="375">
        <v>639880.01716000005</v>
      </c>
      <c r="L268" s="375">
        <v>666579.43052000005</v>
      </c>
      <c r="M268" s="375">
        <v>5550533.0349300001</v>
      </c>
      <c r="N268" s="372">
        <v>1.1759999999999999</v>
      </c>
      <c r="O268" s="703">
        <v>41.020075829236859</v>
      </c>
      <c r="P268" s="375" t="s">
        <v>623</v>
      </c>
      <c r="Q268" s="375" t="s">
        <v>623</v>
      </c>
      <c r="R268" s="695">
        <v>19970827</v>
      </c>
      <c r="S268" s="375" t="s">
        <v>2543</v>
      </c>
      <c r="T268" s="696">
        <v>0.26400000000000001</v>
      </c>
      <c r="U268" s="372" t="s">
        <v>2544</v>
      </c>
      <c r="V268" s="722">
        <v>5.57</v>
      </c>
      <c r="W268" s="722">
        <v>0.32</v>
      </c>
      <c r="X268" s="722">
        <v>0.08</v>
      </c>
      <c r="Y268" s="722">
        <v>3.55</v>
      </c>
      <c r="Z268" s="382" t="s">
        <v>934</v>
      </c>
      <c r="AA268" s="372">
        <v>47329.3510398</v>
      </c>
      <c r="AB268" s="372">
        <v>60869.804018900002</v>
      </c>
      <c r="AC268" s="372">
        <v>92106.103130799995</v>
      </c>
      <c r="AD268" s="372">
        <v>98551.417971300005</v>
      </c>
      <c r="AE268" s="372">
        <v>0</v>
      </c>
      <c r="AF268" s="372">
        <v>0</v>
      </c>
      <c r="AG268" s="372">
        <v>0</v>
      </c>
      <c r="AH268" s="372">
        <v>0</v>
      </c>
    </row>
    <row r="269" spans="1:34">
      <c r="A269" s="372" t="s">
        <v>2545</v>
      </c>
      <c r="B269" s="373" t="s">
        <v>2546</v>
      </c>
      <c r="C269" s="372" t="s">
        <v>2547</v>
      </c>
      <c r="D269" s="374">
        <v>1501110307674</v>
      </c>
      <c r="E269" s="372" t="s">
        <v>2548</v>
      </c>
      <c r="F269" s="372" t="s">
        <v>1368</v>
      </c>
      <c r="G269" s="375" t="s">
        <v>1368</v>
      </c>
      <c r="H269" s="375" t="s">
        <v>868</v>
      </c>
      <c r="I269" s="375" t="s">
        <v>869</v>
      </c>
      <c r="J269" s="375">
        <v>228946.0232</v>
      </c>
      <c r="K269" s="375">
        <v>41780.811679999999</v>
      </c>
      <c r="L269" s="375">
        <v>40493.114170000001</v>
      </c>
      <c r="M269" s="375">
        <v>110568.91213</v>
      </c>
      <c r="N269" s="372">
        <v>1.177</v>
      </c>
      <c r="O269" s="703">
        <v>6.7620441483359883</v>
      </c>
      <c r="P269" s="375" t="s">
        <v>623</v>
      </c>
      <c r="Q269" s="375" t="s">
        <v>623</v>
      </c>
      <c r="R269" s="695">
        <v>20210528</v>
      </c>
      <c r="S269" s="375" t="s">
        <v>2549</v>
      </c>
      <c r="T269" s="696">
        <v>0.23100000000000001</v>
      </c>
      <c r="U269" s="372" t="s">
        <v>2550</v>
      </c>
      <c r="V269" s="722">
        <v>22.95</v>
      </c>
      <c r="W269" s="722">
        <v>9.25</v>
      </c>
      <c r="X269" s="722">
        <v>4.5999999999999996</v>
      </c>
      <c r="Y269" s="722">
        <v>31.39</v>
      </c>
      <c r="Z269" s="382" t="s">
        <v>934</v>
      </c>
      <c r="AA269" s="372">
        <v>0</v>
      </c>
      <c r="AB269" s="372">
        <v>909.04348389999996</v>
      </c>
      <c r="AC269" s="372">
        <v>2182.3774487000001</v>
      </c>
      <c r="AD269" s="372">
        <v>2289.4602319999999</v>
      </c>
      <c r="AE269" s="372">
        <v>3580</v>
      </c>
      <c r="AF269" s="372">
        <v>5500</v>
      </c>
      <c r="AG269" s="372">
        <v>0</v>
      </c>
      <c r="AH269" s="372">
        <v>0</v>
      </c>
    </row>
    <row r="270" spans="1:34">
      <c r="A270" s="372" t="s">
        <v>2551</v>
      </c>
      <c r="B270" s="373" t="s">
        <v>2552</v>
      </c>
      <c r="C270" s="372" t="s">
        <v>2553</v>
      </c>
      <c r="D270" s="374">
        <v>1311110057925</v>
      </c>
      <c r="E270" s="372" t="s">
        <v>2554</v>
      </c>
      <c r="F270" s="375" t="s">
        <v>1286</v>
      </c>
      <c r="G270" s="375" t="s">
        <v>1465</v>
      </c>
      <c r="H270" s="375" t="s">
        <v>1388</v>
      </c>
      <c r="I270" s="375" t="s">
        <v>869</v>
      </c>
      <c r="J270" s="375">
        <v>150320.40822000001</v>
      </c>
      <c r="K270" s="375">
        <v>25039.402689999999</v>
      </c>
      <c r="L270" s="375">
        <v>27742.871729999999</v>
      </c>
      <c r="M270" s="375">
        <v>220798.77718999999</v>
      </c>
      <c r="N270" s="372">
        <v>1.369</v>
      </c>
      <c r="O270" s="703">
        <v>1.3776922626313064</v>
      </c>
      <c r="P270" s="375" t="s">
        <v>623</v>
      </c>
      <c r="Q270" s="372" t="s">
        <v>623</v>
      </c>
      <c r="R270" s="695">
        <v>20090414</v>
      </c>
      <c r="S270" s="375" t="s">
        <v>2555</v>
      </c>
      <c r="T270" s="696">
        <v>0.23100000000000001</v>
      </c>
      <c r="U270" s="375" t="s">
        <v>2556</v>
      </c>
      <c r="V270" s="722">
        <v>25.93</v>
      </c>
      <c r="W270" s="722">
        <v>4.37</v>
      </c>
      <c r="X270" s="722">
        <v>6.46</v>
      </c>
      <c r="Y270" s="722">
        <v>37.58</v>
      </c>
      <c r="Z270" s="382">
        <v>0.25968507661090778</v>
      </c>
      <c r="AA270" s="372">
        <v>873.7436328</v>
      </c>
      <c r="AB270" s="372">
        <v>988.42798679999999</v>
      </c>
      <c r="AC270" s="372">
        <v>1235.0669545000001</v>
      </c>
      <c r="AD270" s="372">
        <v>1503.2040821999999</v>
      </c>
      <c r="AE270" s="372">
        <v>1855</v>
      </c>
      <c r="AF270" s="372">
        <v>2770</v>
      </c>
      <c r="AG270" s="372">
        <v>3785</v>
      </c>
      <c r="AH270" s="372">
        <v>0</v>
      </c>
    </row>
    <row r="271" spans="1:34">
      <c r="A271" s="372" t="s">
        <v>2557</v>
      </c>
      <c r="B271" s="373" t="s">
        <v>2558</v>
      </c>
      <c r="C271" s="372" t="s">
        <v>2559</v>
      </c>
      <c r="D271" s="374">
        <v>0</v>
      </c>
      <c r="E271" s="372" t="s">
        <v>2560</v>
      </c>
      <c r="F271" s="375" t="s">
        <v>786</v>
      </c>
      <c r="G271" s="375" t="s">
        <v>787</v>
      </c>
      <c r="H271" s="375">
        <v>0</v>
      </c>
      <c r="I271" s="375" t="s">
        <v>869</v>
      </c>
      <c r="J271" s="375">
        <v>3706.0590000000002</v>
      </c>
      <c r="K271" s="375">
        <v>-20504.263999999999</v>
      </c>
      <c r="L271" s="375">
        <v>-16971.215</v>
      </c>
      <c r="M271" s="375">
        <v>114963.38</v>
      </c>
      <c r="N271" s="372" t="s">
        <v>1033</v>
      </c>
      <c r="O271" s="703">
        <v>0.72052049366960047</v>
      </c>
      <c r="P271" s="375" t="s">
        <v>623</v>
      </c>
      <c r="Q271" s="372" t="s">
        <v>623</v>
      </c>
      <c r="R271" s="695">
        <v>20171106</v>
      </c>
      <c r="S271" s="372" t="s">
        <v>2561</v>
      </c>
      <c r="T271" s="696" t="s">
        <v>772</v>
      </c>
      <c r="U271" s="375" t="s">
        <v>2562</v>
      </c>
      <c r="V271" s="722">
        <v>0</v>
      </c>
      <c r="W271" s="722">
        <v>5.7</v>
      </c>
      <c r="X271" s="722">
        <v>0</v>
      </c>
      <c r="Y271" s="722">
        <v>0</v>
      </c>
      <c r="Z271" s="382" t="s">
        <v>934</v>
      </c>
      <c r="AA271" s="372">
        <v>35.558419999999998</v>
      </c>
      <c r="AB271" s="372">
        <v>40.031500000000001</v>
      </c>
      <c r="AC271" s="372">
        <v>94.560429999999997</v>
      </c>
      <c r="AD271" s="372">
        <v>37.060589999999998</v>
      </c>
      <c r="AE271" s="372">
        <v>0</v>
      </c>
      <c r="AF271" s="372">
        <v>0</v>
      </c>
      <c r="AG271" s="372">
        <v>0</v>
      </c>
      <c r="AH271" s="372">
        <v>0</v>
      </c>
    </row>
    <row r="272" spans="1:34">
      <c r="A272" s="372" t="s">
        <v>2563</v>
      </c>
      <c r="B272" s="373" t="s">
        <v>2564</v>
      </c>
      <c r="C272" s="372" t="s">
        <v>2565</v>
      </c>
      <c r="D272" s="374">
        <v>1101110024698</v>
      </c>
      <c r="E272" s="372" t="s">
        <v>2566</v>
      </c>
      <c r="F272" s="375" t="s">
        <v>830</v>
      </c>
      <c r="G272" s="375" t="s">
        <v>831</v>
      </c>
      <c r="H272" s="375" t="s">
        <v>832</v>
      </c>
      <c r="I272" s="375" t="s">
        <v>755</v>
      </c>
      <c r="J272" s="375">
        <v>2499972.62794</v>
      </c>
      <c r="K272" s="375">
        <v>-62321.327709999998</v>
      </c>
      <c r="L272" s="375">
        <v>-49928.708859999999</v>
      </c>
      <c r="M272" s="375">
        <v>1824790.60213</v>
      </c>
      <c r="N272" s="372">
        <v>1.0229999999999999</v>
      </c>
      <c r="O272" s="703">
        <v>18.450759121304852</v>
      </c>
      <c r="P272" s="375" t="s">
        <v>623</v>
      </c>
      <c r="Q272" s="375" t="s">
        <v>623</v>
      </c>
      <c r="R272" s="695">
        <v>19990811</v>
      </c>
      <c r="S272" s="375" t="s">
        <v>2567</v>
      </c>
      <c r="T272" s="696" t="s">
        <v>772</v>
      </c>
      <c r="U272" s="375" t="s">
        <v>2568</v>
      </c>
      <c r="V272" s="722">
        <v>9.31</v>
      </c>
      <c r="W272" s="722">
        <v>0.54</v>
      </c>
      <c r="X272" s="722">
        <v>0.4</v>
      </c>
      <c r="Y272" s="722" t="s">
        <v>774</v>
      </c>
      <c r="Z272" s="382">
        <v>5.8921544896502365E-2</v>
      </c>
      <c r="AA272" s="372">
        <v>18827.333756799999</v>
      </c>
      <c r="AB272" s="372">
        <v>25148.516015099998</v>
      </c>
      <c r="AC272" s="372">
        <v>22220.709779199999</v>
      </c>
      <c r="AD272" s="372">
        <v>24999.726279400002</v>
      </c>
      <c r="AE272" s="372">
        <v>27639.22</v>
      </c>
      <c r="AF272" s="372">
        <v>29721.78</v>
      </c>
      <c r="AG272" s="372">
        <v>31433.33</v>
      </c>
      <c r="AH272" s="372">
        <v>0</v>
      </c>
    </row>
    <row r="273" spans="1:34">
      <c r="A273" s="372" t="s">
        <v>2569</v>
      </c>
      <c r="B273" s="373" t="s">
        <v>2570</v>
      </c>
      <c r="C273" s="372" t="s">
        <v>2571</v>
      </c>
      <c r="D273" s="374">
        <v>1101110004690</v>
      </c>
      <c r="E273" s="372" t="s">
        <v>2572</v>
      </c>
      <c r="F273" s="375" t="s">
        <v>2126</v>
      </c>
      <c r="G273" s="375" t="s">
        <v>2126</v>
      </c>
      <c r="H273" s="375" t="s">
        <v>862</v>
      </c>
      <c r="I273" s="375" t="s">
        <v>755</v>
      </c>
      <c r="J273" s="375">
        <v>2953806.2658500001</v>
      </c>
      <c r="K273" s="375">
        <v>405463.09499999997</v>
      </c>
      <c r="L273" s="375">
        <v>427140.3002</v>
      </c>
      <c r="M273" s="375">
        <v>4319813.02257</v>
      </c>
      <c r="N273" s="372">
        <v>0.47199999999999998</v>
      </c>
      <c r="O273" s="703">
        <v>12.61276269273103</v>
      </c>
      <c r="P273" s="375" t="s">
        <v>623</v>
      </c>
      <c r="Q273" s="372" t="s">
        <v>623</v>
      </c>
      <c r="R273" s="695">
        <v>19750627</v>
      </c>
      <c r="S273" s="372" t="s">
        <v>2573</v>
      </c>
      <c r="T273" s="696">
        <v>0.26400000000000001</v>
      </c>
      <c r="U273" s="375" t="s">
        <v>2574</v>
      </c>
      <c r="V273" s="722">
        <v>4.53</v>
      </c>
      <c r="W273" s="722">
        <v>0.41</v>
      </c>
      <c r="X273" s="722">
        <v>0.31</v>
      </c>
      <c r="Y273" s="722">
        <v>10.68</v>
      </c>
      <c r="Z273" s="382" t="s">
        <v>934</v>
      </c>
      <c r="AA273" s="372">
        <v>22804.873782800001</v>
      </c>
      <c r="AB273" s="372">
        <v>24150.591494600001</v>
      </c>
      <c r="AC273" s="372">
        <v>29346.2336063</v>
      </c>
      <c r="AD273" s="372">
        <v>29538.062658499999</v>
      </c>
      <c r="AE273" s="372">
        <v>32599.1</v>
      </c>
      <c r="AF273" s="372">
        <v>37027</v>
      </c>
      <c r="AG273" s="372">
        <v>0</v>
      </c>
      <c r="AH273" s="372">
        <v>0</v>
      </c>
    </row>
    <row r="274" spans="1:34">
      <c r="A274" s="372" t="s">
        <v>2575</v>
      </c>
      <c r="B274" s="373" t="s">
        <v>2576</v>
      </c>
      <c r="C274" s="372" t="s">
        <v>2577</v>
      </c>
      <c r="D274" s="374">
        <v>1712110000958</v>
      </c>
      <c r="E274" s="372" t="s">
        <v>2578</v>
      </c>
      <c r="F274" s="375" t="s">
        <v>887</v>
      </c>
      <c r="G274" s="375" t="s">
        <v>887</v>
      </c>
      <c r="H274" s="375" t="s">
        <v>797</v>
      </c>
      <c r="I274" s="375" t="s">
        <v>755</v>
      </c>
      <c r="J274" s="375">
        <v>1738905.09662</v>
      </c>
      <c r="K274" s="375">
        <v>208112.38370999999</v>
      </c>
      <c r="L274" s="375">
        <v>200372.43536</v>
      </c>
      <c r="M274" s="375">
        <v>535155.55709000002</v>
      </c>
      <c r="N274" s="372">
        <v>1.3779999999999999</v>
      </c>
      <c r="O274" s="703">
        <v>31.938056232210858</v>
      </c>
      <c r="P274" s="375" t="s">
        <v>623</v>
      </c>
      <c r="Q274" s="375" t="s">
        <v>623</v>
      </c>
      <c r="R274" s="695">
        <v>20201207</v>
      </c>
      <c r="S274" s="375" t="s">
        <v>2579</v>
      </c>
      <c r="T274" s="696">
        <v>0.23100000000000001</v>
      </c>
      <c r="U274" s="375" t="s">
        <v>2580</v>
      </c>
      <c r="V274" s="722">
        <v>3.96</v>
      </c>
      <c r="W274" s="722">
        <v>1.86</v>
      </c>
      <c r="X274" s="722">
        <v>0.56999999999999995</v>
      </c>
      <c r="Y274" s="722">
        <v>6.53</v>
      </c>
      <c r="Z274" s="382">
        <v>4.4511258686372734E-2</v>
      </c>
      <c r="AA274" s="372">
        <v>8090.2781338000004</v>
      </c>
      <c r="AB274" s="372">
        <v>11077.084336100001</v>
      </c>
      <c r="AC274" s="372">
        <v>15152.420905499999</v>
      </c>
      <c r="AD274" s="372">
        <v>17389.0509662</v>
      </c>
      <c r="AE274" s="372">
        <v>18292</v>
      </c>
      <c r="AF274" s="372">
        <v>20359</v>
      </c>
      <c r="AG274" s="372">
        <v>20698</v>
      </c>
      <c r="AH274" s="372">
        <v>0</v>
      </c>
    </row>
    <row r="275" spans="1:34">
      <c r="A275" s="372" t="s">
        <v>2581</v>
      </c>
      <c r="B275" s="373" t="s">
        <v>2582</v>
      </c>
      <c r="C275" s="372" t="s">
        <v>2583</v>
      </c>
      <c r="D275" s="374">
        <v>1101110012560</v>
      </c>
      <c r="E275" s="372" t="s">
        <v>2584</v>
      </c>
      <c r="F275" s="375" t="s">
        <v>1259</v>
      </c>
      <c r="G275" s="375" t="s">
        <v>1259</v>
      </c>
      <c r="H275" s="375" t="s">
        <v>788</v>
      </c>
      <c r="I275" s="375" t="s">
        <v>755</v>
      </c>
      <c r="J275" s="375">
        <v>859625.58576000005</v>
      </c>
      <c r="K275" s="375">
        <v>68267.020619999996</v>
      </c>
      <c r="L275" s="375">
        <v>56305.54146</v>
      </c>
      <c r="M275" s="375">
        <v>549252.59040999995</v>
      </c>
      <c r="N275" s="372">
        <v>0.86099999999999999</v>
      </c>
      <c r="O275" s="703">
        <v>27.807060360121937</v>
      </c>
      <c r="P275" s="375" t="s">
        <v>623</v>
      </c>
      <c r="Q275" s="372" t="s">
        <v>623</v>
      </c>
      <c r="R275" s="695">
        <v>19881024</v>
      </c>
      <c r="S275" s="375" t="s">
        <v>2585</v>
      </c>
      <c r="T275" s="696">
        <v>0.23100000000000001</v>
      </c>
      <c r="U275" s="375" t="s">
        <v>2586</v>
      </c>
      <c r="V275" s="722">
        <v>8.86</v>
      </c>
      <c r="W275" s="722">
        <v>1.42</v>
      </c>
      <c r="X275" s="722">
        <v>0.95</v>
      </c>
      <c r="Y275" s="722">
        <v>20.32</v>
      </c>
      <c r="Z275" s="382">
        <v>9.3961172986437358E-2</v>
      </c>
      <c r="AA275" s="372">
        <v>5618.6659245000001</v>
      </c>
      <c r="AB275" s="372">
        <v>6272.7939004999998</v>
      </c>
      <c r="AC275" s="372">
        <v>7604.7584469000003</v>
      </c>
      <c r="AD275" s="372">
        <v>8596.2558575999992</v>
      </c>
      <c r="AE275" s="372">
        <v>10461.67</v>
      </c>
      <c r="AF275" s="372">
        <v>11615.33</v>
      </c>
      <c r="AG275" s="372">
        <v>12311.67</v>
      </c>
      <c r="AH275" s="372">
        <v>0</v>
      </c>
    </row>
    <row r="276" spans="1:34">
      <c r="A276" s="372" t="s">
        <v>2587</v>
      </c>
      <c r="B276" s="373" t="s">
        <v>2588</v>
      </c>
      <c r="C276" s="372" t="s">
        <v>2589</v>
      </c>
      <c r="D276" s="374">
        <v>1101110562804</v>
      </c>
      <c r="E276" s="372" t="s">
        <v>2590</v>
      </c>
      <c r="F276" s="375" t="s">
        <v>1097</v>
      </c>
      <c r="G276" s="375" t="s">
        <v>1097</v>
      </c>
      <c r="H276" s="375" t="s">
        <v>916</v>
      </c>
      <c r="I276" s="375" t="s">
        <v>755</v>
      </c>
      <c r="J276" s="375">
        <v>7623348.34736</v>
      </c>
      <c r="K276" s="375">
        <v>619928.67333000002</v>
      </c>
      <c r="L276" s="375">
        <v>142296.87671000001</v>
      </c>
      <c r="M276" s="375">
        <v>810345.38827</v>
      </c>
      <c r="N276" s="372">
        <v>0.90500000000000003</v>
      </c>
      <c r="O276" s="703">
        <v>815.78459487445934</v>
      </c>
      <c r="P276" s="375" t="s">
        <v>623</v>
      </c>
      <c r="Q276" s="372" t="s">
        <v>623</v>
      </c>
      <c r="R276" s="695">
        <v>19991222</v>
      </c>
      <c r="S276" s="372" t="s">
        <v>2591</v>
      </c>
      <c r="T276" s="696">
        <v>0.23100000000000001</v>
      </c>
      <c r="U276" s="375" t="s">
        <v>2592</v>
      </c>
      <c r="V276" s="722">
        <v>3.9</v>
      </c>
      <c r="W276" s="722">
        <v>1.22</v>
      </c>
      <c r="X276" s="722">
        <v>0.11</v>
      </c>
      <c r="Y276" s="722">
        <v>7.29</v>
      </c>
      <c r="Z276" s="382">
        <v>2.0069294344626565E-2</v>
      </c>
      <c r="AA276" s="372">
        <v>38781.331035800002</v>
      </c>
      <c r="AB276" s="372">
        <v>43397.064114200002</v>
      </c>
      <c r="AC276" s="372">
        <v>62066.693346699998</v>
      </c>
      <c r="AD276" s="372">
        <v>76233.483473600005</v>
      </c>
      <c r="AE276" s="372">
        <v>81310</v>
      </c>
      <c r="AF276" s="372">
        <v>80050</v>
      </c>
      <c r="AG276" s="372">
        <v>82540</v>
      </c>
      <c r="AH276" s="372">
        <v>0</v>
      </c>
    </row>
    <row r="277" spans="1:34">
      <c r="A277" s="372" t="s">
        <v>2593</v>
      </c>
      <c r="B277" s="373" t="s">
        <v>2594</v>
      </c>
      <c r="C277" s="372" t="s">
        <v>2595</v>
      </c>
      <c r="D277" s="374">
        <v>1615110027883</v>
      </c>
      <c r="E277" s="372" t="s">
        <v>2596</v>
      </c>
      <c r="F277" s="375" t="s">
        <v>1286</v>
      </c>
      <c r="G277" s="375" t="s">
        <v>1286</v>
      </c>
      <c r="H277" s="375" t="s">
        <v>754</v>
      </c>
      <c r="I277" s="375" t="s">
        <v>755</v>
      </c>
      <c r="J277" s="375">
        <v>1030380.77353</v>
      </c>
      <c r="K277" s="375">
        <v>34045.563999999998</v>
      </c>
      <c r="L277" s="375">
        <v>42397.509250000003</v>
      </c>
      <c r="M277" s="375">
        <v>508036.06469999999</v>
      </c>
      <c r="N277" s="372">
        <v>0.73399999999999999</v>
      </c>
      <c r="O277" s="703">
        <v>27.798665432924647</v>
      </c>
      <c r="P277" s="375" t="s">
        <v>623</v>
      </c>
      <c r="Q277" s="375" t="s">
        <v>623</v>
      </c>
      <c r="R277" s="695">
        <v>20190314</v>
      </c>
      <c r="S277" s="375" t="s">
        <v>2597</v>
      </c>
      <c r="T277" s="696">
        <v>0.23100000000000001</v>
      </c>
      <c r="U277" s="375" t="s">
        <v>2598</v>
      </c>
      <c r="V277" s="722">
        <v>10.99</v>
      </c>
      <c r="W277" s="722">
        <v>2.15</v>
      </c>
      <c r="X277" s="722">
        <v>0.85</v>
      </c>
      <c r="Y277" s="722">
        <v>57.24</v>
      </c>
      <c r="Z277" s="382" t="s">
        <v>934</v>
      </c>
      <c r="AA277" s="372">
        <v>9546.5945812000009</v>
      </c>
      <c r="AB277" s="372">
        <v>12316.232905999999</v>
      </c>
      <c r="AC277" s="372">
        <v>13686.4353237</v>
      </c>
      <c r="AD277" s="372">
        <v>10303.807735300001</v>
      </c>
      <c r="AE277" s="372">
        <v>12015</v>
      </c>
      <c r="AF277" s="372">
        <v>14087</v>
      </c>
      <c r="AG277" s="372">
        <v>0</v>
      </c>
      <c r="AH277" s="372">
        <v>0</v>
      </c>
    </row>
    <row r="278" spans="1:34">
      <c r="A278" s="372" t="s">
        <v>2599</v>
      </c>
      <c r="B278" s="373" t="s">
        <v>2600</v>
      </c>
      <c r="C278" s="372" t="s">
        <v>2601</v>
      </c>
      <c r="D278" s="374">
        <v>1101110118996</v>
      </c>
      <c r="E278" s="372" t="s">
        <v>2602</v>
      </c>
      <c r="F278" s="372" t="s">
        <v>900</v>
      </c>
      <c r="G278" s="375" t="s">
        <v>901</v>
      </c>
      <c r="H278" s="375" t="s">
        <v>862</v>
      </c>
      <c r="I278" s="375" t="s">
        <v>755</v>
      </c>
      <c r="J278" s="375">
        <v>3913342.4727400001</v>
      </c>
      <c r="K278" s="375">
        <v>590946.42958999996</v>
      </c>
      <c r="L278" s="375">
        <v>561108.01165999996</v>
      </c>
      <c r="M278" s="375">
        <v>2388898.3322200002</v>
      </c>
      <c r="N278" s="372">
        <v>0.86099999999999999</v>
      </c>
      <c r="O278" s="703">
        <v>131.37025007363235</v>
      </c>
      <c r="P278" s="375" t="s">
        <v>623</v>
      </c>
      <c r="Q278" s="375" t="s">
        <v>623</v>
      </c>
      <c r="R278" s="695">
        <v>19690513</v>
      </c>
      <c r="S278" s="375" t="s">
        <v>2603</v>
      </c>
      <c r="T278" s="696">
        <v>0.26400000000000001</v>
      </c>
      <c r="U278" s="375" t="s">
        <v>15994</v>
      </c>
      <c r="V278" s="722">
        <v>3.06</v>
      </c>
      <c r="W278" s="722">
        <v>0.55000000000000004</v>
      </c>
      <c r="X278" s="722">
        <v>0.25</v>
      </c>
      <c r="Y278" s="722">
        <v>3.5</v>
      </c>
      <c r="Z278" s="382">
        <v>1.4909627080250454E-2</v>
      </c>
      <c r="AA278" s="372">
        <v>23063.574417600001</v>
      </c>
      <c r="AB278" s="372">
        <v>28417.221275700002</v>
      </c>
      <c r="AC278" s="372">
        <v>39538.341506600002</v>
      </c>
      <c r="AD278" s="372">
        <v>39133.424727400001</v>
      </c>
      <c r="AE278" s="372">
        <v>36340</v>
      </c>
      <c r="AF278" s="372">
        <v>38630</v>
      </c>
      <c r="AG278" s="372">
        <v>41520</v>
      </c>
      <c r="AH278" s="372">
        <v>0</v>
      </c>
    </row>
    <row r="279" spans="1:34">
      <c r="A279" s="372" t="s">
        <v>2604</v>
      </c>
      <c r="B279" s="373" t="s">
        <v>2605</v>
      </c>
      <c r="C279" s="372" t="s">
        <v>2606</v>
      </c>
      <c r="D279" s="374">
        <v>1942110223694</v>
      </c>
      <c r="E279" s="372" t="s">
        <v>2607</v>
      </c>
      <c r="F279" s="375" t="s">
        <v>1285</v>
      </c>
      <c r="G279" s="375" t="s">
        <v>1285</v>
      </c>
      <c r="H279" s="375" t="s">
        <v>754</v>
      </c>
      <c r="I279" s="375" t="s">
        <v>755</v>
      </c>
      <c r="J279" s="375">
        <v>672245.27816999995</v>
      </c>
      <c r="K279" s="375">
        <v>102511.93874</v>
      </c>
      <c r="L279" s="375">
        <v>105862.21883</v>
      </c>
      <c r="M279" s="375">
        <v>515050.36911999999</v>
      </c>
      <c r="N279" s="372">
        <v>1.1120000000000001</v>
      </c>
      <c r="O279" s="703">
        <v>9.3801708460276529</v>
      </c>
      <c r="P279" s="375" t="s">
        <v>623</v>
      </c>
      <c r="Q279" s="375" t="s">
        <v>623</v>
      </c>
      <c r="R279" s="695">
        <v>20160624</v>
      </c>
      <c r="S279" s="375" t="s">
        <v>2608</v>
      </c>
      <c r="T279" s="696">
        <v>0.23100000000000001</v>
      </c>
      <c r="U279" s="375" t="s">
        <v>2609</v>
      </c>
      <c r="V279" s="722">
        <v>6.4</v>
      </c>
      <c r="W279" s="722">
        <v>1.83</v>
      </c>
      <c r="X279" s="722">
        <v>1.4</v>
      </c>
      <c r="Y279" s="722">
        <v>11.16</v>
      </c>
      <c r="Z279" s="382">
        <v>7.9832195313726428E-2</v>
      </c>
      <c r="AA279" s="372">
        <v>4587.4616757000003</v>
      </c>
      <c r="AB279" s="372">
        <v>6553.7301286000002</v>
      </c>
      <c r="AC279" s="372">
        <v>8393.5797320999991</v>
      </c>
      <c r="AD279" s="372">
        <v>6722.4527816999998</v>
      </c>
      <c r="AE279" s="372">
        <v>7199.83</v>
      </c>
      <c r="AF279" s="372">
        <v>8227.27</v>
      </c>
      <c r="AG279" s="372">
        <v>9140.14</v>
      </c>
      <c r="AH279" s="372">
        <v>0</v>
      </c>
    </row>
    <row r="280" spans="1:34">
      <c r="A280" s="372" t="s">
        <v>2610</v>
      </c>
      <c r="B280" s="373" t="s">
        <v>2611</v>
      </c>
      <c r="C280" s="372" t="s">
        <v>2612</v>
      </c>
      <c r="D280" s="374">
        <v>1101113229097</v>
      </c>
      <c r="E280" s="372" t="s">
        <v>2613</v>
      </c>
      <c r="F280" s="372" t="s">
        <v>1714</v>
      </c>
      <c r="G280" s="375" t="s">
        <v>1714</v>
      </c>
      <c r="H280" s="375" t="s">
        <v>823</v>
      </c>
      <c r="I280" s="375" t="s">
        <v>755</v>
      </c>
      <c r="J280" s="375">
        <v>2092893.29902</v>
      </c>
      <c r="K280" s="375">
        <v>150018.22557000001</v>
      </c>
      <c r="L280" s="375">
        <v>161240.89152</v>
      </c>
      <c r="M280" s="375">
        <v>937468.76026999997</v>
      </c>
      <c r="N280" s="372">
        <v>0.60499999999999998</v>
      </c>
      <c r="O280" s="703">
        <v>18.929879010989012</v>
      </c>
      <c r="P280" s="375" t="s">
        <v>623</v>
      </c>
      <c r="Q280" s="375" t="s">
        <v>623</v>
      </c>
      <c r="R280" s="695">
        <v>20150717</v>
      </c>
      <c r="S280" s="375" t="s">
        <v>2614</v>
      </c>
      <c r="T280" s="696">
        <v>0.23100000000000001</v>
      </c>
      <c r="U280" s="372" t="s">
        <v>2615</v>
      </c>
      <c r="V280" s="722">
        <v>4.37</v>
      </c>
      <c r="W280" s="722">
        <v>0.94</v>
      </c>
      <c r="X280" s="722">
        <v>0.41</v>
      </c>
      <c r="Y280" s="722">
        <v>8.41</v>
      </c>
      <c r="Z280" s="382">
        <v>3.2018378345098242E-2</v>
      </c>
      <c r="AA280" s="372">
        <v>12210.7241393</v>
      </c>
      <c r="AB280" s="372">
        <v>15020.344009599999</v>
      </c>
      <c r="AC280" s="372">
        <v>17504.076244399999</v>
      </c>
      <c r="AD280" s="372">
        <v>20928.932990199999</v>
      </c>
      <c r="AE280" s="372">
        <v>21833</v>
      </c>
      <c r="AF280" s="372">
        <v>23102.75</v>
      </c>
      <c r="AG280" s="372">
        <v>23740.880000000001</v>
      </c>
      <c r="AH280" s="372">
        <v>0</v>
      </c>
    </row>
    <row r="281" spans="1:34">
      <c r="A281" s="372" t="s">
        <v>2616</v>
      </c>
      <c r="B281" s="373" t="s">
        <v>2617</v>
      </c>
      <c r="C281" s="372" t="s">
        <v>2618</v>
      </c>
      <c r="D281" s="374">
        <v>1845110000642</v>
      </c>
      <c r="E281" s="372" t="s">
        <v>2619</v>
      </c>
      <c r="F281" s="372" t="s">
        <v>779</v>
      </c>
      <c r="G281" s="375" t="s">
        <v>839</v>
      </c>
      <c r="H281" s="375" t="s">
        <v>754</v>
      </c>
      <c r="I281" s="375" t="s">
        <v>755</v>
      </c>
      <c r="J281" s="375">
        <v>3269243.0651099999</v>
      </c>
      <c r="K281" s="375">
        <v>490389.69715000002</v>
      </c>
      <c r="L281" s="375">
        <v>390151.91369000002</v>
      </c>
      <c r="M281" s="375">
        <v>1394417.74853</v>
      </c>
      <c r="N281" s="372">
        <v>0.71099999999999997</v>
      </c>
      <c r="O281" s="703">
        <v>335.54239504596291</v>
      </c>
      <c r="P281" s="375" t="s">
        <v>623</v>
      </c>
      <c r="Q281" s="375" t="s">
        <v>623</v>
      </c>
      <c r="R281" s="695">
        <v>19880924</v>
      </c>
      <c r="S281" s="375" t="s">
        <v>2620</v>
      </c>
      <c r="T281" s="696">
        <v>0.26400000000000001</v>
      </c>
      <c r="U281" s="375" t="s">
        <v>15995</v>
      </c>
      <c r="V281" s="722">
        <v>4.9000000000000004</v>
      </c>
      <c r="W281" s="722">
        <v>0.64</v>
      </c>
      <c r="X281" s="722">
        <v>0.22</v>
      </c>
      <c r="Y281" s="722">
        <v>2.66</v>
      </c>
      <c r="Z281" s="382" t="s">
        <v>934</v>
      </c>
      <c r="AA281" s="372">
        <v>8030.9637719000002</v>
      </c>
      <c r="AB281" s="372">
        <v>9307.5273039999993</v>
      </c>
      <c r="AC281" s="372">
        <v>31563.7622357</v>
      </c>
      <c r="AD281" s="372">
        <v>32692.4306511</v>
      </c>
      <c r="AE281" s="372">
        <v>33270</v>
      </c>
      <c r="AF281" s="372">
        <v>0</v>
      </c>
      <c r="AG281" s="372">
        <v>0</v>
      </c>
      <c r="AH281" s="372">
        <v>0</v>
      </c>
    </row>
    <row r="282" spans="1:34">
      <c r="A282" s="372" t="s">
        <v>2621</v>
      </c>
      <c r="B282" s="373" t="s">
        <v>2622</v>
      </c>
      <c r="C282" s="372" t="s">
        <v>2623</v>
      </c>
      <c r="D282" s="374">
        <v>1511110031157</v>
      </c>
      <c r="E282" s="372" t="s">
        <v>2624</v>
      </c>
      <c r="F282" s="375" t="s">
        <v>1313</v>
      </c>
      <c r="G282" s="375" t="s">
        <v>1313</v>
      </c>
      <c r="H282" s="375" t="s">
        <v>868</v>
      </c>
      <c r="I282" s="375" t="s">
        <v>869</v>
      </c>
      <c r="J282" s="375">
        <v>182697.74591</v>
      </c>
      <c r="K282" s="375">
        <v>-8044.8076600000004</v>
      </c>
      <c r="L282" s="375">
        <v>-42389.122349999998</v>
      </c>
      <c r="M282" s="375">
        <v>350528.76048</v>
      </c>
      <c r="N282" s="372">
        <v>1.2569999999999999</v>
      </c>
      <c r="O282" s="703">
        <v>66.663244423966489</v>
      </c>
      <c r="P282" s="375" t="s">
        <v>623</v>
      </c>
      <c r="Q282" s="375" t="s">
        <v>623</v>
      </c>
      <c r="R282" s="695">
        <v>20190211</v>
      </c>
      <c r="S282" s="375" t="s">
        <v>2625</v>
      </c>
      <c r="T282" s="696" t="s">
        <v>772</v>
      </c>
      <c r="U282" s="375" t="s">
        <v>2626</v>
      </c>
      <c r="V282" s="722">
        <v>127.67</v>
      </c>
      <c r="W282" s="722">
        <v>3.67</v>
      </c>
      <c r="X282" s="722">
        <v>6.03</v>
      </c>
      <c r="Y282" s="722" t="s">
        <v>774</v>
      </c>
      <c r="Z282" s="382">
        <v>0.48593415665205475</v>
      </c>
      <c r="AA282" s="372">
        <v>1554.9135744</v>
      </c>
      <c r="AB282" s="372">
        <v>2715.7889559</v>
      </c>
      <c r="AC282" s="372">
        <v>3288.5894496999999</v>
      </c>
      <c r="AD282" s="372">
        <v>1826.9774591</v>
      </c>
      <c r="AE282" s="372">
        <v>2676.89</v>
      </c>
      <c r="AF282" s="372">
        <v>4527.33</v>
      </c>
      <c r="AG282" s="372">
        <v>8907</v>
      </c>
      <c r="AH282" s="372">
        <v>0</v>
      </c>
    </row>
    <row r="283" spans="1:34">
      <c r="A283" s="372" t="s">
        <v>2627</v>
      </c>
      <c r="B283" s="373" t="s">
        <v>2628</v>
      </c>
      <c r="C283" s="372" t="s">
        <v>2629</v>
      </c>
      <c r="D283" s="374">
        <v>2101110086548</v>
      </c>
      <c r="E283" s="372" t="s">
        <v>2630</v>
      </c>
      <c r="F283" s="372" t="s">
        <v>2631</v>
      </c>
      <c r="G283" s="375" t="s">
        <v>2631</v>
      </c>
      <c r="H283" s="375" t="s">
        <v>797</v>
      </c>
      <c r="I283" s="375" t="s">
        <v>755</v>
      </c>
      <c r="J283" s="375">
        <v>78740.1587</v>
      </c>
      <c r="K283" s="375">
        <v>-9799.2757099999999</v>
      </c>
      <c r="L283" s="375">
        <v>1275.2916</v>
      </c>
      <c r="M283" s="375">
        <v>315903.98687000002</v>
      </c>
      <c r="N283" s="372">
        <v>1.2949999999999999</v>
      </c>
      <c r="O283" s="703">
        <v>2.1531995050570532E-2</v>
      </c>
      <c r="P283" s="375" t="s">
        <v>623</v>
      </c>
      <c r="Q283" s="375" t="s">
        <v>623</v>
      </c>
      <c r="R283" s="695">
        <v>20210901</v>
      </c>
      <c r="S283" s="375" t="s">
        <v>2632</v>
      </c>
      <c r="T283" s="696">
        <v>0.20900000000000002</v>
      </c>
      <c r="U283" s="375" t="s">
        <v>2633</v>
      </c>
      <c r="V283" s="722">
        <v>0</v>
      </c>
      <c r="W283" s="722">
        <v>3.03</v>
      </c>
      <c r="X283" s="722">
        <v>0</v>
      </c>
      <c r="Y283" s="722">
        <v>0</v>
      </c>
      <c r="Z283" s="382" t="s">
        <v>934</v>
      </c>
      <c r="AA283" s="372">
        <v>1135.2494019999999</v>
      </c>
      <c r="AB283" s="372">
        <v>1176.9071887</v>
      </c>
      <c r="AC283" s="372">
        <v>1090.8082643</v>
      </c>
      <c r="AD283" s="372">
        <v>787.40158699999995</v>
      </c>
      <c r="AE283" s="372">
        <v>0</v>
      </c>
      <c r="AF283" s="372">
        <v>0</v>
      </c>
      <c r="AG283" s="372">
        <v>0</v>
      </c>
      <c r="AH283" s="372">
        <v>0</v>
      </c>
    </row>
    <row r="284" spans="1:34">
      <c r="A284" s="372" t="s">
        <v>2634</v>
      </c>
      <c r="B284" s="373" t="s">
        <v>2635</v>
      </c>
      <c r="C284" s="372" t="s">
        <v>2636</v>
      </c>
      <c r="D284" s="374">
        <v>1101112611906</v>
      </c>
      <c r="E284" s="372" t="s">
        <v>2637</v>
      </c>
      <c r="F284" s="375" t="s">
        <v>1782</v>
      </c>
      <c r="G284" s="375" t="s">
        <v>2261</v>
      </c>
      <c r="H284" s="375" t="s">
        <v>832</v>
      </c>
      <c r="I284" s="375" t="s">
        <v>755</v>
      </c>
      <c r="J284" s="375">
        <v>1052689.28846</v>
      </c>
      <c r="K284" s="375">
        <v>121230.24114</v>
      </c>
      <c r="L284" s="375">
        <v>153409.38892</v>
      </c>
      <c r="M284" s="375">
        <v>840458.53307</v>
      </c>
      <c r="N284" s="372">
        <v>0.89100000000000001</v>
      </c>
      <c r="O284" s="703">
        <v>4.1948467943173844</v>
      </c>
      <c r="P284" s="375" t="s">
        <v>623</v>
      </c>
      <c r="Q284" s="372" t="s">
        <v>623</v>
      </c>
      <c r="R284" s="695">
        <v>20021007</v>
      </c>
      <c r="S284" s="372" t="s">
        <v>2638</v>
      </c>
      <c r="T284" s="696">
        <v>0.23100000000000001</v>
      </c>
      <c r="U284" s="372" t="s">
        <v>15996</v>
      </c>
      <c r="V284" s="722">
        <v>6.03</v>
      </c>
      <c r="W284" s="722">
        <v>0.99</v>
      </c>
      <c r="X284" s="722">
        <v>0.83</v>
      </c>
      <c r="Y284" s="722">
        <v>6.52</v>
      </c>
      <c r="Z284" s="382">
        <v>0.14096851845188785</v>
      </c>
      <c r="AA284" s="372">
        <v>5935.1136237000001</v>
      </c>
      <c r="AB284" s="372">
        <v>8612.0465641999999</v>
      </c>
      <c r="AC284" s="372">
        <v>12358.3787109</v>
      </c>
      <c r="AD284" s="372">
        <v>10526.8928846</v>
      </c>
      <c r="AE284" s="372">
        <v>11447</v>
      </c>
      <c r="AF284" s="372">
        <v>12813.5</v>
      </c>
      <c r="AG284" s="372">
        <v>17840</v>
      </c>
      <c r="AH284" s="372">
        <v>0</v>
      </c>
    </row>
    <row r="285" spans="1:34">
      <c r="A285" s="372" t="s">
        <v>2639</v>
      </c>
      <c r="B285" s="373" t="s">
        <v>2640</v>
      </c>
      <c r="C285" s="372" t="s">
        <v>2641</v>
      </c>
      <c r="D285" s="374">
        <v>1752110017454</v>
      </c>
      <c r="E285" s="372" t="s">
        <v>2642</v>
      </c>
      <c r="F285" s="375" t="s">
        <v>2450</v>
      </c>
      <c r="G285" s="375" t="s">
        <v>2451</v>
      </c>
      <c r="H285" s="375" t="s">
        <v>868</v>
      </c>
      <c r="I285" s="375" t="s">
        <v>869</v>
      </c>
      <c r="J285" s="375">
        <v>545413.96848000004</v>
      </c>
      <c r="K285" s="375">
        <v>76924.220010000005</v>
      </c>
      <c r="L285" s="375">
        <v>83105.308799999999</v>
      </c>
      <c r="M285" s="375">
        <v>464702.75550999999</v>
      </c>
      <c r="N285" s="372">
        <v>1.274</v>
      </c>
      <c r="O285" s="703">
        <v>14.651023739010302</v>
      </c>
      <c r="P285" s="375" t="s">
        <v>623</v>
      </c>
      <c r="Q285" s="372" t="s">
        <v>623</v>
      </c>
      <c r="R285" s="695">
        <v>20120706</v>
      </c>
      <c r="S285" s="375" t="s">
        <v>2643</v>
      </c>
      <c r="T285" s="696">
        <v>0.23100000000000001</v>
      </c>
      <c r="U285" s="375" t="s">
        <v>2644</v>
      </c>
      <c r="V285" s="722">
        <v>15.13</v>
      </c>
      <c r="W285" s="722">
        <v>2.82</v>
      </c>
      <c r="X285" s="722">
        <v>2.29</v>
      </c>
      <c r="Y285" s="722">
        <v>17.940000000000001</v>
      </c>
      <c r="Z285" s="382" t="s">
        <v>934</v>
      </c>
      <c r="AA285" s="372">
        <v>3900.4998335999999</v>
      </c>
      <c r="AB285" s="372">
        <v>3777.2839718</v>
      </c>
      <c r="AC285" s="372">
        <v>4178.1448925000004</v>
      </c>
      <c r="AD285" s="372">
        <v>5454.1396848000004</v>
      </c>
      <c r="AE285" s="372">
        <v>10728</v>
      </c>
      <c r="AF285" s="372">
        <v>11835</v>
      </c>
      <c r="AG285" s="372">
        <v>0</v>
      </c>
      <c r="AH285" s="372">
        <v>0</v>
      </c>
    </row>
    <row r="286" spans="1:34">
      <c r="A286" s="372" t="s">
        <v>2645</v>
      </c>
      <c r="B286" s="373" t="s">
        <v>2646</v>
      </c>
      <c r="C286" s="372" t="s">
        <v>2647</v>
      </c>
      <c r="D286" s="374">
        <v>1101110610083</v>
      </c>
      <c r="E286" s="372" t="s">
        <v>2648</v>
      </c>
      <c r="F286" s="375" t="s">
        <v>2649</v>
      </c>
      <c r="G286" s="375" t="s">
        <v>2650</v>
      </c>
      <c r="H286" s="375" t="s">
        <v>1348</v>
      </c>
      <c r="I286" s="375" t="s">
        <v>869</v>
      </c>
      <c r="J286" s="375">
        <v>661555.09780999995</v>
      </c>
      <c r="K286" s="375">
        <v>120961.31623</v>
      </c>
      <c r="L286" s="375">
        <v>103016.64032000001</v>
      </c>
      <c r="M286" s="375">
        <v>1264179.7204100001</v>
      </c>
      <c r="N286" s="372">
        <v>1.1759999999999999</v>
      </c>
      <c r="O286" s="703">
        <v>31.461099724666841</v>
      </c>
      <c r="P286" s="375" t="s">
        <v>623</v>
      </c>
      <c r="Q286" s="375" t="s">
        <v>623</v>
      </c>
      <c r="R286" s="695">
        <v>20000114</v>
      </c>
      <c r="S286" s="375" t="s">
        <v>2651</v>
      </c>
      <c r="T286" s="696">
        <v>0.23100000000000001</v>
      </c>
      <c r="U286" s="375" t="s">
        <v>1709</v>
      </c>
      <c r="V286" s="722">
        <v>7.18</v>
      </c>
      <c r="W286" s="722">
        <v>0.75</v>
      </c>
      <c r="X286" s="722">
        <v>1.41</v>
      </c>
      <c r="Y286" s="722">
        <v>10.210000000000001</v>
      </c>
      <c r="Z286" s="382" t="s">
        <v>934</v>
      </c>
      <c r="AA286" s="372">
        <v>2357.4505466000001</v>
      </c>
      <c r="AB286" s="372">
        <v>4171.9497087</v>
      </c>
      <c r="AC286" s="372">
        <v>5651.0627603000003</v>
      </c>
      <c r="AD286" s="372">
        <v>6615.5509781000001</v>
      </c>
      <c r="AE286" s="372">
        <v>0</v>
      </c>
      <c r="AF286" s="372">
        <v>0</v>
      </c>
      <c r="AG286" s="372">
        <v>0</v>
      </c>
      <c r="AH286" s="372">
        <v>0</v>
      </c>
    </row>
    <row r="287" spans="1:34">
      <c r="A287" s="372" t="s">
        <v>2652</v>
      </c>
      <c r="B287" s="373" t="s">
        <v>2653</v>
      </c>
      <c r="C287" s="372" t="s">
        <v>2654</v>
      </c>
      <c r="D287" s="374">
        <v>1101110003155</v>
      </c>
      <c r="E287" s="372" t="s">
        <v>2655</v>
      </c>
      <c r="F287" s="375" t="s">
        <v>1272</v>
      </c>
      <c r="G287" s="375" t="s">
        <v>1273</v>
      </c>
      <c r="H287" s="375" t="s">
        <v>1274</v>
      </c>
      <c r="I287" s="375" t="s">
        <v>755</v>
      </c>
      <c r="J287" s="375">
        <v>305957.13991000003</v>
      </c>
      <c r="K287" s="375">
        <v>31451.827270000002</v>
      </c>
      <c r="L287" s="375">
        <v>14396.955169999999</v>
      </c>
      <c r="M287" s="375">
        <v>1573045.0257300001</v>
      </c>
      <c r="N287" s="372">
        <v>1.28</v>
      </c>
      <c r="O287" s="703">
        <v>987.90391856474537</v>
      </c>
      <c r="P287" s="375" t="s">
        <v>623</v>
      </c>
      <c r="Q287" s="375" t="s">
        <v>623</v>
      </c>
      <c r="R287" s="695">
        <v>19861125</v>
      </c>
      <c r="S287" s="375" t="s">
        <v>2656</v>
      </c>
      <c r="T287" s="696">
        <v>0.20900000000000002</v>
      </c>
      <c r="U287" s="375" t="s">
        <v>2657</v>
      </c>
      <c r="V287" s="722">
        <v>0</v>
      </c>
      <c r="W287" s="722">
        <v>0.48</v>
      </c>
      <c r="X287" s="722">
        <v>0.39</v>
      </c>
      <c r="Y287" s="722">
        <v>82.09</v>
      </c>
      <c r="Z287" s="382" t="s">
        <v>934</v>
      </c>
      <c r="AA287" s="372">
        <v>3534.0454399</v>
      </c>
      <c r="AB287" s="372">
        <v>5125.1746817000003</v>
      </c>
      <c r="AC287" s="372">
        <v>3072.1372157999999</v>
      </c>
      <c r="AD287" s="372">
        <v>3059.5713990999998</v>
      </c>
      <c r="AE287" s="372">
        <v>0</v>
      </c>
      <c r="AF287" s="372">
        <v>0</v>
      </c>
      <c r="AG287" s="372">
        <v>0</v>
      </c>
      <c r="AH287" s="372">
        <v>0</v>
      </c>
    </row>
    <row r="288" spans="1:34">
      <c r="A288" s="372" t="s">
        <v>2658</v>
      </c>
      <c r="B288" s="373" t="s">
        <v>2659</v>
      </c>
      <c r="C288" s="372" t="s">
        <v>2660</v>
      </c>
      <c r="D288" s="374">
        <v>1601110003931</v>
      </c>
      <c r="E288" s="372" t="s">
        <v>2661</v>
      </c>
      <c r="F288" s="375" t="s">
        <v>900</v>
      </c>
      <c r="G288" s="375" t="s">
        <v>901</v>
      </c>
      <c r="H288" s="375" t="s">
        <v>902</v>
      </c>
      <c r="I288" s="375" t="s">
        <v>869</v>
      </c>
      <c r="J288" s="375">
        <v>12062362.76402</v>
      </c>
      <c r="K288" s="375">
        <v>567544.76858999999</v>
      </c>
      <c r="L288" s="375">
        <v>227836.30218999999</v>
      </c>
      <c r="M288" s="375">
        <v>5247513.8723900001</v>
      </c>
      <c r="N288" s="372">
        <v>1.1319999999999999</v>
      </c>
      <c r="O288" s="703">
        <v>1016.5296929726882</v>
      </c>
      <c r="P288" s="375" t="s">
        <v>623</v>
      </c>
      <c r="Q288" s="375" t="s">
        <v>623</v>
      </c>
      <c r="R288" s="695">
        <v>19960701</v>
      </c>
      <c r="S288" s="375" t="s">
        <v>2662</v>
      </c>
      <c r="T288" s="696">
        <v>0.23100000000000001</v>
      </c>
      <c r="U288" s="375" t="s">
        <v>2663</v>
      </c>
      <c r="V288" s="722">
        <v>6.6</v>
      </c>
      <c r="W288" s="722">
        <v>0.31</v>
      </c>
      <c r="X288" s="722">
        <v>7.0000000000000007E-2</v>
      </c>
      <c r="Y288" s="722">
        <v>23.49</v>
      </c>
      <c r="Z288" s="382">
        <v>2.8683156058777248E-2</v>
      </c>
      <c r="AA288" s="372">
        <v>77233.114044899994</v>
      </c>
      <c r="AB288" s="372">
        <v>106191.0387569</v>
      </c>
      <c r="AC288" s="372">
        <v>137752.9598136</v>
      </c>
      <c r="AD288" s="372">
        <v>120623.62764019999</v>
      </c>
      <c r="AE288" s="372">
        <v>123260</v>
      </c>
      <c r="AF288" s="372">
        <v>128340</v>
      </c>
      <c r="AG288" s="372">
        <v>135070</v>
      </c>
      <c r="AH288" s="372">
        <v>0</v>
      </c>
    </row>
    <row r="289" spans="1:34">
      <c r="A289" s="372" t="s">
        <v>2664</v>
      </c>
      <c r="B289" s="373" t="s">
        <v>2665</v>
      </c>
      <c r="C289" s="372" t="s">
        <v>2666</v>
      </c>
      <c r="D289" s="374">
        <v>1101111516397</v>
      </c>
      <c r="E289" s="372" t="s">
        <v>2667</v>
      </c>
      <c r="F289" s="375" t="s">
        <v>1083</v>
      </c>
      <c r="G289" s="375" t="s">
        <v>1546</v>
      </c>
      <c r="H289" s="375" t="s">
        <v>1547</v>
      </c>
      <c r="I289" s="375" t="s">
        <v>869</v>
      </c>
      <c r="J289" s="375">
        <v>569195.07874000003</v>
      </c>
      <c r="K289" s="375">
        <v>79521.71312</v>
      </c>
      <c r="L289" s="375">
        <v>93191.53</v>
      </c>
      <c r="M289" s="375">
        <v>585158.75682999997</v>
      </c>
      <c r="N289" s="372">
        <v>0.90400000000000003</v>
      </c>
      <c r="O289" s="703">
        <v>2.170008097757111</v>
      </c>
      <c r="P289" s="375" t="s">
        <v>623</v>
      </c>
      <c r="Q289" s="375" t="s">
        <v>623</v>
      </c>
      <c r="R289" s="695">
        <v>20111123</v>
      </c>
      <c r="S289" s="375" t="s">
        <v>2668</v>
      </c>
      <c r="T289" s="696">
        <v>0.23100000000000001</v>
      </c>
      <c r="U289" s="375" t="s">
        <v>2669</v>
      </c>
      <c r="V289" s="722">
        <v>10.79</v>
      </c>
      <c r="W289" s="722">
        <v>2.0099999999999998</v>
      </c>
      <c r="X289" s="722">
        <v>1.67</v>
      </c>
      <c r="Y289" s="722">
        <v>15.49</v>
      </c>
      <c r="Z289" s="382">
        <v>2.503676007964728E-2</v>
      </c>
      <c r="AA289" s="372">
        <v>2552.6240229999999</v>
      </c>
      <c r="AB289" s="372">
        <v>3216.3618416999998</v>
      </c>
      <c r="AC289" s="372">
        <v>3911.7451295000001</v>
      </c>
      <c r="AD289" s="372">
        <v>5691.9507874000001</v>
      </c>
      <c r="AE289" s="372">
        <v>4539.87</v>
      </c>
      <c r="AF289" s="372">
        <v>6330.4</v>
      </c>
      <c r="AG289" s="372">
        <v>6283.75</v>
      </c>
      <c r="AH289" s="372">
        <v>8570</v>
      </c>
    </row>
    <row r="290" spans="1:34">
      <c r="A290" s="372" t="s">
        <v>2670</v>
      </c>
      <c r="B290" s="373" t="s">
        <v>2671</v>
      </c>
      <c r="C290" s="372" t="s">
        <v>2672</v>
      </c>
      <c r="D290" s="374">
        <v>1101116799203</v>
      </c>
      <c r="E290" s="372" t="s">
        <v>2673</v>
      </c>
      <c r="F290" s="375" t="s">
        <v>2674</v>
      </c>
      <c r="G290" s="375" t="s">
        <v>2674</v>
      </c>
      <c r="H290" s="375" t="s">
        <v>1481</v>
      </c>
      <c r="I290" s="375" t="s">
        <v>755</v>
      </c>
      <c r="J290" s="375">
        <v>1799500.9834100001</v>
      </c>
      <c r="K290" s="375">
        <v>246515.70435000001</v>
      </c>
      <c r="L290" s="375">
        <v>225926.08726</v>
      </c>
      <c r="M290" s="375">
        <v>1719218.5356399999</v>
      </c>
      <c r="N290" s="372">
        <v>1.119</v>
      </c>
      <c r="O290" s="703">
        <v>75.074124739322301</v>
      </c>
      <c r="P290" s="375" t="s">
        <v>623</v>
      </c>
      <c r="Q290" s="372" t="s">
        <v>623</v>
      </c>
      <c r="R290" s="695">
        <v>20180806</v>
      </c>
      <c r="S290" s="372" t="s">
        <v>2675</v>
      </c>
      <c r="T290" s="696">
        <v>0.23100000000000001</v>
      </c>
      <c r="U290" s="372" t="s">
        <v>2676</v>
      </c>
      <c r="V290" s="722">
        <v>4.7300000000000004</v>
      </c>
      <c r="W290" s="722">
        <v>0.56000000000000005</v>
      </c>
      <c r="X290" s="722">
        <v>0.49</v>
      </c>
      <c r="Y290" s="722">
        <v>5.21</v>
      </c>
      <c r="Z290" s="382" t="s">
        <v>934</v>
      </c>
      <c r="AA290" s="372">
        <v>9742.8535186999998</v>
      </c>
      <c r="AB290" s="372">
        <v>12718.5362633</v>
      </c>
      <c r="AC290" s="372">
        <v>14875.747125100001</v>
      </c>
      <c r="AD290" s="372">
        <v>17995.009834100001</v>
      </c>
      <c r="AE290" s="372">
        <v>18052.400000000001</v>
      </c>
      <c r="AF290" s="372">
        <v>18351</v>
      </c>
      <c r="AG290" s="372">
        <v>0</v>
      </c>
      <c r="AH290" s="372">
        <v>0</v>
      </c>
    </row>
    <row r="291" spans="1:34">
      <c r="A291" s="372" t="s">
        <v>2677</v>
      </c>
      <c r="B291" s="373" t="s">
        <v>2678</v>
      </c>
      <c r="C291" s="372" t="s">
        <v>2679</v>
      </c>
      <c r="D291" s="374">
        <v>1311110350139</v>
      </c>
      <c r="E291" s="372" t="s">
        <v>2679</v>
      </c>
      <c r="F291" s="372" t="s">
        <v>1013</v>
      </c>
      <c r="G291" s="375" t="s">
        <v>1225</v>
      </c>
      <c r="H291" s="375" t="s">
        <v>823</v>
      </c>
      <c r="I291" s="375" t="s">
        <v>755</v>
      </c>
      <c r="J291" s="375">
        <v>2269614.8669400001</v>
      </c>
      <c r="K291" s="375">
        <v>55598.405509999997</v>
      </c>
      <c r="L291" s="375">
        <v>12963.35583</v>
      </c>
      <c r="M291" s="375">
        <v>1989792.11892</v>
      </c>
      <c r="N291" s="372">
        <v>1.0109999999999999</v>
      </c>
      <c r="O291" s="703">
        <v>40.64553216142577</v>
      </c>
      <c r="P291" s="375" t="s">
        <v>623</v>
      </c>
      <c r="Q291" s="375" t="s">
        <v>623</v>
      </c>
      <c r="R291" s="695">
        <v>20130829</v>
      </c>
      <c r="S291" s="375" t="s">
        <v>2680</v>
      </c>
      <c r="T291" s="696">
        <v>0.20900000000000002</v>
      </c>
      <c r="U291" s="375" t="s">
        <v>2681</v>
      </c>
      <c r="V291" s="722">
        <v>7.85</v>
      </c>
      <c r="W291" s="722">
        <v>0.48</v>
      </c>
      <c r="X291" s="722">
        <v>0.36</v>
      </c>
      <c r="Y291" s="722" t="s">
        <v>774</v>
      </c>
      <c r="Z291" s="382">
        <v>7.4903906048907842E-2</v>
      </c>
      <c r="AA291" s="372">
        <v>16412.4373562</v>
      </c>
      <c r="AB291" s="372">
        <v>19236.774203299999</v>
      </c>
      <c r="AC291" s="372">
        <v>21148.698160799999</v>
      </c>
      <c r="AD291" s="372">
        <v>22696.148669400001</v>
      </c>
      <c r="AE291" s="372">
        <v>25404.42</v>
      </c>
      <c r="AF291" s="372">
        <v>27596.83</v>
      </c>
      <c r="AG291" s="372">
        <v>30299.17</v>
      </c>
      <c r="AH291" s="372">
        <v>0</v>
      </c>
    </row>
    <row r="292" spans="1:34">
      <c r="A292" s="372" t="s">
        <v>2682</v>
      </c>
      <c r="B292" s="373" t="s">
        <v>2683</v>
      </c>
      <c r="C292" s="372" t="s">
        <v>2684</v>
      </c>
      <c r="D292" s="374">
        <v>1101110014219</v>
      </c>
      <c r="E292" s="372" t="s">
        <v>2685</v>
      </c>
      <c r="F292" s="372" t="s">
        <v>1173</v>
      </c>
      <c r="G292" s="375" t="s">
        <v>1174</v>
      </c>
      <c r="H292" s="375" t="s">
        <v>832</v>
      </c>
      <c r="I292" s="375" t="s">
        <v>755</v>
      </c>
      <c r="J292" s="375">
        <v>2701720.1512699998</v>
      </c>
      <c r="K292" s="375">
        <v>186991.09807000001</v>
      </c>
      <c r="L292" s="375">
        <v>149683.86665000001</v>
      </c>
      <c r="M292" s="375">
        <v>1704882.8093900001</v>
      </c>
      <c r="N292" s="372">
        <v>0.81499999999999995</v>
      </c>
      <c r="O292" s="703">
        <v>197.48478489738034</v>
      </c>
      <c r="P292" s="375" t="s">
        <v>623</v>
      </c>
      <c r="Q292" s="372" t="s">
        <v>623</v>
      </c>
      <c r="R292" s="695">
        <v>19760519</v>
      </c>
      <c r="S292" s="372" t="s">
        <v>2686</v>
      </c>
      <c r="T292" s="696">
        <v>0.23100000000000001</v>
      </c>
      <c r="U292" s="372" t="s">
        <v>2687</v>
      </c>
      <c r="V292" s="722">
        <v>5.9</v>
      </c>
      <c r="W292" s="722">
        <v>0.49</v>
      </c>
      <c r="X292" s="722">
        <v>0.31</v>
      </c>
      <c r="Y292" s="722">
        <v>8.15</v>
      </c>
      <c r="Z292" s="382">
        <v>4.7027626443010506E-2</v>
      </c>
      <c r="AA292" s="372">
        <v>16981.278053999999</v>
      </c>
      <c r="AB292" s="372">
        <v>20794.070295900001</v>
      </c>
      <c r="AC292" s="372">
        <v>25974.2448649</v>
      </c>
      <c r="AD292" s="372">
        <v>27017.201512700001</v>
      </c>
      <c r="AE292" s="372">
        <v>29015</v>
      </c>
      <c r="AF292" s="372">
        <v>31007.919999999998</v>
      </c>
      <c r="AG292" s="372">
        <v>32469.3</v>
      </c>
      <c r="AH292" s="372">
        <v>0</v>
      </c>
    </row>
    <row r="293" spans="1:34">
      <c r="A293" s="372" t="s">
        <v>2688</v>
      </c>
      <c r="B293" s="373" t="s">
        <v>2689</v>
      </c>
      <c r="C293" s="372" t="s">
        <v>2690</v>
      </c>
      <c r="D293" s="374">
        <v>1201110484303</v>
      </c>
      <c r="E293" s="372" t="s">
        <v>2691</v>
      </c>
      <c r="F293" s="375" t="s">
        <v>2692</v>
      </c>
      <c r="G293" s="375" t="s">
        <v>2693</v>
      </c>
      <c r="H293" s="375" t="s">
        <v>1555</v>
      </c>
      <c r="I293" s="375" t="s">
        <v>755</v>
      </c>
      <c r="J293" s="375">
        <v>1708756.42769</v>
      </c>
      <c r="K293" s="375">
        <v>168225.10545999999</v>
      </c>
      <c r="L293" s="375">
        <v>140924.90708999999</v>
      </c>
      <c r="M293" s="375">
        <v>643694.35971999995</v>
      </c>
      <c r="N293" s="372">
        <v>0.874</v>
      </c>
      <c r="O293" s="703">
        <v>52.034532733428165</v>
      </c>
      <c r="P293" s="375" t="s">
        <v>623</v>
      </c>
      <c r="Q293" s="375" t="s">
        <v>623</v>
      </c>
      <c r="R293" s="695">
        <v>20090320</v>
      </c>
      <c r="S293" s="375" t="s">
        <v>2694</v>
      </c>
      <c r="T293" s="696">
        <v>0.23100000000000001</v>
      </c>
      <c r="U293" s="375" t="s">
        <v>2695</v>
      </c>
      <c r="V293" s="722">
        <v>5.34</v>
      </c>
      <c r="W293" s="722">
        <v>1.28</v>
      </c>
      <c r="X293" s="722">
        <v>0.49</v>
      </c>
      <c r="Y293" s="722">
        <v>7.52</v>
      </c>
      <c r="Z293" s="382">
        <v>5.0857838673808331E-2</v>
      </c>
      <c r="AA293" s="372">
        <v>16982.622094499999</v>
      </c>
      <c r="AB293" s="372">
        <v>16719.9705177</v>
      </c>
      <c r="AC293" s="372">
        <v>22047.611773100001</v>
      </c>
      <c r="AD293" s="372">
        <v>17087.564276900001</v>
      </c>
      <c r="AE293" s="372">
        <v>18967.54</v>
      </c>
      <c r="AF293" s="372">
        <v>19970.150000000001</v>
      </c>
      <c r="AG293" s="372">
        <v>20838</v>
      </c>
      <c r="AH293" s="372">
        <v>0</v>
      </c>
    </row>
    <row r="294" spans="1:34">
      <c r="A294" s="372" t="s">
        <v>2696</v>
      </c>
      <c r="B294" s="373" t="s">
        <v>2697</v>
      </c>
      <c r="C294" s="372" t="s">
        <v>2698</v>
      </c>
      <c r="D294" s="374">
        <v>1101110094477</v>
      </c>
      <c r="E294" s="372" t="s">
        <v>2699</v>
      </c>
      <c r="F294" s="375" t="s">
        <v>1334</v>
      </c>
      <c r="G294" s="375" t="s">
        <v>1334</v>
      </c>
      <c r="H294" s="375" t="s">
        <v>868</v>
      </c>
      <c r="I294" s="375" t="s">
        <v>869</v>
      </c>
      <c r="J294" s="375">
        <v>730993.59731999994</v>
      </c>
      <c r="K294" s="375">
        <v>66873.304069999998</v>
      </c>
      <c r="L294" s="375">
        <v>60837.641969999997</v>
      </c>
      <c r="M294" s="375">
        <v>576173.70247000002</v>
      </c>
      <c r="N294" s="372">
        <v>0.65700000000000003</v>
      </c>
      <c r="O294" s="703">
        <v>14.455818819514747</v>
      </c>
      <c r="P294" s="375" t="s">
        <v>623</v>
      </c>
      <c r="Q294" s="375" t="s">
        <v>623</v>
      </c>
      <c r="R294" s="695">
        <v>20070529</v>
      </c>
      <c r="S294" s="372" t="s">
        <v>2700</v>
      </c>
      <c r="T294" s="696">
        <v>0.23100000000000001</v>
      </c>
      <c r="U294" s="375" t="s">
        <v>2701</v>
      </c>
      <c r="V294" s="722">
        <v>8.64</v>
      </c>
      <c r="W294" s="722">
        <v>1.33</v>
      </c>
      <c r="X294" s="722">
        <v>1</v>
      </c>
      <c r="Y294" s="722">
        <v>15.49</v>
      </c>
      <c r="Z294" s="382">
        <v>7.1939588650274278E-2</v>
      </c>
      <c r="AA294" s="372">
        <v>5591.0345920999998</v>
      </c>
      <c r="AB294" s="372">
        <v>5941.9312228999997</v>
      </c>
      <c r="AC294" s="372">
        <v>6616.4749229999998</v>
      </c>
      <c r="AD294" s="372">
        <v>7309.9359732000003</v>
      </c>
      <c r="AE294" s="372">
        <v>8053</v>
      </c>
      <c r="AF294" s="372">
        <v>8860.7999999999993</v>
      </c>
      <c r="AG294" s="372">
        <v>9651.5</v>
      </c>
      <c r="AH294" s="372">
        <v>0</v>
      </c>
    </row>
    <row r="295" spans="1:34">
      <c r="A295" s="372" t="s">
        <v>2702</v>
      </c>
      <c r="B295" s="373" t="s">
        <v>2703</v>
      </c>
      <c r="C295" s="372" t="s">
        <v>2704</v>
      </c>
      <c r="D295" s="374">
        <v>2149110058927</v>
      </c>
      <c r="E295" s="372" t="s">
        <v>2705</v>
      </c>
      <c r="F295" s="375" t="s">
        <v>1286</v>
      </c>
      <c r="G295" s="375" t="s">
        <v>1465</v>
      </c>
      <c r="H295" s="375" t="s">
        <v>754</v>
      </c>
      <c r="I295" s="375" t="s">
        <v>755</v>
      </c>
      <c r="J295" s="375">
        <v>429422.39293999999</v>
      </c>
      <c r="K295" s="375">
        <v>-73207.987859999994</v>
      </c>
      <c r="L295" s="375">
        <v>188416.96103999999</v>
      </c>
      <c r="M295" s="375">
        <v>1058188.1985299999</v>
      </c>
      <c r="N295" s="372">
        <v>1.079</v>
      </c>
      <c r="O295" s="703">
        <v>37.252430557632778</v>
      </c>
      <c r="P295" s="375" t="s">
        <v>623</v>
      </c>
      <c r="Q295" s="375" t="s">
        <v>623</v>
      </c>
      <c r="R295" s="695">
        <v>20191018</v>
      </c>
      <c r="S295" s="375" t="s">
        <v>2706</v>
      </c>
      <c r="T295" s="696">
        <v>0.23100000000000001</v>
      </c>
      <c r="U295" s="375" t="s">
        <v>2707</v>
      </c>
      <c r="V295" s="722" t="s">
        <v>774</v>
      </c>
      <c r="W295" s="722">
        <v>1.64</v>
      </c>
      <c r="X295" s="722">
        <v>2.81</v>
      </c>
      <c r="Y295" s="722">
        <v>6.42</v>
      </c>
      <c r="Z295" s="382">
        <v>0.27086331414204357</v>
      </c>
      <c r="AA295" s="372">
        <v>2901.6317632</v>
      </c>
      <c r="AB295" s="372">
        <v>3803.3079001999999</v>
      </c>
      <c r="AC295" s="372">
        <v>4182.8569471000001</v>
      </c>
      <c r="AD295" s="372">
        <v>4294.2239294000001</v>
      </c>
      <c r="AE295" s="372">
        <v>6037</v>
      </c>
      <c r="AF295" s="372">
        <v>8388.43</v>
      </c>
      <c r="AG295" s="372">
        <v>11201.6</v>
      </c>
      <c r="AH295" s="372">
        <v>0</v>
      </c>
    </row>
    <row r="296" spans="1:34">
      <c r="A296" s="372" t="s">
        <v>2708</v>
      </c>
      <c r="B296" s="373" t="s">
        <v>2709</v>
      </c>
      <c r="C296" s="372" t="s">
        <v>2710</v>
      </c>
      <c r="D296" s="374">
        <v>1101110202765</v>
      </c>
      <c r="E296" s="372" t="s">
        <v>2711</v>
      </c>
      <c r="F296" s="375" t="s">
        <v>779</v>
      </c>
      <c r="G296" s="375" t="s">
        <v>839</v>
      </c>
      <c r="H296" s="375" t="s">
        <v>754</v>
      </c>
      <c r="I296" s="375" t="s">
        <v>755</v>
      </c>
      <c r="J296" s="375">
        <v>1684815.3457500001</v>
      </c>
      <c r="K296" s="375">
        <v>129915.66925000001</v>
      </c>
      <c r="L296" s="375">
        <v>140516.82915999999</v>
      </c>
      <c r="M296" s="375">
        <v>1342203.6270300001</v>
      </c>
      <c r="N296" s="372">
        <v>1.044</v>
      </c>
      <c r="O296" s="703">
        <v>12.641472432491566</v>
      </c>
      <c r="P296" s="375" t="s">
        <v>623</v>
      </c>
      <c r="Q296" s="375" t="s">
        <v>623</v>
      </c>
      <c r="R296" s="695">
        <v>19871128</v>
      </c>
      <c r="S296" s="375" t="s">
        <v>2712</v>
      </c>
      <c r="T296" s="696">
        <v>0.23100000000000001</v>
      </c>
      <c r="U296" s="375" t="s">
        <v>2713</v>
      </c>
      <c r="V296" s="722">
        <v>4.6399999999999997</v>
      </c>
      <c r="W296" s="722">
        <v>0.61</v>
      </c>
      <c r="X296" s="722">
        <v>0.48</v>
      </c>
      <c r="Y296" s="722">
        <v>6.97</v>
      </c>
      <c r="Z296" s="382" t="s">
        <v>934</v>
      </c>
      <c r="AA296" s="372">
        <v>12527.910161899999</v>
      </c>
      <c r="AB296" s="372">
        <v>13520.0767244</v>
      </c>
      <c r="AC296" s="372">
        <v>14731.4277793</v>
      </c>
      <c r="AD296" s="372">
        <v>16848.153457500001</v>
      </c>
      <c r="AE296" s="372">
        <v>19780</v>
      </c>
      <c r="AF296" s="372">
        <v>22430</v>
      </c>
      <c r="AG296" s="372">
        <v>0</v>
      </c>
      <c r="AH296" s="372">
        <v>0</v>
      </c>
    </row>
    <row r="297" spans="1:34">
      <c r="A297" s="372" t="s">
        <v>2714</v>
      </c>
      <c r="B297" s="373" t="s">
        <v>2715</v>
      </c>
      <c r="C297" s="372" t="s">
        <v>2716</v>
      </c>
      <c r="D297" s="374">
        <v>1314110189425</v>
      </c>
      <c r="E297" s="372" t="s">
        <v>2717</v>
      </c>
      <c r="F297" s="372" t="s">
        <v>1614</v>
      </c>
      <c r="G297" s="375" t="s">
        <v>1615</v>
      </c>
      <c r="H297" s="375" t="s">
        <v>832</v>
      </c>
      <c r="I297" s="375" t="s">
        <v>755</v>
      </c>
      <c r="J297" s="375">
        <v>523191.89919000003</v>
      </c>
      <c r="K297" s="375">
        <v>-46105.756730000001</v>
      </c>
      <c r="L297" s="375">
        <v>-88871.021330000003</v>
      </c>
      <c r="M297" s="375">
        <v>331469.58186999999</v>
      </c>
      <c r="N297" s="372">
        <v>1.337</v>
      </c>
      <c r="O297" s="703">
        <v>48.352955545230053</v>
      </c>
      <c r="P297" s="375" t="s">
        <v>623</v>
      </c>
      <c r="Q297" s="372" t="s">
        <v>623</v>
      </c>
      <c r="R297" s="695">
        <v>20061222</v>
      </c>
      <c r="S297" s="372" t="s">
        <v>2718</v>
      </c>
      <c r="T297" s="696" t="s">
        <v>772</v>
      </c>
      <c r="U297" s="375" t="s">
        <v>2719</v>
      </c>
      <c r="V297" s="722">
        <v>256.77</v>
      </c>
      <c r="W297" s="722">
        <v>3.62</v>
      </c>
      <c r="X297" s="722">
        <v>2.16</v>
      </c>
      <c r="Y297" s="722" t="s">
        <v>774</v>
      </c>
      <c r="Z297" s="382">
        <v>0.17697754020464029</v>
      </c>
      <c r="AA297" s="372">
        <v>2615.9980633999999</v>
      </c>
      <c r="AB297" s="372">
        <v>3812.5677486999998</v>
      </c>
      <c r="AC297" s="372">
        <v>6105.6432925999998</v>
      </c>
      <c r="AD297" s="372">
        <v>5231.9189919</v>
      </c>
      <c r="AE297" s="372">
        <v>6124</v>
      </c>
      <c r="AF297" s="372">
        <v>7582</v>
      </c>
      <c r="AG297" s="372">
        <v>10040</v>
      </c>
      <c r="AH297" s="372">
        <v>11220</v>
      </c>
    </row>
    <row r="298" spans="1:34">
      <c r="A298" s="372" t="s">
        <v>2720</v>
      </c>
      <c r="B298" s="373" t="s">
        <v>2721</v>
      </c>
      <c r="C298" s="372" t="s">
        <v>2722</v>
      </c>
      <c r="D298" s="374">
        <v>1101113301457</v>
      </c>
      <c r="E298" s="372" t="s">
        <v>2723</v>
      </c>
      <c r="F298" s="375" t="s">
        <v>1457</v>
      </c>
      <c r="G298" s="375" t="s">
        <v>1458</v>
      </c>
      <c r="H298" s="375" t="s">
        <v>823</v>
      </c>
      <c r="I298" s="375" t="s">
        <v>755</v>
      </c>
      <c r="J298" s="375">
        <v>396693.64786999999</v>
      </c>
      <c r="K298" s="375">
        <v>51017.881009999997</v>
      </c>
      <c r="L298" s="375">
        <v>54835.285750000003</v>
      </c>
      <c r="M298" s="375">
        <v>411810.41197999998</v>
      </c>
      <c r="N298" s="372">
        <v>0.65100000000000002</v>
      </c>
      <c r="O298" s="703">
        <v>8.7176496575537588</v>
      </c>
      <c r="P298" s="375" t="s">
        <v>623</v>
      </c>
      <c r="Q298" s="375" t="s">
        <v>623</v>
      </c>
      <c r="R298" s="695">
        <v>20091119</v>
      </c>
      <c r="S298" s="375" t="s">
        <v>2289</v>
      </c>
      <c r="T298" s="696">
        <v>0.23100000000000001</v>
      </c>
      <c r="U298" s="375" t="s">
        <v>2724</v>
      </c>
      <c r="V298" s="722">
        <v>10.220000000000001</v>
      </c>
      <c r="W298" s="722">
        <v>2.0299999999999998</v>
      </c>
      <c r="X298" s="722">
        <v>2.1</v>
      </c>
      <c r="Y298" s="722">
        <v>19.03</v>
      </c>
      <c r="Z298" s="382">
        <v>7.7180237549057118E-2</v>
      </c>
      <c r="AA298" s="372">
        <v>1844.6233204</v>
      </c>
      <c r="AB298" s="372">
        <v>850.86860669999999</v>
      </c>
      <c r="AC298" s="372">
        <v>2621.1055105999999</v>
      </c>
      <c r="AD298" s="372">
        <v>3966.9364787</v>
      </c>
      <c r="AE298" s="372">
        <v>4504.4399999999996</v>
      </c>
      <c r="AF298" s="372">
        <v>5041.38</v>
      </c>
      <c r="AG298" s="372">
        <v>5340.83</v>
      </c>
      <c r="AH298" s="372">
        <v>0</v>
      </c>
    </row>
    <row r="299" spans="1:34">
      <c r="A299" s="372" t="s">
        <v>2725</v>
      </c>
      <c r="B299" s="373" t="s">
        <v>2726</v>
      </c>
      <c r="C299" s="372" t="s">
        <v>2727</v>
      </c>
      <c r="D299" s="374">
        <v>1101110208383</v>
      </c>
      <c r="E299" s="372" t="s">
        <v>2728</v>
      </c>
      <c r="F299" s="375" t="s">
        <v>2729</v>
      </c>
      <c r="G299" s="375" t="s">
        <v>2729</v>
      </c>
      <c r="H299" s="375" t="s">
        <v>1481</v>
      </c>
      <c r="I299" s="375" t="s">
        <v>755</v>
      </c>
      <c r="J299" s="375">
        <v>2029440.0572200001</v>
      </c>
      <c r="K299" s="375">
        <v>340521.47581999999</v>
      </c>
      <c r="L299" s="375">
        <v>219985.84799000001</v>
      </c>
      <c r="M299" s="375">
        <v>1772210.9823</v>
      </c>
      <c r="N299" s="372">
        <v>1.2390000000000001</v>
      </c>
      <c r="O299" s="703">
        <v>190.30856571316644</v>
      </c>
      <c r="P299" s="375" t="s">
        <v>623</v>
      </c>
      <c r="Q299" s="375" t="s">
        <v>623</v>
      </c>
      <c r="R299" s="695">
        <v>19860127</v>
      </c>
      <c r="S299" s="375" t="s">
        <v>2730</v>
      </c>
      <c r="T299" s="696">
        <v>0.23100000000000001</v>
      </c>
      <c r="U299" s="375" t="s">
        <v>2731</v>
      </c>
      <c r="V299" s="722">
        <v>4.87</v>
      </c>
      <c r="W299" s="722">
        <v>0.56999999999999995</v>
      </c>
      <c r="X299" s="722">
        <v>0.44</v>
      </c>
      <c r="Y299" s="722">
        <v>5.55</v>
      </c>
      <c r="Z299" s="382">
        <v>-7.6207245947975233E-2</v>
      </c>
      <c r="AA299" s="372">
        <v>12004.1271648</v>
      </c>
      <c r="AB299" s="372">
        <v>16084.4092489</v>
      </c>
      <c r="AC299" s="372">
        <v>22784.429023000001</v>
      </c>
      <c r="AD299" s="372">
        <v>20294.4005722</v>
      </c>
      <c r="AE299" s="372">
        <v>15767.5</v>
      </c>
      <c r="AF299" s="372">
        <v>15547.5</v>
      </c>
      <c r="AG299" s="372">
        <v>14780</v>
      </c>
      <c r="AH299" s="372">
        <v>0</v>
      </c>
    </row>
    <row r="300" spans="1:34">
      <c r="A300" s="372" t="s">
        <v>2732</v>
      </c>
      <c r="B300" s="373" t="s">
        <v>2733</v>
      </c>
      <c r="C300" s="372" t="s">
        <v>2734</v>
      </c>
      <c r="D300" s="374">
        <v>1301110007707</v>
      </c>
      <c r="E300" s="372" t="s">
        <v>2735</v>
      </c>
      <c r="F300" s="372" t="s">
        <v>1368</v>
      </c>
      <c r="G300" s="375" t="s">
        <v>1368</v>
      </c>
      <c r="H300" s="375" t="s">
        <v>832</v>
      </c>
      <c r="I300" s="375" t="s">
        <v>755</v>
      </c>
      <c r="J300" s="375">
        <v>421367.35064999998</v>
      </c>
      <c r="K300" s="375">
        <v>67238.827319999997</v>
      </c>
      <c r="L300" s="375">
        <v>76133.693899999998</v>
      </c>
      <c r="M300" s="375">
        <v>377967.23177999997</v>
      </c>
      <c r="N300" s="372">
        <v>0.44</v>
      </c>
      <c r="O300" s="703">
        <v>6.0022710122027388E-2</v>
      </c>
      <c r="P300" s="375" t="s">
        <v>623</v>
      </c>
      <c r="Q300" s="375" t="s">
        <v>623</v>
      </c>
      <c r="R300" s="695">
        <v>19890925</v>
      </c>
      <c r="S300" s="375" t="s">
        <v>2736</v>
      </c>
      <c r="T300" s="696">
        <v>0.23100000000000001</v>
      </c>
      <c r="U300" s="375" t="s">
        <v>2737</v>
      </c>
      <c r="V300" s="722">
        <v>8.2799999999999994</v>
      </c>
      <c r="W300" s="722">
        <v>2.13</v>
      </c>
      <c r="X300" s="722">
        <v>1.96</v>
      </c>
      <c r="Y300" s="722">
        <v>13.53</v>
      </c>
      <c r="Z300" s="382" t="s">
        <v>934</v>
      </c>
      <c r="AA300" s="372">
        <v>2949.8386040999999</v>
      </c>
      <c r="AB300" s="372">
        <v>3597.9498278000001</v>
      </c>
      <c r="AC300" s="372">
        <v>4381.8800395999997</v>
      </c>
      <c r="AD300" s="372">
        <v>4213.6735065000003</v>
      </c>
      <c r="AE300" s="372">
        <v>0</v>
      </c>
      <c r="AF300" s="372">
        <v>0</v>
      </c>
      <c r="AG300" s="372">
        <v>0</v>
      </c>
      <c r="AH300" s="372">
        <v>0</v>
      </c>
    </row>
    <row r="301" spans="1:34">
      <c r="A301" s="372" t="s">
        <v>2738</v>
      </c>
      <c r="B301" s="373" t="s">
        <v>2739</v>
      </c>
      <c r="C301" s="372" t="s">
        <v>2740</v>
      </c>
      <c r="D301" s="374">
        <v>1311110082427</v>
      </c>
      <c r="E301" s="372" t="s">
        <v>2741</v>
      </c>
      <c r="F301" s="372" t="s">
        <v>2742</v>
      </c>
      <c r="G301" s="375" t="s">
        <v>2742</v>
      </c>
      <c r="H301" s="375" t="s">
        <v>1388</v>
      </c>
      <c r="I301" s="375" t="s">
        <v>869</v>
      </c>
      <c r="J301" s="375">
        <v>338652.25452000002</v>
      </c>
      <c r="K301" s="375">
        <v>60778.799330000002</v>
      </c>
      <c r="L301" s="375">
        <v>44807.551590000003</v>
      </c>
      <c r="M301" s="375">
        <v>403637.41486000002</v>
      </c>
      <c r="N301" s="372">
        <v>1.4770000000000001</v>
      </c>
      <c r="O301" s="703">
        <v>38.50706690538702</v>
      </c>
      <c r="P301" s="375" t="s">
        <v>623</v>
      </c>
      <c r="Q301" s="375" t="s">
        <v>623</v>
      </c>
      <c r="R301" s="695">
        <v>20131022</v>
      </c>
      <c r="S301" s="375" t="s">
        <v>2743</v>
      </c>
      <c r="T301" s="696">
        <v>0.23100000000000001</v>
      </c>
      <c r="U301" s="375" t="s">
        <v>15997</v>
      </c>
      <c r="V301" s="722">
        <v>0</v>
      </c>
      <c r="W301" s="722">
        <v>2.8</v>
      </c>
      <c r="X301" s="722">
        <v>0</v>
      </c>
      <c r="Y301" s="722">
        <v>0</v>
      </c>
      <c r="Z301" s="382" t="s">
        <v>934</v>
      </c>
      <c r="AA301" s="372">
        <v>1325.1890223</v>
      </c>
      <c r="AB301" s="372">
        <v>2075.8446666</v>
      </c>
      <c r="AC301" s="372">
        <v>2776.5593755</v>
      </c>
      <c r="AD301" s="372">
        <v>3386.5225452</v>
      </c>
      <c r="AE301" s="372">
        <v>0</v>
      </c>
      <c r="AF301" s="372">
        <v>0</v>
      </c>
      <c r="AG301" s="372">
        <v>0</v>
      </c>
      <c r="AH301" s="372">
        <v>0</v>
      </c>
    </row>
    <row r="302" spans="1:34">
      <c r="A302" s="372" t="s">
        <v>2744</v>
      </c>
      <c r="B302" s="373" t="s">
        <v>2745</v>
      </c>
      <c r="C302" s="372" t="s">
        <v>2746</v>
      </c>
      <c r="D302" s="374">
        <v>1101110624688</v>
      </c>
      <c r="E302" s="372" t="s">
        <v>2747</v>
      </c>
      <c r="F302" s="375" t="s">
        <v>939</v>
      </c>
      <c r="G302" s="375" t="s">
        <v>939</v>
      </c>
      <c r="H302" s="375" t="s">
        <v>940</v>
      </c>
      <c r="I302" s="375" t="s">
        <v>755</v>
      </c>
      <c r="J302" s="375">
        <v>1107841.74095</v>
      </c>
      <c r="K302" s="375">
        <v>334329.27911</v>
      </c>
      <c r="L302" s="375">
        <v>347736.16298999998</v>
      </c>
      <c r="M302" s="375">
        <v>2903979.8703100001</v>
      </c>
      <c r="N302" s="372">
        <v>0.86299999999999999</v>
      </c>
      <c r="O302" s="703">
        <v>24.107166988718351</v>
      </c>
      <c r="P302" s="375" t="s">
        <v>623</v>
      </c>
      <c r="Q302" s="372" t="s">
        <v>623</v>
      </c>
      <c r="R302" s="695">
        <v>20091008</v>
      </c>
      <c r="S302" s="372" t="s">
        <v>1567</v>
      </c>
      <c r="T302" s="696">
        <v>0.26400000000000001</v>
      </c>
      <c r="U302" s="372" t="s">
        <v>2748</v>
      </c>
      <c r="V302" s="722">
        <v>0</v>
      </c>
      <c r="W302" s="722">
        <v>0.25</v>
      </c>
      <c r="X302" s="722">
        <v>0.22</v>
      </c>
      <c r="Y302" s="722">
        <v>2.7</v>
      </c>
      <c r="Z302" s="382" t="s">
        <v>934</v>
      </c>
      <c r="AA302" s="372">
        <v>49108.566537400002</v>
      </c>
      <c r="AB302" s="372">
        <v>43717.895381800001</v>
      </c>
      <c r="AC302" s="372">
        <v>10235.0822778</v>
      </c>
      <c r="AD302" s="372">
        <v>11078.4174095</v>
      </c>
      <c r="AE302" s="372">
        <v>0</v>
      </c>
      <c r="AF302" s="372">
        <v>0</v>
      </c>
      <c r="AG302" s="372">
        <v>0</v>
      </c>
      <c r="AH302" s="372">
        <v>0</v>
      </c>
    </row>
    <row r="303" spans="1:34">
      <c r="A303" s="372" t="s">
        <v>2749</v>
      </c>
      <c r="B303" s="373" t="s">
        <v>2750</v>
      </c>
      <c r="C303" s="372" t="s">
        <v>2751</v>
      </c>
      <c r="D303" s="374">
        <v>1101110042955</v>
      </c>
      <c r="E303" s="372" t="s">
        <v>2752</v>
      </c>
      <c r="F303" s="375" t="s">
        <v>1272</v>
      </c>
      <c r="G303" s="375" t="s">
        <v>1273</v>
      </c>
      <c r="H303" s="375" t="s">
        <v>1274</v>
      </c>
      <c r="I303" s="375" t="s">
        <v>755</v>
      </c>
      <c r="J303" s="375">
        <v>657390.88600000006</v>
      </c>
      <c r="K303" s="375">
        <v>161317.42600000001</v>
      </c>
      <c r="L303" s="375">
        <v>181219.44</v>
      </c>
      <c r="M303" s="375">
        <v>3021428.824</v>
      </c>
      <c r="N303" s="372">
        <v>0.85899999999999999</v>
      </c>
      <c r="O303" s="703">
        <v>2078.7955119368517</v>
      </c>
      <c r="P303" s="375" t="s">
        <v>623</v>
      </c>
      <c r="Q303" s="375" t="s">
        <v>623</v>
      </c>
      <c r="R303" s="695">
        <v>19751001</v>
      </c>
      <c r="S303" s="375" t="s">
        <v>2753</v>
      </c>
      <c r="T303" s="696">
        <v>0.23100000000000001</v>
      </c>
      <c r="U303" s="375" t="s">
        <v>2754</v>
      </c>
      <c r="V303" s="722">
        <v>0</v>
      </c>
      <c r="W303" s="722">
        <v>0.38</v>
      </c>
      <c r="X303" s="722">
        <v>0.32</v>
      </c>
      <c r="Y303" s="722">
        <v>9.2799999999999994</v>
      </c>
      <c r="Z303" s="382">
        <v>6.28808208889855E-2</v>
      </c>
      <c r="AA303" s="372">
        <v>6663.0125799999996</v>
      </c>
      <c r="AB303" s="372">
        <v>13606.77678</v>
      </c>
      <c r="AC303" s="372">
        <v>7637.2106000000003</v>
      </c>
      <c r="AD303" s="372">
        <v>6573.9088599999995</v>
      </c>
      <c r="AE303" s="372">
        <v>7450</v>
      </c>
      <c r="AF303" s="372">
        <v>7905</v>
      </c>
      <c r="AG303" s="372">
        <v>8390</v>
      </c>
      <c r="AH303" s="372">
        <v>0</v>
      </c>
    </row>
    <row r="304" spans="1:34">
      <c r="A304" s="372" t="s">
        <v>2755</v>
      </c>
      <c r="B304" s="373" t="s">
        <v>2756</v>
      </c>
      <c r="C304" s="372" t="s">
        <v>2757</v>
      </c>
      <c r="D304" s="374">
        <v>1101110035794</v>
      </c>
      <c r="E304" s="372" t="s">
        <v>2758</v>
      </c>
      <c r="F304" s="375" t="s">
        <v>816</v>
      </c>
      <c r="G304" s="375" t="s">
        <v>816</v>
      </c>
      <c r="H304" s="375" t="s">
        <v>817</v>
      </c>
      <c r="I304" s="375" t="s">
        <v>755</v>
      </c>
      <c r="J304" s="375">
        <v>4083481.1759199998</v>
      </c>
      <c r="K304" s="375">
        <v>196690.16068</v>
      </c>
      <c r="L304" s="375">
        <v>155283.93001000001</v>
      </c>
      <c r="M304" s="375">
        <v>2039049.83412</v>
      </c>
      <c r="N304" s="372">
        <v>1.1850000000000001</v>
      </c>
      <c r="O304" s="703">
        <v>114.38014143122004</v>
      </c>
      <c r="P304" s="375" t="s">
        <v>623</v>
      </c>
      <c r="Q304" s="375" t="s">
        <v>623</v>
      </c>
      <c r="R304" s="695">
        <v>19910312</v>
      </c>
      <c r="S304" s="375" t="s">
        <v>2759</v>
      </c>
      <c r="T304" s="696">
        <v>0.23100000000000001</v>
      </c>
      <c r="U304" s="375" t="s">
        <v>2760</v>
      </c>
      <c r="V304" s="722">
        <v>5.87</v>
      </c>
      <c r="W304" s="722">
        <v>0.46</v>
      </c>
      <c r="X304" s="722">
        <v>0.22</v>
      </c>
      <c r="Y304" s="722">
        <v>6.95</v>
      </c>
      <c r="Z304" s="382">
        <v>1.3222089147673755E-2</v>
      </c>
      <c r="AA304" s="372">
        <v>25357.759156</v>
      </c>
      <c r="AB304" s="372">
        <v>36511.029513000001</v>
      </c>
      <c r="AC304" s="372">
        <v>43863.327485399997</v>
      </c>
      <c r="AD304" s="372">
        <v>40834.811759199998</v>
      </c>
      <c r="AE304" s="372">
        <v>38796.730000000003</v>
      </c>
      <c r="AF304" s="372">
        <v>40573.910000000003</v>
      </c>
      <c r="AG304" s="372">
        <v>43037.71</v>
      </c>
      <c r="AH304" s="372">
        <v>44170</v>
      </c>
    </row>
    <row r="305" spans="1:34">
      <c r="A305" s="372" t="s">
        <v>2761</v>
      </c>
      <c r="B305" s="373" t="s">
        <v>2762</v>
      </c>
      <c r="C305" s="372" t="s">
        <v>2763</v>
      </c>
      <c r="D305" s="374">
        <v>1101110515275</v>
      </c>
      <c r="E305" s="372" t="s">
        <v>2764</v>
      </c>
      <c r="F305" s="375" t="s">
        <v>914</v>
      </c>
      <c r="G305" s="375" t="s">
        <v>915</v>
      </c>
      <c r="H305" s="375" t="s">
        <v>916</v>
      </c>
      <c r="I305" s="375" t="s">
        <v>755</v>
      </c>
      <c r="J305" s="375">
        <v>164811.54204</v>
      </c>
      <c r="K305" s="375">
        <v>24563.227869999999</v>
      </c>
      <c r="L305" s="375">
        <v>33271.347569999998</v>
      </c>
      <c r="M305" s="375">
        <v>170714.20559</v>
      </c>
      <c r="N305" s="372">
        <v>0.67</v>
      </c>
      <c r="O305" s="703">
        <v>19.156210994276666</v>
      </c>
      <c r="P305" s="375" t="s">
        <v>623</v>
      </c>
      <c r="Q305" s="375" t="s">
        <v>623</v>
      </c>
      <c r="R305" s="695">
        <v>19760629</v>
      </c>
      <c r="S305" s="375" t="s">
        <v>2765</v>
      </c>
      <c r="T305" s="696">
        <v>0.23100000000000001</v>
      </c>
      <c r="U305" s="375" t="s">
        <v>2766</v>
      </c>
      <c r="V305" s="722">
        <v>15.99</v>
      </c>
      <c r="W305" s="722">
        <v>3.62</v>
      </c>
      <c r="X305" s="722">
        <v>3.65</v>
      </c>
      <c r="Y305" s="722">
        <v>17.61</v>
      </c>
      <c r="Z305" s="382" t="s">
        <v>934</v>
      </c>
      <c r="AA305" s="372">
        <v>889.38838459999999</v>
      </c>
      <c r="AB305" s="372">
        <v>817.24313859999995</v>
      </c>
      <c r="AC305" s="372">
        <v>1778.6007806</v>
      </c>
      <c r="AD305" s="372">
        <v>1648.1154203999999</v>
      </c>
      <c r="AE305" s="372">
        <v>0</v>
      </c>
      <c r="AF305" s="372">
        <v>0</v>
      </c>
      <c r="AG305" s="372">
        <v>0</v>
      </c>
      <c r="AH305" s="372">
        <v>0</v>
      </c>
    </row>
    <row r="306" spans="1:34">
      <c r="A306" s="372" t="s">
        <v>2767</v>
      </c>
      <c r="B306" s="373" t="s">
        <v>2768</v>
      </c>
      <c r="C306" s="372" t="s">
        <v>2769</v>
      </c>
      <c r="D306" s="374">
        <v>1101110393308</v>
      </c>
      <c r="E306" s="372" t="s">
        <v>2770</v>
      </c>
      <c r="F306" s="375" t="s">
        <v>2771</v>
      </c>
      <c r="G306" s="375" t="s">
        <v>2772</v>
      </c>
      <c r="H306" s="375" t="s">
        <v>817</v>
      </c>
      <c r="I306" s="375" t="s">
        <v>755</v>
      </c>
      <c r="J306" s="375">
        <v>3429848.2001899998</v>
      </c>
      <c r="K306" s="375">
        <v>280410.83536999999</v>
      </c>
      <c r="L306" s="375">
        <v>311723.30721</v>
      </c>
      <c r="M306" s="375">
        <v>1890576.4883399999</v>
      </c>
      <c r="N306" s="372">
        <v>1.3560000000000001</v>
      </c>
      <c r="O306" s="703">
        <v>130.49264445949831</v>
      </c>
      <c r="P306" s="375" t="s">
        <v>623</v>
      </c>
      <c r="Q306" s="372" t="s">
        <v>623</v>
      </c>
      <c r="R306" s="695">
        <v>19860203</v>
      </c>
      <c r="S306" s="375" t="s">
        <v>2773</v>
      </c>
      <c r="T306" s="696">
        <v>0.26400000000000001</v>
      </c>
      <c r="U306" s="375" t="s">
        <v>15998</v>
      </c>
      <c r="V306" s="722">
        <v>4.58</v>
      </c>
      <c r="W306" s="722">
        <v>0.47</v>
      </c>
      <c r="X306" s="722">
        <v>0.26</v>
      </c>
      <c r="Y306" s="722">
        <v>3.8</v>
      </c>
      <c r="Z306" s="382" t="s">
        <v>934</v>
      </c>
      <c r="AA306" s="372">
        <v>23424.435909</v>
      </c>
      <c r="AB306" s="372">
        <v>33547.891863299999</v>
      </c>
      <c r="AC306" s="372">
        <v>38196.890278300001</v>
      </c>
      <c r="AD306" s="372">
        <v>34298.482001900004</v>
      </c>
      <c r="AE306" s="372">
        <v>34322</v>
      </c>
      <c r="AF306" s="372">
        <v>37956</v>
      </c>
      <c r="AG306" s="372">
        <v>0</v>
      </c>
      <c r="AH306" s="372">
        <v>0</v>
      </c>
    </row>
    <row r="307" spans="1:34">
      <c r="A307" s="372" t="s">
        <v>2774</v>
      </c>
      <c r="B307" s="373" t="s">
        <v>2775</v>
      </c>
      <c r="C307" s="372" t="s">
        <v>2776</v>
      </c>
      <c r="D307" s="374">
        <v>1760110035615</v>
      </c>
      <c r="E307" s="372" t="s">
        <v>2777</v>
      </c>
      <c r="F307" s="375" t="s">
        <v>2778</v>
      </c>
      <c r="G307" s="375" t="s">
        <v>2779</v>
      </c>
      <c r="H307" s="375" t="s">
        <v>868</v>
      </c>
      <c r="I307" s="375" t="s">
        <v>869</v>
      </c>
      <c r="J307" s="375">
        <v>805948.14295000001</v>
      </c>
      <c r="K307" s="375">
        <v>82983.41476</v>
      </c>
      <c r="L307" s="375">
        <v>60644.593760000003</v>
      </c>
      <c r="M307" s="375">
        <v>509604.63938000001</v>
      </c>
      <c r="N307" s="372">
        <v>1.127</v>
      </c>
      <c r="O307" s="703">
        <v>78.684027077468812</v>
      </c>
      <c r="P307" s="375" t="s">
        <v>623</v>
      </c>
      <c r="Q307" s="375" t="s">
        <v>623</v>
      </c>
      <c r="R307" s="695">
        <v>20031210</v>
      </c>
      <c r="S307" s="375" t="s">
        <v>2780</v>
      </c>
      <c r="T307" s="696">
        <v>0.23100000000000001</v>
      </c>
      <c r="U307" s="375" t="s">
        <v>2781</v>
      </c>
      <c r="V307" s="722">
        <v>9.66</v>
      </c>
      <c r="W307" s="722">
        <v>1.85</v>
      </c>
      <c r="X307" s="722">
        <v>0.94</v>
      </c>
      <c r="Y307" s="722">
        <v>19.78</v>
      </c>
      <c r="Z307" s="382">
        <v>0.12439537092408814</v>
      </c>
      <c r="AA307" s="372">
        <v>5256.4040885000004</v>
      </c>
      <c r="AB307" s="372">
        <v>6241.1900765</v>
      </c>
      <c r="AC307" s="372">
        <v>7831.7880587</v>
      </c>
      <c r="AD307" s="372">
        <v>8059.4814294999996</v>
      </c>
      <c r="AE307" s="372">
        <v>9148.67</v>
      </c>
      <c r="AF307" s="372">
        <v>10777.67</v>
      </c>
      <c r="AG307" s="372">
        <v>12882</v>
      </c>
      <c r="AH307" s="372">
        <v>14390</v>
      </c>
    </row>
    <row r="308" spans="1:34">
      <c r="A308" s="372" t="s">
        <v>2782</v>
      </c>
      <c r="B308" s="373" t="s">
        <v>2783</v>
      </c>
      <c r="C308" s="372" t="s">
        <v>2784</v>
      </c>
      <c r="D308" s="374">
        <v>1101110014459</v>
      </c>
      <c r="E308" s="372" t="s">
        <v>2785</v>
      </c>
      <c r="F308" s="375" t="s">
        <v>965</v>
      </c>
      <c r="G308" s="375" t="s">
        <v>966</v>
      </c>
      <c r="H308" s="375" t="s">
        <v>940</v>
      </c>
      <c r="I308" s="375" t="s">
        <v>755</v>
      </c>
      <c r="J308" s="375">
        <v>1672529.4117000001</v>
      </c>
      <c r="K308" s="375">
        <v>396291.20257000002</v>
      </c>
      <c r="L308" s="375">
        <v>394339.12277000002</v>
      </c>
      <c r="M308" s="375">
        <v>1256231.68967</v>
      </c>
      <c r="N308" s="372">
        <v>0.73799999999999999</v>
      </c>
      <c r="O308" s="703">
        <v>94.072884560980327</v>
      </c>
      <c r="P308" s="375" t="s">
        <v>623</v>
      </c>
      <c r="Q308" s="372" t="s">
        <v>623</v>
      </c>
      <c r="R308" s="695">
        <v>19710416</v>
      </c>
      <c r="S308" s="375" t="s">
        <v>2786</v>
      </c>
      <c r="T308" s="696">
        <v>0.26400000000000001</v>
      </c>
      <c r="U308" s="372" t="s">
        <v>2787</v>
      </c>
      <c r="V308" s="722">
        <v>0</v>
      </c>
      <c r="W308" s="722">
        <v>0.59</v>
      </c>
      <c r="X308" s="722">
        <v>0</v>
      </c>
      <c r="Y308" s="722">
        <v>0</v>
      </c>
      <c r="Z308" s="382" t="s">
        <v>934</v>
      </c>
      <c r="AA308" s="372">
        <v>22396.265067100001</v>
      </c>
      <c r="AB308" s="372">
        <v>22739.550024200002</v>
      </c>
      <c r="AC308" s="372">
        <v>15077.4548273</v>
      </c>
      <c r="AD308" s="372">
        <v>16725.294117000001</v>
      </c>
      <c r="AE308" s="372">
        <v>0</v>
      </c>
      <c r="AF308" s="372">
        <v>0</v>
      </c>
      <c r="AG308" s="372">
        <v>0</v>
      </c>
      <c r="AH308" s="372">
        <v>0</v>
      </c>
    </row>
    <row r="309" spans="1:34">
      <c r="A309" s="372" t="s">
        <v>2788</v>
      </c>
      <c r="B309" s="373" t="s">
        <v>2789</v>
      </c>
      <c r="C309" s="372" t="s">
        <v>2790</v>
      </c>
      <c r="D309" s="374">
        <v>1311110319656</v>
      </c>
      <c r="E309" s="372" t="s">
        <v>2791</v>
      </c>
      <c r="F309" s="375" t="s">
        <v>1673</v>
      </c>
      <c r="G309" s="375" t="s">
        <v>2391</v>
      </c>
      <c r="H309" s="375" t="s">
        <v>1388</v>
      </c>
      <c r="I309" s="375" t="s">
        <v>869</v>
      </c>
      <c r="J309" s="375">
        <v>63597.349800000004</v>
      </c>
      <c r="K309" s="375">
        <v>4351.6464599999999</v>
      </c>
      <c r="L309" s="375">
        <v>5384.13004</v>
      </c>
      <c r="M309" s="375">
        <v>62019.549700000003</v>
      </c>
      <c r="N309" s="372">
        <v>0.86</v>
      </c>
      <c r="O309" s="703">
        <v>0.68132989042834002</v>
      </c>
      <c r="P309" s="375" t="s">
        <v>623</v>
      </c>
      <c r="Q309" s="375" t="s">
        <v>623</v>
      </c>
      <c r="R309" s="695">
        <v>20220520</v>
      </c>
      <c r="S309" s="375" t="s">
        <v>2792</v>
      </c>
      <c r="T309" s="696">
        <v>0.20900000000000002</v>
      </c>
      <c r="U309" s="375" t="s">
        <v>2793</v>
      </c>
      <c r="V309" s="722">
        <v>76.400000000000006</v>
      </c>
      <c r="W309" s="722">
        <v>10.6</v>
      </c>
      <c r="X309" s="722">
        <v>10.33</v>
      </c>
      <c r="Y309" s="722">
        <v>103.58</v>
      </c>
      <c r="Z309" s="382">
        <v>0.45496136229991113</v>
      </c>
      <c r="AA309" s="372">
        <v>170.9830595</v>
      </c>
      <c r="AB309" s="372">
        <v>322.35607290000002</v>
      </c>
      <c r="AC309" s="372">
        <v>433.20504879999999</v>
      </c>
      <c r="AD309" s="372">
        <v>635.97349799999995</v>
      </c>
      <c r="AE309" s="372">
        <v>1003.2</v>
      </c>
      <c r="AF309" s="372">
        <v>1685.6</v>
      </c>
      <c r="AG309" s="372">
        <v>2850</v>
      </c>
      <c r="AH309" s="372">
        <v>0</v>
      </c>
    </row>
    <row r="310" spans="1:34">
      <c r="A310" s="372" t="s">
        <v>2794</v>
      </c>
      <c r="B310" s="373" t="s">
        <v>2795</v>
      </c>
      <c r="C310" s="372" t="s">
        <v>2796</v>
      </c>
      <c r="D310" s="374">
        <v>1344110044981</v>
      </c>
      <c r="E310" s="372" t="s">
        <v>2797</v>
      </c>
      <c r="F310" s="372" t="s">
        <v>1195</v>
      </c>
      <c r="G310" s="375" t="s">
        <v>1196</v>
      </c>
      <c r="H310" s="375" t="s">
        <v>1388</v>
      </c>
      <c r="I310" s="375" t="s">
        <v>869</v>
      </c>
      <c r="J310" s="375">
        <v>87930.571020000003</v>
      </c>
      <c r="K310" s="375">
        <v>36165.536410000001</v>
      </c>
      <c r="L310" s="375">
        <v>37596.716650000002</v>
      </c>
      <c r="M310" s="375">
        <v>127009.09506000001</v>
      </c>
      <c r="N310" s="372">
        <v>1.1579999999999999</v>
      </c>
      <c r="O310" s="703">
        <v>0.25695790305674748</v>
      </c>
      <c r="P310" s="375" t="s">
        <v>623</v>
      </c>
      <c r="Q310" s="375" t="s">
        <v>623</v>
      </c>
      <c r="R310" s="695">
        <v>20201008</v>
      </c>
      <c r="S310" s="375" t="s">
        <v>2798</v>
      </c>
      <c r="T310" s="696">
        <v>0.23100000000000001</v>
      </c>
      <c r="U310" s="375" t="s">
        <v>2799</v>
      </c>
      <c r="V310" s="722">
        <v>18.100000000000001</v>
      </c>
      <c r="W310" s="722">
        <v>5.4</v>
      </c>
      <c r="X310" s="722">
        <v>7.98</v>
      </c>
      <c r="Y310" s="722">
        <v>22.68</v>
      </c>
      <c r="Z310" s="382">
        <v>0.26194736862554469</v>
      </c>
      <c r="AA310" s="372">
        <v>494.4511766</v>
      </c>
      <c r="AB310" s="372">
        <v>571.08751849999999</v>
      </c>
      <c r="AC310" s="372">
        <v>1149.4287389000001</v>
      </c>
      <c r="AD310" s="372">
        <v>879.30571020000002</v>
      </c>
      <c r="AE310" s="372">
        <v>1413.4</v>
      </c>
      <c r="AF310" s="372">
        <v>1876.75</v>
      </c>
      <c r="AG310" s="372">
        <v>2230</v>
      </c>
      <c r="AH310" s="372">
        <v>2350</v>
      </c>
    </row>
    <row r="311" spans="1:34">
      <c r="A311" s="372" t="s">
        <v>2800</v>
      </c>
      <c r="B311" s="373" t="s">
        <v>2801</v>
      </c>
      <c r="C311" s="372" t="s">
        <v>2802</v>
      </c>
      <c r="D311" s="374">
        <v>1101111906887</v>
      </c>
      <c r="E311" s="372" t="s">
        <v>2803</v>
      </c>
      <c r="F311" s="375" t="s">
        <v>1381</v>
      </c>
      <c r="G311" s="375" t="s">
        <v>1381</v>
      </c>
      <c r="H311" s="375" t="s">
        <v>1693</v>
      </c>
      <c r="I311" s="375" t="s">
        <v>869</v>
      </c>
      <c r="J311" s="375">
        <v>63173.674050000001</v>
      </c>
      <c r="K311" s="375">
        <v>4662.8251300000002</v>
      </c>
      <c r="L311" s="375">
        <v>-27086.877690000001</v>
      </c>
      <c r="M311" s="375">
        <v>28856.169310000001</v>
      </c>
      <c r="N311" s="372">
        <v>0.89300000000000002</v>
      </c>
      <c r="O311" s="703">
        <v>2.2270814995043064</v>
      </c>
      <c r="P311" s="375" t="s">
        <v>623</v>
      </c>
      <c r="Q311" s="375" t="s">
        <v>623</v>
      </c>
      <c r="R311" s="695">
        <v>20160428</v>
      </c>
      <c r="S311" s="375" t="s">
        <v>2804</v>
      </c>
      <c r="T311" s="696" t="s">
        <v>772</v>
      </c>
      <c r="U311" s="372" t="s">
        <v>2805</v>
      </c>
      <c r="V311" s="722">
        <v>96.35</v>
      </c>
      <c r="W311" s="722">
        <v>27.34</v>
      </c>
      <c r="X311" s="722">
        <v>12.25</v>
      </c>
      <c r="Y311" s="722" t="s">
        <v>774</v>
      </c>
      <c r="Z311" s="382" t="s">
        <v>934</v>
      </c>
      <c r="AA311" s="372">
        <v>448.48706449999997</v>
      </c>
      <c r="AB311" s="372">
        <v>470.14722799999998</v>
      </c>
      <c r="AC311" s="372">
        <v>586.23051380000004</v>
      </c>
      <c r="AD311" s="372">
        <v>631.7367405</v>
      </c>
      <c r="AE311" s="372">
        <v>1684</v>
      </c>
      <c r="AF311" s="372">
        <v>893</v>
      </c>
      <c r="AG311" s="372">
        <v>0</v>
      </c>
      <c r="AH311" s="372">
        <v>0</v>
      </c>
    </row>
    <row r="312" spans="1:34">
      <c r="A312" s="372" t="s">
        <v>2806</v>
      </c>
      <c r="B312" s="373" t="s">
        <v>2807</v>
      </c>
      <c r="C312" s="372" t="s">
        <v>2808</v>
      </c>
      <c r="D312" s="374">
        <v>1101110019342</v>
      </c>
      <c r="E312" s="372" t="s">
        <v>2809</v>
      </c>
      <c r="F312" s="375" t="s">
        <v>1334</v>
      </c>
      <c r="G312" s="375" t="s">
        <v>1334</v>
      </c>
      <c r="H312" s="375" t="s">
        <v>788</v>
      </c>
      <c r="I312" s="375" t="s">
        <v>755</v>
      </c>
      <c r="J312" s="375">
        <v>748526.70781000005</v>
      </c>
      <c r="K312" s="375">
        <v>100303.77011</v>
      </c>
      <c r="L312" s="375">
        <v>54836.4499</v>
      </c>
      <c r="M312" s="375">
        <v>265440.45679999999</v>
      </c>
      <c r="N312" s="372">
        <v>1.0760000000000001</v>
      </c>
      <c r="O312" s="703">
        <v>23.925412785951103</v>
      </c>
      <c r="P312" s="375" t="s">
        <v>623</v>
      </c>
      <c r="Q312" s="372" t="s">
        <v>623</v>
      </c>
      <c r="R312" s="695">
        <v>19760614</v>
      </c>
      <c r="S312" s="372" t="s">
        <v>16143</v>
      </c>
      <c r="T312" s="696">
        <v>0.23100000000000001</v>
      </c>
      <c r="U312" s="375" t="s">
        <v>2810</v>
      </c>
      <c r="V312" s="722">
        <v>7.49</v>
      </c>
      <c r="W312" s="722">
        <v>3.14</v>
      </c>
      <c r="X312" s="722">
        <v>1.1599999999999999</v>
      </c>
      <c r="Y312" s="722">
        <v>23.55</v>
      </c>
      <c r="Z312" s="382">
        <v>7.0649418556211208E-2</v>
      </c>
      <c r="AA312" s="372">
        <v>5473.357078</v>
      </c>
      <c r="AB312" s="372">
        <v>6065.8494477000004</v>
      </c>
      <c r="AC312" s="372">
        <v>6843.5109923999999</v>
      </c>
      <c r="AD312" s="372">
        <v>7485.2670780999997</v>
      </c>
      <c r="AE312" s="372">
        <v>8260.43</v>
      </c>
      <c r="AF312" s="372">
        <v>8986.7099999999991</v>
      </c>
      <c r="AG312" s="372">
        <v>9835.5</v>
      </c>
      <c r="AH312" s="372">
        <v>0</v>
      </c>
    </row>
    <row r="313" spans="1:34">
      <c r="A313" s="372" t="s">
        <v>2811</v>
      </c>
      <c r="B313" s="373" t="s">
        <v>2812</v>
      </c>
      <c r="C313" s="372" t="s">
        <v>2813</v>
      </c>
      <c r="D313" s="374">
        <v>1101116450615</v>
      </c>
      <c r="E313" s="372" t="s">
        <v>2814</v>
      </c>
      <c r="F313" s="375" t="s">
        <v>1814</v>
      </c>
      <c r="G313" s="375" t="s">
        <v>1815</v>
      </c>
      <c r="H313" s="375" t="s">
        <v>1693</v>
      </c>
      <c r="I313" s="375" t="s">
        <v>869</v>
      </c>
      <c r="J313" s="375">
        <v>75691.871490000005</v>
      </c>
      <c r="K313" s="375">
        <v>28625.832890000001</v>
      </c>
      <c r="L313" s="375">
        <v>32654.92625</v>
      </c>
      <c r="M313" s="375">
        <v>169513.45340999999</v>
      </c>
      <c r="N313" s="372">
        <v>1.1040000000000001</v>
      </c>
      <c r="O313" s="703">
        <v>0.68212894742406416</v>
      </c>
      <c r="P313" s="375" t="s">
        <v>623</v>
      </c>
      <c r="Q313" s="375" t="s">
        <v>623</v>
      </c>
      <c r="R313" s="695">
        <v>20211110</v>
      </c>
      <c r="S313" s="375" t="s">
        <v>2815</v>
      </c>
      <c r="T313" s="696">
        <v>0.23100000000000001</v>
      </c>
      <c r="U313" s="375" t="s">
        <v>2816</v>
      </c>
      <c r="V313" s="722">
        <v>0</v>
      </c>
      <c r="W313" s="722">
        <v>4.5</v>
      </c>
      <c r="X313" s="722">
        <v>0</v>
      </c>
      <c r="Y313" s="722">
        <v>0</v>
      </c>
      <c r="Z313" s="382" t="s">
        <v>934</v>
      </c>
      <c r="AA313" s="372">
        <v>130.4773332</v>
      </c>
      <c r="AB313" s="372">
        <v>400.00767150000001</v>
      </c>
      <c r="AC313" s="372">
        <v>491.93860960000001</v>
      </c>
      <c r="AD313" s="372">
        <v>756.91871490000005</v>
      </c>
      <c r="AE313" s="372">
        <v>0</v>
      </c>
      <c r="AF313" s="372">
        <v>0</v>
      </c>
      <c r="AG313" s="372">
        <v>0</v>
      </c>
      <c r="AH313" s="372">
        <v>0</v>
      </c>
    </row>
    <row r="314" spans="1:34">
      <c r="A314" s="372" t="s">
        <v>2817</v>
      </c>
      <c r="B314" s="373" t="s">
        <v>2818</v>
      </c>
      <c r="C314" s="372" t="s">
        <v>2819</v>
      </c>
      <c r="D314" s="374">
        <v>1101111138985</v>
      </c>
      <c r="E314" s="372" t="s">
        <v>2820</v>
      </c>
      <c r="F314" s="372" t="s">
        <v>1814</v>
      </c>
      <c r="G314" s="375" t="s">
        <v>2821</v>
      </c>
      <c r="H314" s="375" t="s">
        <v>1693</v>
      </c>
      <c r="I314" s="375" t="s">
        <v>869</v>
      </c>
      <c r="J314" s="375">
        <v>239201.05707000001</v>
      </c>
      <c r="K314" s="375">
        <v>26422.531579999999</v>
      </c>
      <c r="L314" s="375">
        <v>41551.149550000002</v>
      </c>
      <c r="M314" s="375">
        <v>284716.08692999999</v>
      </c>
      <c r="N314" s="372">
        <v>0.85399999999999998</v>
      </c>
      <c r="O314" s="703">
        <v>6.85843271328751E-2</v>
      </c>
      <c r="P314" s="375" t="s">
        <v>623</v>
      </c>
      <c r="Q314" s="372" t="s">
        <v>623</v>
      </c>
      <c r="R314" s="695">
        <v>20010911</v>
      </c>
      <c r="S314" s="372" t="s">
        <v>2822</v>
      </c>
      <c r="T314" s="696">
        <v>0.23100000000000001</v>
      </c>
      <c r="U314" s="375" t="s">
        <v>2823</v>
      </c>
      <c r="V314" s="722">
        <v>19.809999999999999</v>
      </c>
      <c r="W314" s="722">
        <v>2.2799999999999998</v>
      </c>
      <c r="X314" s="722">
        <v>2.88</v>
      </c>
      <c r="Y314" s="722">
        <v>19.260000000000002</v>
      </c>
      <c r="Z314" s="382" t="s">
        <v>934</v>
      </c>
      <c r="AA314" s="372">
        <v>1781.8732725</v>
      </c>
      <c r="AB314" s="372">
        <v>2072.7216023999999</v>
      </c>
      <c r="AC314" s="372">
        <v>2279.7528050000001</v>
      </c>
      <c r="AD314" s="372">
        <v>2392.0105706999998</v>
      </c>
      <c r="AE314" s="372">
        <v>2766</v>
      </c>
      <c r="AF314" s="372">
        <v>3056</v>
      </c>
      <c r="AG314" s="372">
        <v>0</v>
      </c>
      <c r="AH314" s="372">
        <v>0</v>
      </c>
    </row>
    <row r="315" spans="1:34">
      <c r="A315" s="372" t="s">
        <v>2824</v>
      </c>
      <c r="B315" s="373" t="s">
        <v>2825</v>
      </c>
      <c r="C315" s="372" t="s">
        <v>2826</v>
      </c>
      <c r="D315" s="374">
        <v>1615110028691</v>
      </c>
      <c r="E315" s="372" t="s">
        <v>2827</v>
      </c>
      <c r="F315" s="375" t="s">
        <v>1334</v>
      </c>
      <c r="G315" s="375" t="s">
        <v>1334</v>
      </c>
      <c r="H315" s="375" t="s">
        <v>868</v>
      </c>
      <c r="I315" s="375" t="s">
        <v>869</v>
      </c>
      <c r="J315" s="375">
        <v>4950.9299899999996</v>
      </c>
      <c r="K315" s="375">
        <v>-32655.28959</v>
      </c>
      <c r="L315" s="375">
        <v>-32283.538390000002</v>
      </c>
      <c r="M315" s="375">
        <v>94717.486050000007</v>
      </c>
      <c r="N315" s="372">
        <v>1.0209999999999999</v>
      </c>
      <c r="O315" s="703">
        <v>0.54546258411110593</v>
      </c>
      <c r="P315" s="375" t="s">
        <v>623</v>
      </c>
      <c r="Q315" s="375" t="s">
        <v>623</v>
      </c>
      <c r="R315" s="695">
        <v>20070117</v>
      </c>
      <c r="S315" s="375" t="s">
        <v>2828</v>
      </c>
      <c r="T315" s="696" t="s">
        <v>772</v>
      </c>
      <c r="U315" s="375" t="s">
        <v>2829</v>
      </c>
      <c r="V315" s="722" t="s">
        <v>774</v>
      </c>
      <c r="W315" s="722">
        <v>8.9</v>
      </c>
      <c r="X315" s="722">
        <v>177.29</v>
      </c>
      <c r="Y315" s="722" t="s">
        <v>774</v>
      </c>
      <c r="Z315" s="382">
        <v>0.946000246307384</v>
      </c>
      <c r="AA315" s="372">
        <v>434.70793379999998</v>
      </c>
      <c r="AB315" s="372">
        <v>39.027347499999998</v>
      </c>
      <c r="AC315" s="372">
        <v>50.623764899999998</v>
      </c>
      <c r="AD315" s="372">
        <v>49.509299900000002</v>
      </c>
      <c r="AE315" s="372">
        <v>440</v>
      </c>
      <c r="AF315" s="372">
        <v>510</v>
      </c>
      <c r="AG315" s="372">
        <v>710</v>
      </c>
      <c r="AH315" s="372">
        <v>0</v>
      </c>
    </row>
    <row r="316" spans="1:34">
      <c r="A316" s="372" t="s">
        <v>2830</v>
      </c>
      <c r="B316" s="373" t="s">
        <v>2831</v>
      </c>
      <c r="C316" s="372" t="s">
        <v>2832</v>
      </c>
      <c r="D316" s="374">
        <v>1301110005727</v>
      </c>
      <c r="E316" s="372" t="s">
        <v>2833</v>
      </c>
      <c r="F316" s="372" t="s">
        <v>900</v>
      </c>
      <c r="G316" s="375" t="s">
        <v>901</v>
      </c>
      <c r="H316" s="375" t="s">
        <v>862</v>
      </c>
      <c r="I316" s="375" t="s">
        <v>755</v>
      </c>
      <c r="J316" s="375">
        <v>8939216.8507700004</v>
      </c>
      <c r="K316" s="375">
        <v>256702.03455000001</v>
      </c>
      <c r="L316" s="375">
        <v>351039.81358999998</v>
      </c>
      <c r="M316" s="375">
        <v>6069572.2476899996</v>
      </c>
      <c r="N316" s="372">
        <v>1.0109999999999999</v>
      </c>
      <c r="O316" s="703">
        <v>583.20461815252611</v>
      </c>
      <c r="P316" s="375" t="s">
        <v>623</v>
      </c>
      <c r="Q316" s="375" t="s">
        <v>623</v>
      </c>
      <c r="R316" s="695">
        <v>19760629</v>
      </c>
      <c r="S316" s="375" t="s">
        <v>2834</v>
      </c>
      <c r="T316" s="696">
        <v>0.26400000000000001</v>
      </c>
      <c r="U316" s="375" t="s">
        <v>2835</v>
      </c>
      <c r="V316" s="722">
        <v>9.77</v>
      </c>
      <c r="W316" s="722">
        <v>0.27</v>
      </c>
      <c r="X316" s="722">
        <v>0.09</v>
      </c>
      <c r="Y316" s="722">
        <v>4.1900000000000004</v>
      </c>
      <c r="Z316" s="382" t="s">
        <v>934</v>
      </c>
      <c r="AA316" s="372">
        <v>45194.640557999999</v>
      </c>
      <c r="AB316" s="372">
        <v>66143.281606999997</v>
      </c>
      <c r="AC316" s="372">
        <v>87171.1514876</v>
      </c>
      <c r="AD316" s="372">
        <v>89392.1685077</v>
      </c>
      <c r="AE316" s="372">
        <v>0</v>
      </c>
      <c r="AF316" s="372">
        <v>0</v>
      </c>
      <c r="AG316" s="372">
        <v>0</v>
      </c>
      <c r="AH316" s="372">
        <v>0</v>
      </c>
    </row>
    <row r="317" spans="1:34">
      <c r="A317" s="372" t="s">
        <v>2836</v>
      </c>
      <c r="B317" s="373" t="s">
        <v>2837</v>
      </c>
      <c r="C317" s="372" t="s">
        <v>2838</v>
      </c>
      <c r="D317" s="374">
        <v>1201110002957</v>
      </c>
      <c r="E317" s="372" t="s">
        <v>2839</v>
      </c>
      <c r="F317" s="375" t="s">
        <v>1774</v>
      </c>
      <c r="G317" s="375" t="s">
        <v>1775</v>
      </c>
      <c r="H317" s="375" t="s">
        <v>754</v>
      </c>
      <c r="I317" s="375" t="s">
        <v>755</v>
      </c>
      <c r="J317" s="375">
        <v>1296939.95643</v>
      </c>
      <c r="K317" s="375">
        <v>111745.13817999999</v>
      </c>
      <c r="L317" s="375">
        <v>100018.81601</v>
      </c>
      <c r="M317" s="375">
        <v>931763.32498000003</v>
      </c>
      <c r="N317" s="372">
        <v>0.69199999999999995</v>
      </c>
      <c r="O317" s="703">
        <v>24.795404998750538</v>
      </c>
      <c r="P317" s="375" t="s">
        <v>623</v>
      </c>
      <c r="Q317" s="375" t="s">
        <v>623</v>
      </c>
      <c r="R317" s="695">
        <v>19961016</v>
      </c>
      <c r="S317" s="375" t="s">
        <v>2840</v>
      </c>
      <c r="T317" s="696">
        <v>0.23100000000000001</v>
      </c>
      <c r="U317" s="375" t="s">
        <v>2841</v>
      </c>
      <c r="V317" s="722">
        <v>4.49</v>
      </c>
      <c r="W317" s="722">
        <v>0.84</v>
      </c>
      <c r="X317" s="722">
        <v>0.6</v>
      </c>
      <c r="Y317" s="722">
        <v>10.71</v>
      </c>
      <c r="Z317" s="382">
        <v>7.6961610571797623E-2</v>
      </c>
      <c r="AA317" s="372">
        <v>8024.9722835000002</v>
      </c>
      <c r="AB317" s="372">
        <v>9622.2839648000008</v>
      </c>
      <c r="AC317" s="372">
        <v>11681.3497728</v>
      </c>
      <c r="AD317" s="372">
        <v>12969.3995643</v>
      </c>
      <c r="AE317" s="372">
        <v>14320</v>
      </c>
      <c r="AF317" s="372">
        <v>15844</v>
      </c>
      <c r="AG317" s="372">
        <v>17447</v>
      </c>
      <c r="AH317" s="372">
        <v>0</v>
      </c>
    </row>
    <row r="318" spans="1:34">
      <c r="A318" s="372" t="s">
        <v>2842</v>
      </c>
      <c r="B318" s="373" t="s">
        <v>2843</v>
      </c>
      <c r="C318" s="372" t="s">
        <v>2844</v>
      </c>
      <c r="D318" s="374">
        <v>1746110004644</v>
      </c>
      <c r="E318" s="372" t="s">
        <v>2845</v>
      </c>
      <c r="F318" s="372" t="s">
        <v>1286</v>
      </c>
      <c r="G318" s="375" t="s">
        <v>1465</v>
      </c>
      <c r="H318" s="375" t="s">
        <v>1388</v>
      </c>
      <c r="I318" s="375" t="s">
        <v>869</v>
      </c>
      <c r="J318" s="375">
        <v>262172.87861000001</v>
      </c>
      <c r="K318" s="375">
        <v>24177.306059999999</v>
      </c>
      <c r="L318" s="375">
        <v>20229.771229999998</v>
      </c>
      <c r="M318" s="375">
        <v>134125.28034</v>
      </c>
      <c r="N318" s="372">
        <v>0.89</v>
      </c>
      <c r="O318" s="703">
        <v>4.0728937972097681</v>
      </c>
      <c r="P318" s="375" t="s">
        <v>623</v>
      </c>
      <c r="Q318" s="375" t="s">
        <v>623</v>
      </c>
      <c r="R318" s="695">
        <v>19950413</v>
      </c>
      <c r="S318" s="375" t="s">
        <v>2846</v>
      </c>
      <c r="T318" s="696">
        <v>0.23100000000000001</v>
      </c>
      <c r="U318" s="372" t="s">
        <v>2847</v>
      </c>
      <c r="V318" s="722">
        <v>15.37</v>
      </c>
      <c r="W318" s="722">
        <v>4.59</v>
      </c>
      <c r="X318" s="722">
        <v>2.41</v>
      </c>
      <c r="Y318" s="722">
        <v>43.34</v>
      </c>
      <c r="Z318" s="382" t="s">
        <v>934</v>
      </c>
      <c r="AA318" s="372">
        <v>2154.8624785000002</v>
      </c>
      <c r="AB318" s="372">
        <v>2315.1036003999998</v>
      </c>
      <c r="AC318" s="372">
        <v>2447.6921434999999</v>
      </c>
      <c r="AD318" s="372">
        <v>2621.7287861</v>
      </c>
      <c r="AE318" s="372">
        <v>3100</v>
      </c>
      <c r="AF318" s="372">
        <v>4200</v>
      </c>
      <c r="AG318" s="372">
        <v>0</v>
      </c>
      <c r="AH318" s="372">
        <v>0</v>
      </c>
    </row>
    <row r="319" spans="1:34">
      <c r="A319" s="372" t="s">
        <v>2848</v>
      </c>
      <c r="B319" s="373" t="s">
        <v>2849</v>
      </c>
      <c r="C319" s="372" t="s">
        <v>2850</v>
      </c>
      <c r="D319" s="374">
        <v>1101111960924</v>
      </c>
      <c r="E319" s="372" t="s">
        <v>2851</v>
      </c>
      <c r="F319" s="372" t="s">
        <v>2077</v>
      </c>
      <c r="G319" s="375" t="s">
        <v>2078</v>
      </c>
      <c r="H319" s="375" t="s">
        <v>868</v>
      </c>
      <c r="I319" s="375" t="s">
        <v>869</v>
      </c>
      <c r="J319" s="375">
        <v>265120.26036999997</v>
      </c>
      <c r="K319" s="375">
        <v>10929.43823</v>
      </c>
      <c r="L319" s="375">
        <v>6132.9153500000002</v>
      </c>
      <c r="M319" s="375">
        <v>303494.92173</v>
      </c>
      <c r="N319" s="372">
        <v>0.70799999999999996</v>
      </c>
      <c r="O319" s="703">
        <v>26.62203584460417</v>
      </c>
      <c r="P319" s="375" t="s">
        <v>623</v>
      </c>
      <c r="Q319" s="375" t="s">
        <v>623</v>
      </c>
      <c r="R319" s="695">
        <v>20130130</v>
      </c>
      <c r="S319" s="375" t="s">
        <v>2852</v>
      </c>
      <c r="T319" s="696">
        <v>0.20900000000000002</v>
      </c>
      <c r="U319" s="372" t="s">
        <v>2853</v>
      </c>
      <c r="V319" s="722">
        <v>36.659999999999997</v>
      </c>
      <c r="W319" s="722">
        <v>2.77</v>
      </c>
      <c r="X319" s="722">
        <v>2.97</v>
      </c>
      <c r="Y319" s="722">
        <v>212.12</v>
      </c>
      <c r="Z319" s="382">
        <v>9.8571379521577684E-2</v>
      </c>
      <c r="AA319" s="372">
        <v>2037.0764079999999</v>
      </c>
      <c r="AB319" s="372">
        <v>2329.3479102000001</v>
      </c>
      <c r="AC319" s="372">
        <v>2648.3713109999999</v>
      </c>
      <c r="AD319" s="372">
        <v>2651.2026037000001</v>
      </c>
      <c r="AE319" s="372">
        <v>2974.5</v>
      </c>
      <c r="AF319" s="372">
        <v>3627.25</v>
      </c>
      <c r="AG319" s="372">
        <v>3861.5</v>
      </c>
      <c r="AH319" s="372">
        <v>4790</v>
      </c>
    </row>
    <row r="320" spans="1:34">
      <c r="A320" s="372" t="s">
        <v>2854</v>
      </c>
      <c r="B320" s="373" t="s">
        <v>2855</v>
      </c>
      <c r="C320" s="372" t="s">
        <v>2856</v>
      </c>
      <c r="D320" s="374">
        <v>1201110447781</v>
      </c>
      <c r="E320" s="372" t="s">
        <v>2857</v>
      </c>
      <c r="F320" s="372" t="s">
        <v>5742</v>
      </c>
      <c r="G320" s="375" t="s">
        <v>5742</v>
      </c>
      <c r="H320" s="375" t="s">
        <v>868</v>
      </c>
      <c r="I320" s="375" t="s">
        <v>869</v>
      </c>
      <c r="J320" s="375">
        <v>778694.26098999998</v>
      </c>
      <c r="K320" s="375">
        <v>48998.367200000001</v>
      </c>
      <c r="L320" s="375">
        <v>265.09435999999999</v>
      </c>
      <c r="M320" s="375">
        <v>498095.31774999999</v>
      </c>
      <c r="N320" s="372">
        <v>0.65100000000000002</v>
      </c>
      <c r="O320" s="703">
        <v>71.834703536675875</v>
      </c>
      <c r="P320" s="375" t="s">
        <v>623</v>
      </c>
      <c r="Q320" s="375" t="s">
        <v>623</v>
      </c>
      <c r="R320" s="695">
        <v>20170327</v>
      </c>
      <c r="S320" s="375" t="s">
        <v>2860</v>
      </c>
      <c r="T320" s="696">
        <v>0.20900000000000002</v>
      </c>
      <c r="U320" s="375" t="s">
        <v>2861</v>
      </c>
      <c r="V320" s="722">
        <v>10.37</v>
      </c>
      <c r="W320" s="722">
        <v>1.35</v>
      </c>
      <c r="X320" s="722">
        <v>0.88</v>
      </c>
      <c r="Y320" s="722" t="s">
        <v>774</v>
      </c>
      <c r="Z320" s="382">
        <v>0.28898442539896729</v>
      </c>
      <c r="AA320" s="372">
        <v>3218.9631758999999</v>
      </c>
      <c r="AB320" s="372">
        <v>6061.4677736000003</v>
      </c>
      <c r="AC320" s="372">
        <v>7359.8852883</v>
      </c>
      <c r="AD320" s="372">
        <v>7786.9426099000002</v>
      </c>
      <c r="AE320" s="372">
        <v>12475</v>
      </c>
      <c r="AF320" s="372">
        <v>17491.5</v>
      </c>
      <c r="AG320" s="372">
        <v>21496</v>
      </c>
      <c r="AH320" s="372">
        <v>0</v>
      </c>
    </row>
    <row r="321" spans="1:34">
      <c r="A321" s="372" t="s">
        <v>2862</v>
      </c>
      <c r="B321" s="373" t="s">
        <v>2863</v>
      </c>
      <c r="C321" s="372" t="s">
        <v>2864</v>
      </c>
      <c r="D321" s="374">
        <v>1101110145147</v>
      </c>
      <c r="E321" s="372" t="s">
        <v>2865</v>
      </c>
      <c r="F321" s="375" t="s">
        <v>2866</v>
      </c>
      <c r="G321" s="375" t="s">
        <v>2867</v>
      </c>
      <c r="H321" s="375" t="s">
        <v>832</v>
      </c>
      <c r="I321" s="375" t="s">
        <v>755</v>
      </c>
      <c r="J321" s="375">
        <v>414490.61037000001</v>
      </c>
      <c r="K321" s="375">
        <v>-16200.386109999999</v>
      </c>
      <c r="L321" s="375">
        <v>-30002.7219</v>
      </c>
      <c r="M321" s="375">
        <v>306262.06598000001</v>
      </c>
      <c r="N321" s="372">
        <v>1.2709999999999999</v>
      </c>
      <c r="O321" s="703">
        <v>29.788735969424547</v>
      </c>
      <c r="P321" s="375" t="s">
        <v>623</v>
      </c>
      <c r="Q321" s="375" t="s">
        <v>623</v>
      </c>
      <c r="R321" s="695">
        <v>19880830</v>
      </c>
      <c r="S321" s="375" t="s">
        <v>2868</v>
      </c>
      <c r="T321" s="696" t="s">
        <v>772</v>
      </c>
      <c r="U321" s="375" t="s">
        <v>2869</v>
      </c>
      <c r="V321" s="722">
        <v>70.709999999999994</v>
      </c>
      <c r="W321" s="722">
        <v>2.57</v>
      </c>
      <c r="X321" s="722">
        <v>1.9</v>
      </c>
      <c r="Y321" s="722" t="s">
        <v>774</v>
      </c>
      <c r="Z321" s="382" t="s">
        <v>934</v>
      </c>
      <c r="AA321" s="372">
        <v>5206.5456971000003</v>
      </c>
      <c r="AB321" s="372">
        <v>5387.3419769000002</v>
      </c>
      <c r="AC321" s="372">
        <v>4578.9359280999997</v>
      </c>
      <c r="AD321" s="372">
        <v>4144.9061037000001</v>
      </c>
      <c r="AE321" s="372">
        <v>0</v>
      </c>
      <c r="AF321" s="372">
        <v>0</v>
      </c>
      <c r="AG321" s="372">
        <v>0</v>
      </c>
      <c r="AH321" s="372">
        <v>0</v>
      </c>
    </row>
    <row r="322" spans="1:34">
      <c r="A322" s="372" t="s">
        <v>2870</v>
      </c>
      <c r="B322" s="373" t="s">
        <v>2871</v>
      </c>
      <c r="C322" s="372" t="s">
        <v>2872</v>
      </c>
      <c r="D322" s="374">
        <v>1101117232799</v>
      </c>
      <c r="E322" s="372" t="s">
        <v>2873</v>
      </c>
      <c r="F322" s="375" t="s">
        <v>1768</v>
      </c>
      <c r="G322" s="375" t="s">
        <v>1768</v>
      </c>
      <c r="H322" s="375" t="s">
        <v>868</v>
      </c>
      <c r="I322" s="375" t="s">
        <v>869</v>
      </c>
      <c r="J322" s="375">
        <v>115628.80309</v>
      </c>
      <c r="K322" s="375">
        <v>46037.112500000003</v>
      </c>
      <c r="L322" s="375">
        <v>47784.867749999998</v>
      </c>
      <c r="M322" s="375">
        <v>99279.475760000001</v>
      </c>
      <c r="N322" s="372">
        <v>0.55600000000000005</v>
      </c>
      <c r="O322" s="703">
        <v>1.9068337382818408</v>
      </c>
      <c r="P322" s="375" t="s">
        <v>623</v>
      </c>
      <c r="Q322" s="372" t="s">
        <v>623</v>
      </c>
      <c r="R322" s="695">
        <v>20191219</v>
      </c>
      <c r="S322" s="372" t="s">
        <v>2874</v>
      </c>
      <c r="T322" s="696">
        <v>0.23100000000000001</v>
      </c>
      <c r="U322" s="372" t="s">
        <v>2875</v>
      </c>
      <c r="V322" s="722">
        <v>17.18</v>
      </c>
      <c r="W322" s="722">
        <v>8.2899999999999991</v>
      </c>
      <c r="X322" s="722">
        <v>7.11</v>
      </c>
      <c r="Y322" s="722">
        <v>21.17</v>
      </c>
      <c r="Z322" s="382">
        <v>0.20377595186090014</v>
      </c>
      <c r="AA322" s="372">
        <v>300.13646610000001</v>
      </c>
      <c r="AB322" s="372">
        <v>510.625654</v>
      </c>
      <c r="AC322" s="372">
        <v>815.08860189999996</v>
      </c>
      <c r="AD322" s="372">
        <v>1156.2880309</v>
      </c>
      <c r="AE322" s="372">
        <v>1530</v>
      </c>
      <c r="AF322" s="372">
        <v>1967</v>
      </c>
      <c r="AG322" s="372">
        <v>2428</v>
      </c>
      <c r="AH322" s="372">
        <v>2610</v>
      </c>
    </row>
    <row r="323" spans="1:34">
      <c r="A323" s="372" t="s">
        <v>2876</v>
      </c>
      <c r="B323" s="373" t="s">
        <v>2877</v>
      </c>
      <c r="C323" s="372" t="s">
        <v>2878</v>
      </c>
      <c r="D323" s="374">
        <v>1101115685966</v>
      </c>
      <c r="E323" s="372" t="s">
        <v>2879</v>
      </c>
      <c r="F323" s="375" t="s">
        <v>2880</v>
      </c>
      <c r="G323" s="375" t="s">
        <v>2881</v>
      </c>
      <c r="H323" s="375" t="s">
        <v>1348</v>
      </c>
      <c r="I323" s="375" t="s">
        <v>869</v>
      </c>
      <c r="J323" s="375">
        <v>935225.12543999997</v>
      </c>
      <c r="K323" s="375">
        <v>127440.52726</v>
      </c>
      <c r="L323" s="375">
        <v>126938.01988000001</v>
      </c>
      <c r="M323" s="375">
        <v>491472.80531999998</v>
      </c>
      <c r="N323" s="372">
        <v>0.47</v>
      </c>
      <c r="O323" s="703">
        <v>19.524819327786634</v>
      </c>
      <c r="P323" s="375" t="s">
        <v>623</v>
      </c>
      <c r="Q323" s="372" t="s">
        <v>623</v>
      </c>
      <c r="R323" s="695">
        <v>20150504</v>
      </c>
      <c r="S323" s="375" t="s">
        <v>2882</v>
      </c>
      <c r="T323" s="696">
        <v>0.23100000000000001</v>
      </c>
      <c r="U323" s="375" t="s">
        <v>2883</v>
      </c>
      <c r="V323" s="722">
        <v>3.94</v>
      </c>
      <c r="W323" s="722">
        <v>1.47</v>
      </c>
      <c r="X323" s="722">
        <v>0.77</v>
      </c>
      <c r="Y323" s="722">
        <v>7.58</v>
      </c>
      <c r="Z323" s="382">
        <v>4.34174969133585E-2</v>
      </c>
      <c r="AA323" s="372">
        <v>4747.1671389000003</v>
      </c>
      <c r="AB323" s="372">
        <v>7038.6913148000003</v>
      </c>
      <c r="AC323" s="372">
        <v>8359.5285263000005</v>
      </c>
      <c r="AD323" s="372">
        <v>9352.2512544000001</v>
      </c>
      <c r="AE323" s="372">
        <v>9947.25</v>
      </c>
      <c r="AF323" s="372">
        <v>10541.33</v>
      </c>
      <c r="AG323" s="372">
        <v>11085.33</v>
      </c>
      <c r="AH323" s="372">
        <v>0</v>
      </c>
    </row>
    <row r="324" spans="1:34">
      <c r="A324" s="372" t="s">
        <v>2884</v>
      </c>
      <c r="B324" s="373" t="s">
        <v>2885</v>
      </c>
      <c r="C324" s="372" t="s">
        <v>2886</v>
      </c>
      <c r="D324" s="374">
        <v>1543110022729</v>
      </c>
      <c r="E324" s="372" t="s">
        <v>2887</v>
      </c>
      <c r="F324" s="375" t="s">
        <v>2888</v>
      </c>
      <c r="G324" s="375" t="s">
        <v>2889</v>
      </c>
      <c r="H324" s="375" t="s">
        <v>832</v>
      </c>
      <c r="I324" s="375" t="s">
        <v>755</v>
      </c>
      <c r="J324" s="375">
        <v>217639.38372000001</v>
      </c>
      <c r="K324" s="375">
        <v>-3937.8937099999998</v>
      </c>
      <c r="L324" s="375">
        <v>-6647.4377199999999</v>
      </c>
      <c r="M324" s="375">
        <v>314918.93488000002</v>
      </c>
      <c r="N324" s="372">
        <v>1.2609999999999999</v>
      </c>
      <c r="O324" s="703">
        <v>25.501796278581914</v>
      </c>
      <c r="P324" s="375" t="s">
        <v>623</v>
      </c>
      <c r="Q324" s="375" t="s">
        <v>623</v>
      </c>
      <c r="R324" s="695">
        <v>20141208</v>
      </c>
      <c r="S324" s="375" t="s">
        <v>2890</v>
      </c>
      <c r="T324" s="696" t="s">
        <v>772</v>
      </c>
      <c r="U324" s="375" t="s">
        <v>2891</v>
      </c>
      <c r="V324" s="722">
        <v>0</v>
      </c>
      <c r="W324" s="722">
        <v>2.84</v>
      </c>
      <c r="X324" s="722">
        <v>0</v>
      </c>
      <c r="Y324" s="722">
        <v>0</v>
      </c>
      <c r="Z324" s="382" t="s">
        <v>934</v>
      </c>
      <c r="AA324" s="372">
        <v>2617.8877926</v>
      </c>
      <c r="AB324" s="372">
        <v>3018.6871947999998</v>
      </c>
      <c r="AC324" s="372">
        <v>2764.4043049000002</v>
      </c>
      <c r="AD324" s="372">
        <v>2176.3938371999998</v>
      </c>
      <c r="AE324" s="372">
        <v>3210</v>
      </c>
      <c r="AF324" s="372">
        <v>4010</v>
      </c>
      <c r="AG324" s="372">
        <v>0</v>
      </c>
      <c r="AH324" s="372">
        <v>0</v>
      </c>
    </row>
    <row r="325" spans="1:34">
      <c r="A325" s="372" t="s">
        <v>2892</v>
      </c>
      <c r="B325" s="373" t="s">
        <v>2893</v>
      </c>
      <c r="C325" s="372" t="s">
        <v>15999</v>
      </c>
      <c r="D325" s="374">
        <v>1101116557114</v>
      </c>
      <c r="E325" s="372" t="s">
        <v>16000</v>
      </c>
      <c r="F325" s="375" t="s">
        <v>982</v>
      </c>
      <c r="G325" s="375" t="s">
        <v>983</v>
      </c>
      <c r="H325" s="375" t="s">
        <v>823</v>
      </c>
      <c r="I325" s="375" t="s">
        <v>755</v>
      </c>
      <c r="J325" s="375">
        <v>1196722.4679</v>
      </c>
      <c r="K325" s="375">
        <v>56946.199410000001</v>
      </c>
      <c r="L325" s="375">
        <v>54018.424079999997</v>
      </c>
      <c r="M325" s="375">
        <v>451054.72665000003</v>
      </c>
      <c r="N325" s="372">
        <v>0.42399999999999999</v>
      </c>
      <c r="O325" s="703">
        <v>32.495950460094605</v>
      </c>
      <c r="P325" s="375" t="s">
        <v>623</v>
      </c>
      <c r="Q325" s="372" t="s">
        <v>623</v>
      </c>
      <c r="R325" s="695">
        <v>20180727</v>
      </c>
      <c r="S325" s="375" t="s">
        <v>2894</v>
      </c>
      <c r="T325" s="696">
        <v>0.23100000000000001</v>
      </c>
      <c r="U325" s="372" t="s">
        <v>2895</v>
      </c>
      <c r="V325" s="722">
        <v>4.8</v>
      </c>
      <c r="W325" s="722">
        <v>1.05</v>
      </c>
      <c r="X325" s="722">
        <v>0.38</v>
      </c>
      <c r="Y325" s="722">
        <v>10.74</v>
      </c>
      <c r="Z325" s="382">
        <v>7.6009899162228001E-2</v>
      </c>
      <c r="AA325" s="372">
        <v>8495.4589305999998</v>
      </c>
      <c r="AB325" s="372">
        <v>9299.9871113999998</v>
      </c>
      <c r="AC325" s="372">
        <v>10477.048778300001</v>
      </c>
      <c r="AD325" s="372">
        <v>11967.224679000001</v>
      </c>
      <c r="AE325" s="372">
        <v>13103.43</v>
      </c>
      <c r="AF325" s="372">
        <v>14477.17</v>
      </c>
      <c r="AG325" s="372">
        <v>16042</v>
      </c>
      <c r="AH325" s="372">
        <v>0</v>
      </c>
    </row>
    <row r="326" spans="1:34">
      <c r="A326" s="372" t="s">
        <v>2896</v>
      </c>
      <c r="B326" s="373" t="s">
        <v>2897</v>
      </c>
      <c r="C326" s="372" t="s">
        <v>2898</v>
      </c>
      <c r="D326" s="374">
        <v>1345110000014</v>
      </c>
      <c r="E326" s="372" t="s">
        <v>2899</v>
      </c>
      <c r="F326" s="375" t="s">
        <v>2649</v>
      </c>
      <c r="G326" s="375" t="s">
        <v>2650</v>
      </c>
      <c r="H326" s="375" t="s">
        <v>823</v>
      </c>
      <c r="I326" s="375" t="s">
        <v>755</v>
      </c>
      <c r="J326" s="375">
        <v>2057935.7046099999</v>
      </c>
      <c r="K326" s="375">
        <v>-16437.91706</v>
      </c>
      <c r="L326" s="375">
        <v>-81109.543980000002</v>
      </c>
      <c r="M326" s="375">
        <v>1881541.81996</v>
      </c>
      <c r="N326" s="372">
        <v>0.93600000000000005</v>
      </c>
      <c r="O326" s="703">
        <v>177.50655647633286</v>
      </c>
      <c r="P326" s="375" t="s">
        <v>623</v>
      </c>
      <c r="Q326" s="375" t="s">
        <v>623</v>
      </c>
      <c r="R326" s="695">
        <v>19780828</v>
      </c>
      <c r="S326" s="375" t="s">
        <v>2900</v>
      </c>
      <c r="T326" s="696" t="s">
        <v>772</v>
      </c>
      <c r="U326" s="375" t="s">
        <v>2174</v>
      </c>
      <c r="V326" s="722">
        <v>35.369999999999997</v>
      </c>
      <c r="W326" s="722">
        <v>0.81</v>
      </c>
      <c r="X326" s="722">
        <v>0.39</v>
      </c>
      <c r="Y326" s="722" t="s">
        <v>774</v>
      </c>
      <c r="Z326" s="382" t="s">
        <v>934</v>
      </c>
      <c r="AA326" s="372">
        <v>17193.2565</v>
      </c>
      <c r="AB326" s="372">
        <v>18405.586029999999</v>
      </c>
      <c r="AC326" s="372">
        <v>20795.599707400001</v>
      </c>
      <c r="AD326" s="372">
        <v>20579.357046100002</v>
      </c>
      <c r="AE326" s="372">
        <v>0</v>
      </c>
      <c r="AF326" s="372">
        <v>0</v>
      </c>
      <c r="AG326" s="372">
        <v>0</v>
      </c>
      <c r="AH326" s="372">
        <v>0</v>
      </c>
    </row>
    <row r="327" spans="1:34">
      <c r="A327" s="372" t="s">
        <v>2901</v>
      </c>
      <c r="B327" s="373" t="s">
        <v>2902</v>
      </c>
      <c r="C327" s="372" t="s">
        <v>2903</v>
      </c>
      <c r="D327" s="374">
        <v>1347110001159</v>
      </c>
      <c r="E327" s="372" t="s">
        <v>2904</v>
      </c>
      <c r="F327" s="375" t="s">
        <v>2905</v>
      </c>
      <c r="G327" s="375" t="s">
        <v>2905</v>
      </c>
      <c r="H327" s="375" t="s">
        <v>754</v>
      </c>
      <c r="I327" s="375" t="s">
        <v>755</v>
      </c>
      <c r="J327" s="375">
        <v>1204312.8717499999</v>
      </c>
      <c r="K327" s="375">
        <v>105910.53784999999</v>
      </c>
      <c r="L327" s="375">
        <v>107291.57986</v>
      </c>
      <c r="M327" s="375">
        <v>584595.24939999997</v>
      </c>
      <c r="N327" s="372">
        <v>0.79400000000000004</v>
      </c>
      <c r="O327" s="703">
        <v>13.370736235758335</v>
      </c>
      <c r="P327" s="375" t="s">
        <v>623</v>
      </c>
      <c r="Q327" s="375" t="s">
        <v>623</v>
      </c>
      <c r="R327" s="695">
        <v>19930831</v>
      </c>
      <c r="S327" s="375" t="s">
        <v>2906</v>
      </c>
      <c r="T327" s="696">
        <v>0.23100000000000001</v>
      </c>
      <c r="U327" s="372" t="s">
        <v>2907</v>
      </c>
      <c r="V327" s="722">
        <v>4.5999999999999996</v>
      </c>
      <c r="W327" s="722">
        <v>1.17</v>
      </c>
      <c r="X327" s="722">
        <v>0.56999999999999995</v>
      </c>
      <c r="Y327" s="722">
        <v>8.27</v>
      </c>
      <c r="Z327" s="382" t="s">
        <v>934</v>
      </c>
      <c r="AA327" s="372">
        <v>8734.0901881000009</v>
      </c>
      <c r="AB327" s="372">
        <v>11029.4701</v>
      </c>
      <c r="AC327" s="372">
        <v>11608.607886</v>
      </c>
      <c r="AD327" s="372">
        <v>12043.1287175</v>
      </c>
      <c r="AE327" s="372">
        <v>0</v>
      </c>
      <c r="AF327" s="372">
        <v>0</v>
      </c>
      <c r="AG327" s="372">
        <v>0</v>
      </c>
      <c r="AH327" s="372">
        <v>0</v>
      </c>
    </row>
    <row r="328" spans="1:34">
      <c r="A328" s="372" t="s">
        <v>2908</v>
      </c>
      <c r="B328" s="373" t="s">
        <v>2909</v>
      </c>
      <c r="C328" s="372" t="s">
        <v>2910</v>
      </c>
      <c r="D328" s="374">
        <v>1358110238402</v>
      </c>
      <c r="E328" s="372" t="s">
        <v>2911</v>
      </c>
      <c r="F328" s="375" t="s">
        <v>1104</v>
      </c>
      <c r="G328" s="375" t="s">
        <v>1105</v>
      </c>
      <c r="H328" s="375" t="s">
        <v>868</v>
      </c>
      <c r="I328" s="375" t="s">
        <v>869</v>
      </c>
      <c r="J328" s="375">
        <v>220327.41708000001</v>
      </c>
      <c r="K328" s="375">
        <v>32089.99597</v>
      </c>
      <c r="L328" s="375">
        <v>34569.79722</v>
      </c>
      <c r="M328" s="375">
        <v>172587.23707999999</v>
      </c>
      <c r="N328" s="372">
        <v>0.22600000000000001</v>
      </c>
      <c r="O328" s="703">
        <v>6.0626154689770058</v>
      </c>
      <c r="P328" s="375" t="s">
        <v>623</v>
      </c>
      <c r="Q328" s="375" t="s">
        <v>623</v>
      </c>
      <c r="R328" s="695">
        <v>20210517</v>
      </c>
      <c r="S328" s="375" t="s">
        <v>2912</v>
      </c>
      <c r="T328" s="696">
        <v>0.23100000000000001</v>
      </c>
      <c r="U328" s="375" t="s">
        <v>2913</v>
      </c>
      <c r="V328" s="722">
        <v>15.96</v>
      </c>
      <c r="W328" s="722">
        <v>3.61</v>
      </c>
      <c r="X328" s="722">
        <v>2.84</v>
      </c>
      <c r="Y328" s="722">
        <v>19.89</v>
      </c>
      <c r="Z328" s="382">
        <v>0.19411875793171696</v>
      </c>
      <c r="AA328" s="372">
        <v>896.11803729999997</v>
      </c>
      <c r="AB328" s="372">
        <v>912.93592200000001</v>
      </c>
      <c r="AC328" s="372">
        <v>1306.0572841000001</v>
      </c>
      <c r="AD328" s="372">
        <v>2203.2741707999999</v>
      </c>
      <c r="AE328" s="372">
        <v>3184.2</v>
      </c>
      <c r="AF328" s="372">
        <v>3905.6</v>
      </c>
      <c r="AG328" s="372">
        <v>4479.8</v>
      </c>
      <c r="AH328" s="372">
        <v>0</v>
      </c>
    </row>
    <row r="329" spans="1:34">
      <c r="A329" s="372" t="s">
        <v>2914</v>
      </c>
      <c r="B329" s="373" t="s">
        <v>2915</v>
      </c>
      <c r="C329" s="372" t="s">
        <v>2916</v>
      </c>
      <c r="D329" s="374">
        <v>1101118626793</v>
      </c>
      <c r="E329" s="372" t="s">
        <v>2916</v>
      </c>
      <c r="F329" s="375" t="s">
        <v>1313</v>
      </c>
      <c r="G329" s="375" t="s">
        <v>1313</v>
      </c>
      <c r="H329" s="375" t="s">
        <v>832</v>
      </c>
      <c r="I329" s="375" t="s">
        <v>755</v>
      </c>
      <c r="J329" s="375">
        <v>0</v>
      </c>
      <c r="K329" s="375">
        <v>0</v>
      </c>
      <c r="L329" s="375">
        <v>0</v>
      </c>
      <c r="M329" s="375">
        <v>983528.34699999995</v>
      </c>
      <c r="N329" s="372" t="s">
        <v>1033</v>
      </c>
      <c r="O329" s="703">
        <v>80.227312023753996</v>
      </c>
      <c r="P329" s="375" t="s">
        <v>623</v>
      </c>
      <c r="Q329" s="372" t="s">
        <v>623</v>
      </c>
      <c r="R329" s="695">
        <v>20230530</v>
      </c>
      <c r="S329" s="375" t="s">
        <v>2917</v>
      </c>
      <c r="T329" s="696" t="s">
        <v>772</v>
      </c>
      <c r="U329" s="375" t="s">
        <v>1750</v>
      </c>
      <c r="V329" s="722">
        <v>0</v>
      </c>
      <c r="W329" s="722">
        <v>0.84</v>
      </c>
      <c r="X329" s="722">
        <v>0</v>
      </c>
      <c r="Y329" s="722">
        <v>0</v>
      </c>
      <c r="Z329" s="382" t="s">
        <v>934</v>
      </c>
      <c r="AA329" s="372">
        <v>0</v>
      </c>
      <c r="AB329" s="372">
        <v>0</v>
      </c>
      <c r="AC329" s="372">
        <v>0</v>
      </c>
      <c r="AD329" s="372">
        <v>12888.25675</v>
      </c>
      <c r="AE329" s="372">
        <v>0</v>
      </c>
      <c r="AF329" s="372">
        <v>0</v>
      </c>
      <c r="AG329" s="372">
        <v>0</v>
      </c>
      <c r="AH329" s="372">
        <v>0</v>
      </c>
    </row>
    <row r="330" spans="1:34">
      <c r="A330" s="372" t="s">
        <v>2918</v>
      </c>
      <c r="B330" s="373" t="s">
        <v>2919</v>
      </c>
      <c r="C330" s="372" t="s">
        <v>2920</v>
      </c>
      <c r="D330" s="374">
        <v>1101110019219</v>
      </c>
      <c r="E330" s="372" t="s">
        <v>2921</v>
      </c>
      <c r="F330" s="375" t="s">
        <v>1076</v>
      </c>
      <c r="G330" s="375" t="s">
        <v>2922</v>
      </c>
      <c r="H330" s="375" t="s">
        <v>853</v>
      </c>
      <c r="I330" s="375" t="s">
        <v>755</v>
      </c>
      <c r="J330" s="375">
        <v>682872.12719999999</v>
      </c>
      <c r="K330" s="375">
        <v>6304.5380500000001</v>
      </c>
      <c r="L330" s="375">
        <v>8511.4037399999997</v>
      </c>
      <c r="M330" s="375">
        <v>605534.19441</v>
      </c>
      <c r="N330" s="372">
        <v>1.2709999999999999</v>
      </c>
      <c r="O330" s="703">
        <v>49.062125654730139</v>
      </c>
      <c r="P330" s="375" t="s">
        <v>623</v>
      </c>
      <c r="Q330" s="372" t="s">
        <v>623</v>
      </c>
      <c r="R330" s="695">
        <v>19640104</v>
      </c>
      <c r="S330" s="372" t="s">
        <v>2923</v>
      </c>
      <c r="T330" s="696">
        <v>0.20900000000000002</v>
      </c>
      <c r="U330" s="372" t="s">
        <v>2924</v>
      </c>
      <c r="V330" s="722">
        <v>33.700000000000003</v>
      </c>
      <c r="W330" s="722">
        <v>1.17</v>
      </c>
      <c r="X330" s="722">
        <v>1.1100000000000001</v>
      </c>
      <c r="Y330" s="722">
        <v>234.4</v>
      </c>
      <c r="Z330" s="382" t="s">
        <v>934</v>
      </c>
      <c r="AA330" s="372">
        <v>6796.6808553000001</v>
      </c>
      <c r="AB330" s="372">
        <v>8130.8525804999999</v>
      </c>
      <c r="AC330" s="372">
        <v>8299.2871713000004</v>
      </c>
      <c r="AD330" s="372">
        <v>6828.7212719999998</v>
      </c>
      <c r="AE330" s="372">
        <v>7928.5</v>
      </c>
      <c r="AF330" s="372">
        <v>9149</v>
      </c>
      <c r="AG330" s="372">
        <v>0</v>
      </c>
      <c r="AH330" s="372">
        <v>0</v>
      </c>
    </row>
    <row r="331" spans="1:34">
      <c r="A331" s="372" t="s">
        <v>2925</v>
      </c>
      <c r="B331" s="373" t="s">
        <v>2926</v>
      </c>
      <c r="C331" s="372" t="s">
        <v>2927</v>
      </c>
      <c r="D331" s="374">
        <v>1101110115504</v>
      </c>
      <c r="E331" s="372" t="s">
        <v>2928</v>
      </c>
      <c r="F331" s="375" t="s">
        <v>2465</v>
      </c>
      <c r="G331" s="375" t="s">
        <v>2465</v>
      </c>
      <c r="H331" s="375" t="s">
        <v>823</v>
      </c>
      <c r="I331" s="375" t="s">
        <v>755</v>
      </c>
      <c r="J331" s="375">
        <v>313548.27538000001</v>
      </c>
      <c r="K331" s="375">
        <v>-60605.78847</v>
      </c>
      <c r="L331" s="375">
        <v>-213397.83166</v>
      </c>
      <c r="M331" s="375">
        <v>65559.575849999994</v>
      </c>
      <c r="N331" s="372">
        <v>0.71</v>
      </c>
      <c r="O331" s="703">
        <v>174.27724354095358</v>
      </c>
      <c r="P331" s="375" t="s">
        <v>623</v>
      </c>
      <c r="Q331" s="375" t="s">
        <v>623</v>
      </c>
      <c r="R331" s="695">
        <v>20060608</v>
      </c>
      <c r="S331" s="375" t="s">
        <v>2929</v>
      </c>
      <c r="T331" s="696" t="s">
        <v>772</v>
      </c>
      <c r="U331" s="375" t="s">
        <v>2930</v>
      </c>
      <c r="V331" s="722">
        <v>75.540000000000006</v>
      </c>
      <c r="W331" s="722">
        <v>10.27</v>
      </c>
      <c r="X331" s="722">
        <v>2.27</v>
      </c>
      <c r="Y331" s="722" t="s">
        <v>774</v>
      </c>
      <c r="Z331" s="382">
        <v>0.17700395086598308</v>
      </c>
      <c r="AA331" s="372">
        <v>167.6942865</v>
      </c>
      <c r="AB331" s="372">
        <v>1070.7175877</v>
      </c>
      <c r="AC331" s="372">
        <v>1836.7090605000001</v>
      </c>
      <c r="AD331" s="372">
        <v>3135.4827538</v>
      </c>
      <c r="AE331" s="372">
        <v>4742.17</v>
      </c>
      <c r="AF331" s="372">
        <v>5626.77</v>
      </c>
      <c r="AG331" s="372">
        <v>6017.5</v>
      </c>
      <c r="AH331" s="372">
        <v>0</v>
      </c>
    </row>
    <row r="332" spans="1:34">
      <c r="A332" s="372" t="s">
        <v>2931</v>
      </c>
      <c r="B332" s="373" t="s">
        <v>2932</v>
      </c>
      <c r="C332" s="372" t="s">
        <v>2933</v>
      </c>
      <c r="D332" s="374">
        <v>1201110454976</v>
      </c>
      <c r="E332" s="372" t="s">
        <v>2934</v>
      </c>
      <c r="F332" s="375" t="s">
        <v>1097</v>
      </c>
      <c r="G332" s="375" t="s">
        <v>1097</v>
      </c>
      <c r="H332" s="375" t="s">
        <v>916</v>
      </c>
      <c r="I332" s="375" t="s">
        <v>755</v>
      </c>
      <c r="J332" s="375">
        <v>1277221.8219600001</v>
      </c>
      <c r="K332" s="375">
        <v>182163.41612000001</v>
      </c>
      <c r="L332" s="375">
        <v>173861.05843999999</v>
      </c>
      <c r="M332" s="375">
        <v>142987.68770000001</v>
      </c>
      <c r="N332" s="372">
        <v>0.76600000000000001</v>
      </c>
      <c r="O332" s="703">
        <v>46.381988152629177</v>
      </c>
      <c r="P332" s="375" t="s">
        <v>623</v>
      </c>
      <c r="Q332" s="375" t="s">
        <v>623</v>
      </c>
      <c r="R332" s="695">
        <v>20171208</v>
      </c>
      <c r="S332" s="375" t="s">
        <v>2935</v>
      </c>
      <c r="T332" s="696">
        <v>0.23100000000000001</v>
      </c>
      <c r="U332" s="375" t="s">
        <v>2936</v>
      </c>
      <c r="V332" s="722">
        <v>0</v>
      </c>
      <c r="W332" s="722">
        <v>4.03</v>
      </c>
      <c r="X332" s="722">
        <v>0</v>
      </c>
      <c r="Y332" s="722">
        <v>0</v>
      </c>
      <c r="Z332" s="382" t="s">
        <v>934</v>
      </c>
      <c r="AA332" s="372">
        <v>2717.6907762999999</v>
      </c>
      <c r="AB332" s="372">
        <v>2471.9115361999998</v>
      </c>
      <c r="AC332" s="372">
        <v>5934.2849828999997</v>
      </c>
      <c r="AD332" s="372">
        <v>12772.218219599999</v>
      </c>
      <c r="AE332" s="372">
        <v>0</v>
      </c>
      <c r="AF332" s="372">
        <v>0</v>
      </c>
      <c r="AG332" s="372">
        <v>0</v>
      </c>
      <c r="AH332" s="372">
        <v>0</v>
      </c>
    </row>
    <row r="333" spans="1:34">
      <c r="A333" s="372" t="s">
        <v>2937</v>
      </c>
      <c r="B333" s="373" t="s">
        <v>2938</v>
      </c>
      <c r="C333" s="372" t="s">
        <v>2939</v>
      </c>
      <c r="D333" s="374">
        <v>1101115731032</v>
      </c>
      <c r="E333" s="372" t="s">
        <v>2940</v>
      </c>
      <c r="F333" s="375" t="s">
        <v>1985</v>
      </c>
      <c r="G333" s="375" t="s">
        <v>1985</v>
      </c>
      <c r="H333" s="375" t="s">
        <v>868</v>
      </c>
      <c r="I333" s="375" t="s">
        <v>869</v>
      </c>
      <c r="J333" s="375">
        <v>310163.52523999999</v>
      </c>
      <c r="K333" s="375">
        <v>38942.742839999999</v>
      </c>
      <c r="L333" s="375">
        <v>36034.022080000002</v>
      </c>
      <c r="M333" s="375">
        <v>265622.34211000003</v>
      </c>
      <c r="N333" s="372">
        <v>1.2310000000000001</v>
      </c>
      <c r="O333" s="703">
        <v>3.0922339633875882</v>
      </c>
      <c r="P333" s="375" t="s">
        <v>623</v>
      </c>
      <c r="Q333" s="372" t="s">
        <v>623</v>
      </c>
      <c r="R333" s="695">
        <v>20150902</v>
      </c>
      <c r="S333" s="372" t="s">
        <v>2941</v>
      </c>
      <c r="T333" s="696">
        <v>0.23100000000000001</v>
      </c>
      <c r="U333" s="372" t="s">
        <v>2942</v>
      </c>
      <c r="V333" s="722">
        <v>18.75</v>
      </c>
      <c r="W333" s="722">
        <v>2.94</v>
      </c>
      <c r="X333" s="722">
        <v>2.38</v>
      </c>
      <c r="Y333" s="722">
        <v>25.49</v>
      </c>
      <c r="Z333" s="382" t="s">
        <v>934</v>
      </c>
      <c r="AA333" s="372">
        <v>1180.5734806999999</v>
      </c>
      <c r="AB333" s="372">
        <v>1327.3795130999999</v>
      </c>
      <c r="AC333" s="372">
        <v>1593.6240264999999</v>
      </c>
      <c r="AD333" s="372">
        <v>3101.6352523999999</v>
      </c>
      <c r="AE333" s="372">
        <v>4493</v>
      </c>
      <c r="AF333" s="372">
        <v>5909</v>
      </c>
      <c r="AG333" s="372">
        <v>0</v>
      </c>
      <c r="AH333" s="372">
        <v>0</v>
      </c>
    </row>
    <row r="334" spans="1:34">
      <c r="A334" s="372" t="s">
        <v>2943</v>
      </c>
      <c r="B334" s="373" t="s">
        <v>2944</v>
      </c>
      <c r="C334" s="372" t="s">
        <v>2945</v>
      </c>
      <c r="D334" s="374">
        <v>1101110017990</v>
      </c>
      <c r="E334" s="372" t="s">
        <v>2946</v>
      </c>
      <c r="F334" s="375" t="s">
        <v>900</v>
      </c>
      <c r="G334" s="375" t="s">
        <v>901</v>
      </c>
      <c r="H334" s="375" t="s">
        <v>862</v>
      </c>
      <c r="I334" s="375" t="s">
        <v>755</v>
      </c>
      <c r="J334" s="375">
        <v>1132002.8603999999</v>
      </c>
      <c r="K334" s="375">
        <v>76881.723079999996</v>
      </c>
      <c r="L334" s="375">
        <v>65733.730899999995</v>
      </c>
      <c r="M334" s="375">
        <v>1027309.30175</v>
      </c>
      <c r="N334" s="372">
        <v>0.63900000000000001</v>
      </c>
      <c r="O334" s="703">
        <v>100.17037353354259</v>
      </c>
      <c r="P334" s="375" t="s">
        <v>623</v>
      </c>
      <c r="Q334" s="375" t="s">
        <v>623</v>
      </c>
      <c r="R334" s="695">
        <v>19700210</v>
      </c>
      <c r="S334" s="375" t="s">
        <v>2947</v>
      </c>
      <c r="T334" s="696">
        <v>0.23100000000000001</v>
      </c>
      <c r="U334" s="375" t="s">
        <v>2948</v>
      </c>
      <c r="V334" s="722">
        <v>7.85</v>
      </c>
      <c r="W334" s="722">
        <v>0.63</v>
      </c>
      <c r="X334" s="722">
        <v>0.56999999999999995</v>
      </c>
      <c r="Y334" s="722">
        <v>11.06</v>
      </c>
      <c r="Z334" s="382">
        <v>3.9905111987707853E-2</v>
      </c>
      <c r="AA334" s="372">
        <v>7833.1566247000001</v>
      </c>
      <c r="AB334" s="372">
        <v>8819.4408402999998</v>
      </c>
      <c r="AC334" s="372">
        <v>10148.608979500001</v>
      </c>
      <c r="AD334" s="372">
        <v>11320.028603999999</v>
      </c>
      <c r="AE334" s="372">
        <v>12356.25</v>
      </c>
      <c r="AF334" s="372">
        <v>13372.5</v>
      </c>
      <c r="AG334" s="372">
        <v>13238</v>
      </c>
      <c r="AH334" s="372">
        <v>0</v>
      </c>
    </row>
    <row r="335" spans="1:34">
      <c r="A335" s="372" t="s">
        <v>2949</v>
      </c>
      <c r="B335" s="373" t="s">
        <v>2950</v>
      </c>
      <c r="C335" s="372" t="s">
        <v>2951</v>
      </c>
      <c r="D335" s="374">
        <v>1101111673220</v>
      </c>
      <c r="E335" s="372" t="s">
        <v>2951</v>
      </c>
      <c r="F335" s="375" t="s">
        <v>2952</v>
      </c>
      <c r="G335" s="375" t="s">
        <v>2953</v>
      </c>
      <c r="H335" s="375" t="s">
        <v>823</v>
      </c>
      <c r="I335" s="375" t="s">
        <v>755</v>
      </c>
      <c r="J335" s="375">
        <v>1545839.2431399999</v>
      </c>
      <c r="K335" s="375">
        <v>49065.796699999999</v>
      </c>
      <c r="L335" s="375">
        <v>-117502.06783</v>
      </c>
      <c r="M335" s="375">
        <v>261241.20045999999</v>
      </c>
      <c r="N335" s="372">
        <v>1.0960000000000001</v>
      </c>
      <c r="O335" s="703">
        <v>319.19555762306652</v>
      </c>
      <c r="P335" s="375" t="s">
        <v>623</v>
      </c>
      <c r="Q335" s="375" t="s">
        <v>623</v>
      </c>
      <c r="R335" s="695">
        <v>20041224</v>
      </c>
      <c r="S335" s="375" t="s">
        <v>2954</v>
      </c>
      <c r="T335" s="696" t="s">
        <v>772</v>
      </c>
      <c r="U335" s="375" t="s">
        <v>2955</v>
      </c>
      <c r="V335" s="722">
        <v>7.42</v>
      </c>
      <c r="W335" s="722">
        <v>1.68</v>
      </c>
      <c r="X335" s="722">
        <v>0.28999999999999998</v>
      </c>
      <c r="Y335" s="722" t="s">
        <v>774</v>
      </c>
      <c r="Z335" s="382">
        <v>0.10093886037318378</v>
      </c>
      <c r="AA335" s="372">
        <v>5834.4379247999996</v>
      </c>
      <c r="AB335" s="372">
        <v>7363.1536665000003</v>
      </c>
      <c r="AC335" s="372">
        <v>12731.918524500001</v>
      </c>
      <c r="AD335" s="372">
        <v>15458.3924314</v>
      </c>
      <c r="AE335" s="372">
        <v>18355.669999999998</v>
      </c>
      <c r="AF335" s="372">
        <v>21327</v>
      </c>
      <c r="AG335" s="372">
        <v>22710</v>
      </c>
      <c r="AH335" s="372">
        <v>0</v>
      </c>
    </row>
    <row r="336" spans="1:34">
      <c r="A336" s="372" t="s">
        <v>2956</v>
      </c>
      <c r="B336" s="373" t="s">
        <v>2957</v>
      </c>
      <c r="C336" s="372" t="s">
        <v>2958</v>
      </c>
      <c r="D336" s="374">
        <v>1243110031213</v>
      </c>
      <c r="E336" s="372" t="s">
        <v>2959</v>
      </c>
      <c r="F336" s="375" t="s">
        <v>2098</v>
      </c>
      <c r="G336" s="375" t="s">
        <v>2099</v>
      </c>
      <c r="H336" s="375" t="s">
        <v>1388</v>
      </c>
      <c r="I336" s="375" t="s">
        <v>869</v>
      </c>
      <c r="J336" s="375">
        <v>393785.73079</v>
      </c>
      <c r="K336" s="375">
        <v>15969.877850000001</v>
      </c>
      <c r="L336" s="375">
        <v>12619.45667</v>
      </c>
      <c r="M336" s="375">
        <v>218901.8334</v>
      </c>
      <c r="N336" s="372">
        <v>0.96</v>
      </c>
      <c r="O336" s="703">
        <v>11.590808369148402</v>
      </c>
      <c r="P336" s="375" t="s">
        <v>623</v>
      </c>
      <c r="Q336" s="372" t="s">
        <v>623</v>
      </c>
      <c r="R336" s="695">
        <v>20020719</v>
      </c>
      <c r="S336" s="372" t="s">
        <v>2960</v>
      </c>
      <c r="T336" s="696">
        <v>0.20900000000000002</v>
      </c>
      <c r="U336" s="372" t="s">
        <v>2961</v>
      </c>
      <c r="V336" s="722">
        <v>36.61</v>
      </c>
      <c r="W336" s="722">
        <v>3.65</v>
      </c>
      <c r="X336" s="722">
        <v>2.0299999999999998</v>
      </c>
      <c r="Y336" s="722">
        <v>72.61</v>
      </c>
      <c r="Z336" s="382">
        <v>7.8058936117544331E-2</v>
      </c>
      <c r="AA336" s="372">
        <v>3548.3250576</v>
      </c>
      <c r="AB336" s="372">
        <v>4163.3420644999997</v>
      </c>
      <c r="AC336" s="372">
        <v>4404.7641665000001</v>
      </c>
      <c r="AD336" s="372">
        <v>3937.8573078999998</v>
      </c>
      <c r="AE336" s="372">
        <v>4379.33</v>
      </c>
      <c r="AF336" s="372">
        <v>4931</v>
      </c>
      <c r="AG336" s="372">
        <v>5319</v>
      </c>
      <c r="AH336" s="372">
        <v>0</v>
      </c>
    </row>
    <row r="337" spans="1:34">
      <c r="A337" s="372" t="s">
        <v>2962</v>
      </c>
      <c r="B337" s="373" t="s">
        <v>2963</v>
      </c>
      <c r="C337" s="372" t="s">
        <v>2964</v>
      </c>
      <c r="D337" s="374">
        <v>2101110123944</v>
      </c>
      <c r="E337" s="372" t="s">
        <v>2965</v>
      </c>
      <c r="F337" s="375" t="s">
        <v>1313</v>
      </c>
      <c r="G337" s="375" t="s">
        <v>1313</v>
      </c>
      <c r="H337" s="375" t="s">
        <v>832</v>
      </c>
      <c r="I337" s="375" t="s">
        <v>755</v>
      </c>
      <c r="J337" s="375">
        <v>437672.91832</v>
      </c>
      <c r="K337" s="375">
        <v>22527.16245</v>
      </c>
      <c r="L337" s="375">
        <v>27013.037840000001</v>
      </c>
      <c r="M337" s="375">
        <v>373055.94705999998</v>
      </c>
      <c r="N337" s="372">
        <v>0.214</v>
      </c>
      <c r="O337" s="703">
        <v>4.8420477133884923</v>
      </c>
      <c r="P337" s="375" t="s">
        <v>623</v>
      </c>
      <c r="Q337" s="372" t="s">
        <v>623</v>
      </c>
      <c r="R337" s="695">
        <v>20170522</v>
      </c>
      <c r="S337" s="372" t="s">
        <v>2966</v>
      </c>
      <c r="T337" s="696">
        <v>0.23100000000000001</v>
      </c>
      <c r="U337" s="372" t="s">
        <v>2967</v>
      </c>
      <c r="V337" s="722">
        <v>13.54</v>
      </c>
      <c r="W337" s="722">
        <v>1.79</v>
      </c>
      <c r="X337" s="722">
        <v>1.59</v>
      </c>
      <c r="Y337" s="722">
        <v>37.33</v>
      </c>
      <c r="Z337" s="382" t="s">
        <v>934</v>
      </c>
      <c r="AA337" s="372">
        <v>3719.8956145000002</v>
      </c>
      <c r="AB337" s="372">
        <v>5313.4305273999998</v>
      </c>
      <c r="AC337" s="372">
        <v>6116.4982417000001</v>
      </c>
      <c r="AD337" s="372">
        <v>4376.7291832000001</v>
      </c>
      <c r="AE337" s="372">
        <v>0</v>
      </c>
      <c r="AF337" s="372">
        <v>0</v>
      </c>
      <c r="AG337" s="372">
        <v>0</v>
      </c>
      <c r="AH337" s="372">
        <v>0</v>
      </c>
    </row>
    <row r="338" spans="1:34">
      <c r="A338" s="372" t="s">
        <v>2968</v>
      </c>
      <c r="B338" s="373" t="s">
        <v>2969</v>
      </c>
      <c r="C338" s="372" t="s">
        <v>2970</v>
      </c>
      <c r="D338" s="374">
        <v>1101112551996</v>
      </c>
      <c r="E338" s="372" t="s">
        <v>2971</v>
      </c>
      <c r="F338" s="372" t="s">
        <v>1814</v>
      </c>
      <c r="G338" s="375" t="s">
        <v>2821</v>
      </c>
      <c r="H338" s="375" t="s">
        <v>1693</v>
      </c>
      <c r="I338" s="375" t="s">
        <v>869</v>
      </c>
      <c r="J338" s="375">
        <v>460268.46175999998</v>
      </c>
      <c r="K338" s="375">
        <v>36489.480369999997</v>
      </c>
      <c r="L338" s="375">
        <v>16617.256969999999</v>
      </c>
      <c r="M338" s="375">
        <v>582922.75378000003</v>
      </c>
      <c r="N338" s="372">
        <v>1.085</v>
      </c>
      <c r="O338" s="703">
        <v>29.272905432029127</v>
      </c>
      <c r="P338" s="375" t="s">
        <v>623</v>
      </c>
      <c r="Q338" s="372" t="s">
        <v>623</v>
      </c>
      <c r="R338" s="695">
        <v>20110124</v>
      </c>
      <c r="S338" s="372" t="s">
        <v>2972</v>
      </c>
      <c r="T338" s="696">
        <v>0.20900000000000002</v>
      </c>
      <c r="U338" s="372" t="s">
        <v>2973</v>
      </c>
      <c r="V338" s="722">
        <v>12.31</v>
      </c>
      <c r="W338" s="722">
        <v>1.1499999999999999</v>
      </c>
      <c r="X338" s="722">
        <v>1.57</v>
      </c>
      <c r="Y338" s="722">
        <v>433.54</v>
      </c>
      <c r="Z338" s="382" t="s">
        <v>934</v>
      </c>
      <c r="AA338" s="372">
        <v>2319.5634789999999</v>
      </c>
      <c r="AB338" s="372">
        <v>3394.5084256999999</v>
      </c>
      <c r="AC338" s="372">
        <v>4526.1536886000004</v>
      </c>
      <c r="AD338" s="372">
        <v>4602.6846175999999</v>
      </c>
      <c r="AE338" s="372">
        <v>4570</v>
      </c>
      <c r="AF338" s="372">
        <v>4700</v>
      </c>
      <c r="AG338" s="372">
        <v>0</v>
      </c>
      <c r="AH338" s="372">
        <v>0</v>
      </c>
    </row>
    <row r="339" spans="1:34">
      <c r="A339" s="372" t="s">
        <v>2974</v>
      </c>
      <c r="B339" s="373" t="s">
        <v>2975</v>
      </c>
      <c r="C339" s="372" t="s">
        <v>2976</v>
      </c>
      <c r="D339" s="374">
        <v>1346110062393</v>
      </c>
      <c r="E339" s="372" t="s">
        <v>2977</v>
      </c>
      <c r="F339" s="375" t="s">
        <v>1195</v>
      </c>
      <c r="G339" s="375" t="s">
        <v>1196</v>
      </c>
      <c r="H339" s="375" t="s">
        <v>1388</v>
      </c>
      <c r="I339" s="375" t="s">
        <v>869</v>
      </c>
      <c r="J339" s="375">
        <v>307266.89692000003</v>
      </c>
      <c r="K339" s="375">
        <v>33028.446750000003</v>
      </c>
      <c r="L339" s="375">
        <v>52376.466260000001</v>
      </c>
      <c r="M339" s="375">
        <v>287980.19708999997</v>
      </c>
      <c r="N339" s="372">
        <v>1.153</v>
      </c>
      <c r="O339" s="703">
        <v>23.162834193690106</v>
      </c>
      <c r="P339" s="375" t="s">
        <v>623</v>
      </c>
      <c r="Q339" s="372" t="s">
        <v>623</v>
      </c>
      <c r="R339" s="695">
        <v>20170323</v>
      </c>
      <c r="S339" s="375" t="s">
        <v>2978</v>
      </c>
      <c r="T339" s="696">
        <v>0.23100000000000001</v>
      </c>
      <c r="U339" s="375" t="s">
        <v>2979</v>
      </c>
      <c r="V339" s="722">
        <v>11.55</v>
      </c>
      <c r="W339" s="722">
        <v>3.17</v>
      </c>
      <c r="X339" s="722">
        <v>2.16</v>
      </c>
      <c r="Y339" s="722">
        <v>21.01</v>
      </c>
      <c r="Z339" s="382">
        <v>0.17213613510322046</v>
      </c>
      <c r="AA339" s="372">
        <v>2008.2835006</v>
      </c>
      <c r="AB339" s="372">
        <v>2570.4193005000002</v>
      </c>
      <c r="AC339" s="372">
        <v>2883.7600397000001</v>
      </c>
      <c r="AD339" s="372">
        <v>3072.6689692</v>
      </c>
      <c r="AE339" s="372">
        <v>4722</v>
      </c>
      <c r="AF339" s="372">
        <v>5652</v>
      </c>
      <c r="AG339" s="372">
        <v>5800</v>
      </c>
      <c r="AH339" s="372">
        <v>0</v>
      </c>
    </row>
    <row r="340" spans="1:34">
      <c r="A340" s="372" t="s">
        <v>2980</v>
      </c>
      <c r="B340" s="373" t="s">
        <v>2981</v>
      </c>
      <c r="C340" s="372" t="s">
        <v>2982</v>
      </c>
      <c r="D340" s="374">
        <v>1601110032542</v>
      </c>
      <c r="E340" s="372" t="s">
        <v>2983</v>
      </c>
      <c r="F340" s="375" t="s">
        <v>1062</v>
      </c>
      <c r="G340" s="375" t="s">
        <v>1062</v>
      </c>
      <c r="H340" s="375" t="s">
        <v>868</v>
      </c>
      <c r="I340" s="375" t="s">
        <v>869</v>
      </c>
      <c r="J340" s="375">
        <v>263236.80262999999</v>
      </c>
      <c r="K340" s="375">
        <v>791.75283000000002</v>
      </c>
      <c r="L340" s="375">
        <v>-66.999049999999997</v>
      </c>
      <c r="M340" s="375">
        <v>234876.81508</v>
      </c>
      <c r="N340" s="372">
        <v>1.18</v>
      </c>
      <c r="O340" s="703">
        <v>5.689268389006866</v>
      </c>
      <c r="P340" s="375" t="s">
        <v>623</v>
      </c>
      <c r="Q340" s="372" t="s">
        <v>623</v>
      </c>
      <c r="R340" s="695">
        <v>20051229</v>
      </c>
      <c r="S340" s="372" t="s">
        <v>2984</v>
      </c>
      <c r="T340" s="696" t="s">
        <v>772</v>
      </c>
      <c r="U340" s="372" t="s">
        <v>2985</v>
      </c>
      <c r="V340" s="722">
        <v>89.33</v>
      </c>
      <c r="W340" s="722">
        <v>3.84</v>
      </c>
      <c r="X340" s="722">
        <v>3.27</v>
      </c>
      <c r="Y340" s="722" t="s">
        <v>774</v>
      </c>
      <c r="Z340" s="382" t="s">
        <v>934</v>
      </c>
      <c r="AA340" s="372">
        <v>2069.8746464000001</v>
      </c>
      <c r="AB340" s="372">
        <v>2237.4369406000001</v>
      </c>
      <c r="AC340" s="372">
        <v>2183.9445323999998</v>
      </c>
      <c r="AD340" s="372">
        <v>2632.3680263000001</v>
      </c>
      <c r="AE340" s="372">
        <v>3286</v>
      </c>
      <c r="AF340" s="372">
        <v>4205</v>
      </c>
      <c r="AG340" s="372">
        <v>0</v>
      </c>
      <c r="AH340" s="372">
        <v>0</v>
      </c>
    </row>
    <row r="341" spans="1:34">
      <c r="A341" s="372" t="s">
        <v>2986</v>
      </c>
      <c r="B341" s="373" t="s">
        <v>2987</v>
      </c>
      <c r="C341" s="372" t="s">
        <v>2988</v>
      </c>
      <c r="D341" s="374">
        <v>1101116585826</v>
      </c>
      <c r="E341" s="372" t="s">
        <v>2989</v>
      </c>
      <c r="F341" s="372" t="s">
        <v>1768</v>
      </c>
      <c r="G341" s="375" t="s">
        <v>1768</v>
      </c>
      <c r="H341" s="375" t="s">
        <v>868</v>
      </c>
      <c r="I341" s="375" t="s">
        <v>869</v>
      </c>
      <c r="J341" s="375">
        <v>143029.55290000001</v>
      </c>
      <c r="K341" s="375">
        <v>36313.752059999999</v>
      </c>
      <c r="L341" s="375">
        <v>35498.347309999997</v>
      </c>
      <c r="M341" s="375">
        <v>96249.505959999995</v>
      </c>
      <c r="N341" s="372">
        <v>0.48899999999999999</v>
      </c>
      <c r="O341" s="703">
        <v>3.5495920872638651</v>
      </c>
      <c r="P341" s="375" t="s">
        <v>623</v>
      </c>
      <c r="Q341" s="372" t="s">
        <v>623</v>
      </c>
      <c r="R341" s="695">
        <v>20180508</v>
      </c>
      <c r="S341" s="372" t="s">
        <v>1769</v>
      </c>
      <c r="T341" s="696">
        <v>0.23100000000000001</v>
      </c>
      <c r="U341" s="372" t="s">
        <v>2990</v>
      </c>
      <c r="V341" s="722">
        <v>19.8</v>
      </c>
      <c r="W341" s="722">
        <v>7.62</v>
      </c>
      <c r="X341" s="722">
        <v>5.54</v>
      </c>
      <c r="Y341" s="722">
        <v>31.94</v>
      </c>
      <c r="Z341" s="382">
        <v>0.17532389839587381</v>
      </c>
      <c r="AA341" s="372">
        <v>478.28639029999999</v>
      </c>
      <c r="AB341" s="372">
        <v>812.95998520000001</v>
      </c>
      <c r="AC341" s="372">
        <v>1165.4955969</v>
      </c>
      <c r="AD341" s="372">
        <v>1430.295529</v>
      </c>
      <c r="AE341" s="372">
        <v>1870.03</v>
      </c>
      <c r="AF341" s="372">
        <v>2265.8000000000002</v>
      </c>
      <c r="AG341" s="372">
        <v>2729.33</v>
      </c>
      <c r="AH341" s="372">
        <v>2720</v>
      </c>
    </row>
    <row r="342" spans="1:34">
      <c r="A342" s="372" t="s">
        <v>2991</v>
      </c>
      <c r="B342" s="373" t="s">
        <v>2992</v>
      </c>
      <c r="C342" s="372" t="s">
        <v>2993</v>
      </c>
      <c r="D342" s="374">
        <v>1801110348945</v>
      </c>
      <c r="E342" s="372" t="s">
        <v>2994</v>
      </c>
      <c r="F342" s="372" t="s">
        <v>1285</v>
      </c>
      <c r="G342" s="375" t="s">
        <v>1285</v>
      </c>
      <c r="H342" s="375" t="s">
        <v>1388</v>
      </c>
      <c r="I342" s="375" t="s">
        <v>869</v>
      </c>
      <c r="J342" s="375">
        <v>263450.79440999997</v>
      </c>
      <c r="K342" s="375">
        <v>-14598.65994</v>
      </c>
      <c r="L342" s="375">
        <v>-15120.06691</v>
      </c>
      <c r="M342" s="375">
        <v>247640.12745</v>
      </c>
      <c r="N342" s="372">
        <v>0.82099999999999995</v>
      </c>
      <c r="O342" s="703">
        <v>22.865511320809855</v>
      </c>
      <c r="P342" s="375" t="s">
        <v>623</v>
      </c>
      <c r="Q342" s="375" t="s">
        <v>623</v>
      </c>
      <c r="R342" s="695">
        <v>20070502</v>
      </c>
      <c r="S342" s="375" t="s">
        <v>2995</v>
      </c>
      <c r="T342" s="696" t="s">
        <v>772</v>
      </c>
      <c r="U342" s="375" t="s">
        <v>2996</v>
      </c>
      <c r="V342" s="722">
        <v>83.15</v>
      </c>
      <c r="W342" s="722">
        <v>2.94</v>
      </c>
      <c r="X342" s="722">
        <v>2.82</v>
      </c>
      <c r="Y342" s="722" t="s">
        <v>774</v>
      </c>
      <c r="Z342" s="382" t="s">
        <v>934</v>
      </c>
      <c r="AA342" s="372">
        <v>2829.3399853000001</v>
      </c>
      <c r="AB342" s="372">
        <v>4002.2688908999999</v>
      </c>
      <c r="AC342" s="372">
        <v>4158.2723187000001</v>
      </c>
      <c r="AD342" s="372">
        <v>2634.5079440999998</v>
      </c>
      <c r="AE342" s="372">
        <v>5592</v>
      </c>
      <c r="AF342" s="372">
        <v>0</v>
      </c>
      <c r="AG342" s="372">
        <v>0</v>
      </c>
      <c r="AH342" s="372">
        <v>0</v>
      </c>
    </row>
    <row r="343" spans="1:34">
      <c r="A343" s="372" t="s">
        <v>2997</v>
      </c>
      <c r="B343" s="373" t="s">
        <v>2998</v>
      </c>
      <c r="C343" s="372" t="s">
        <v>2999</v>
      </c>
      <c r="D343" s="374">
        <v>1101110008212</v>
      </c>
      <c r="E343" s="372" t="s">
        <v>3000</v>
      </c>
      <c r="F343" s="372" t="s">
        <v>914</v>
      </c>
      <c r="G343" s="375" t="s">
        <v>915</v>
      </c>
      <c r="H343" s="375" t="s">
        <v>916</v>
      </c>
      <c r="I343" s="375" t="s">
        <v>755</v>
      </c>
      <c r="J343" s="375">
        <v>1397365.3918699999</v>
      </c>
      <c r="K343" s="375">
        <v>249957.27056</v>
      </c>
      <c r="L343" s="375">
        <v>59997.327420000001</v>
      </c>
      <c r="M343" s="375">
        <v>1846814.65414</v>
      </c>
      <c r="N343" s="372">
        <v>0.73699999999999999</v>
      </c>
      <c r="O343" s="703">
        <v>434.06469853171996</v>
      </c>
      <c r="P343" s="375" t="s">
        <v>623</v>
      </c>
      <c r="Q343" s="375" t="s">
        <v>623</v>
      </c>
      <c r="R343" s="695">
        <v>19920423</v>
      </c>
      <c r="S343" s="375" t="s">
        <v>3001</v>
      </c>
      <c r="T343" s="696">
        <v>0.23100000000000001</v>
      </c>
      <c r="U343" s="375" t="s">
        <v>3002</v>
      </c>
      <c r="V343" s="722">
        <v>7.7</v>
      </c>
      <c r="W343" s="722">
        <v>0.42</v>
      </c>
      <c r="X343" s="722">
        <v>0.49</v>
      </c>
      <c r="Y343" s="722">
        <v>10.07</v>
      </c>
      <c r="Z343" s="382">
        <v>3.1837479096719079E-2</v>
      </c>
      <c r="AA343" s="372">
        <v>8840.7826934000004</v>
      </c>
      <c r="AB343" s="372">
        <v>11538.430594400001</v>
      </c>
      <c r="AC343" s="372">
        <v>16120.1446418</v>
      </c>
      <c r="AD343" s="372">
        <v>13973.6539187</v>
      </c>
      <c r="AE343" s="372">
        <v>14704.5</v>
      </c>
      <c r="AF343" s="372">
        <v>14509</v>
      </c>
      <c r="AG343" s="372">
        <v>15840</v>
      </c>
      <c r="AH343" s="372">
        <v>0</v>
      </c>
    </row>
    <row r="344" spans="1:34">
      <c r="A344" s="372" t="s">
        <v>3003</v>
      </c>
      <c r="B344" s="373" t="s">
        <v>3004</v>
      </c>
      <c r="C344" s="372" t="s">
        <v>3005</v>
      </c>
      <c r="D344" s="374">
        <v>1501110005955</v>
      </c>
      <c r="E344" s="372" t="s">
        <v>3006</v>
      </c>
      <c r="F344" s="375" t="s">
        <v>1286</v>
      </c>
      <c r="G344" s="375" t="s">
        <v>3007</v>
      </c>
      <c r="H344" s="375" t="s">
        <v>754</v>
      </c>
      <c r="I344" s="375" t="s">
        <v>755</v>
      </c>
      <c r="J344" s="375">
        <v>503330.31458000001</v>
      </c>
      <c r="K344" s="375">
        <v>-16355.71221</v>
      </c>
      <c r="L344" s="375">
        <v>-28985.379250000002</v>
      </c>
      <c r="M344" s="375">
        <v>379749.97755000001</v>
      </c>
      <c r="N344" s="372">
        <v>1.042</v>
      </c>
      <c r="O344" s="703">
        <v>41.955558845627053</v>
      </c>
      <c r="P344" s="375" t="s">
        <v>623</v>
      </c>
      <c r="Q344" s="375" t="s">
        <v>623</v>
      </c>
      <c r="R344" s="695">
        <v>19990106</v>
      </c>
      <c r="S344" s="375" t="s">
        <v>3008</v>
      </c>
      <c r="T344" s="696" t="s">
        <v>772</v>
      </c>
      <c r="U344" s="375" t="s">
        <v>3009</v>
      </c>
      <c r="V344" s="722">
        <v>29.63</v>
      </c>
      <c r="W344" s="722">
        <v>1.62</v>
      </c>
      <c r="X344" s="722">
        <v>1.25</v>
      </c>
      <c r="Y344" s="722" t="s">
        <v>774</v>
      </c>
      <c r="Z344" s="382">
        <v>0.17762106972142377</v>
      </c>
      <c r="AA344" s="372">
        <v>3006.8681410999998</v>
      </c>
      <c r="AB344" s="372">
        <v>3478.5451087000001</v>
      </c>
      <c r="AC344" s="372">
        <v>2923.3349122</v>
      </c>
      <c r="AD344" s="372">
        <v>5033.3031457999996</v>
      </c>
      <c r="AE344" s="372">
        <v>8651</v>
      </c>
      <c r="AF344" s="372">
        <v>9665</v>
      </c>
      <c r="AG344" s="372">
        <v>9680</v>
      </c>
      <c r="AH344" s="372">
        <v>0</v>
      </c>
    </row>
    <row r="345" spans="1:34">
      <c r="A345" s="372" t="s">
        <v>3010</v>
      </c>
      <c r="B345" s="373" t="s">
        <v>3011</v>
      </c>
      <c r="C345" s="372" t="s">
        <v>3012</v>
      </c>
      <c r="D345" s="374">
        <v>1101111334583</v>
      </c>
      <c r="E345" s="372" t="s">
        <v>3013</v>
      </c>
      <c r="F345" s="372" t="s">
        <v>1285</v>
      </c>
      <c r="G345" s="375" t="s">
        <v>1285</v>
      </c>
      <c r="H345" s="375" t="s">
        <v>868</v>
      </c>
      <c r="I345" s="375" t="s">
        <v>869</v>
      </c>
      <c r="J345" s="375">
        <v>323436.93265999999</v>
      </c>
      <c r="K345" s="375">
        <v>28538.516080000001</v>
      </c>
      <c r="L345" s="375">
        <v>20754.355899999999</v>
      </c>
      <c r="M345" s="375">
        <v>355114.04388000001</v>
      </c>
      <c r="N345" s="372">
        <v>0.58699999999999997</v>
      </c>
      <c r="O345" s="703">
        <v>15.513781411580299</v>
      </c>
      <c r="P345" s="375" t="s">
        <v>623</v>
      </c>
      <c r="Q345" s="375" t="s">
        <v>623</v>
      </c>
      <c r="R345" s="695">
        <v>20200304</v>
      </c>
      <c r="S345" s="375" t="s">
        <v>3014</v>
      </c>
      <c r="T345" s="696">
        <v>0.23100000000000001</v>
      </c>
      <c r="U345" s="375" t="s">
        <v>3015</v>
      </c>
      <c r="V345" s="722">
        <v>10.31</v>
      </c>
      <c r="W345" s="722">
        <v>1.9</v>
      </c>
      <c r="X345" s="722">
        <v>2.15</v>
      </c>
      <c r="Y345" s="722">
        <v>39.18</v>
      </c>
      <c r="Z345" s="382">
        <v>0.22041650919308808</v>
      </c>
      <c r="AA345" s="372">
        <v>3477.7292040000002</v>
      </c>
      <c r="AB345" s="372">
        <v>2025.9505053</v>
      </c>
      <c r="AC345" s="372">
        <v>1613.2517210000001</v>
      </c>
      <c r="AD345" s="372">
        <v>3234.3693266</v>
      </c>
      <c r="AE345" s="372">
        <v>5506</v>
      </c>
      <c r="AF345" s="372">
        <v>6316</v>
      </c>
      <c r="AG345" s="372">
        <v>7175</v>
      </c>
      <c r="AH345" s="372">
        <v>0</v>
      </c>
    </row>
    <row r="346" spans="1:34">
      <c r="A346" s="372" t="s">
        <v>3016</v>
      </c>
      <c r="B346" s="373" t="s">
        <v>3017</v>
      </c>
      <c r="C346" s="372" t="s">
        <v>3018</v>
      </c>
      <c r="D346" s="374">
        <v>1801110042612</v>
      </c>
      <c r="E346" s="372" t="s">
        <v>3019</v>
      </c>
      <c r="F346" s="372" t="s">
        <v>3020</v>
      </c>
      <c r="G346" s="375" t="s">
        <v>3020</v>
      </c>
      <c r="H346" s="375" t="s">
        <v>868</v>
      </c>
      <c r="I346" s="375" t="s">
        <v>869</v>
      </c>
      <c r="J346" s="375">
        <v>4321987.3086299999</v>
      </c>
      <c r="K346" s="375">
        <v>256728.65916000001</v>
      </c>
      <c r="L346" s="375">
        <v>218685.62208999999</v>
      </c>
      <c r="M346" s="375">
        <v>1644843.2003899999</v>
      </c>
      <c r="N346" s="372">
        <v>1.3080000000000001</v>
      </c>
      <c r="O346" s="703">
        <v>206.79538284924666</v>
      </c>
      <c r="P346" s="375" t="s">
        <v>623</v>
      </c>
      <c r="Q346" s="372" t="s">
        <v>623</v>
      </c>
      <c r="R346" s="695">
        <v>19951028</v>
      </c>
      <c r="S346" s="372" t="s">
        <v>3021</v>
      </c>
      <c r="T346" s="696">
        <v>0.23100000000000001</v>
      </c>
      <c r="U346" s="372" t="s">
        <v>3022</v>
      </c>
      <c r="V346" s="722">
        <v>4.71</v>
      </c>
      <c r="W346" s="722">
        <v>0.56999999999999995</v>
      </c>
      <c r="X346" s="722">
        <v>0.18</v>
      </c>
      <c r="Y346" s="722">
        <v>4.46</v>
      </c>
      <c r="Z346" s="382" t="s">
        <v>934</v>
      </c>
      <c r="AA346" s="372">
        <v>29703.323479800001</v>
      </c>
      <c r="AB346" s="372">
        <v>33485.899180499997</v>
      </c>
      <c r="AC346" s="372">
        <v>39767.845410399997</v>
      </c>
      <c r="AD346" s="372">
        <v>43219.873086300002</v>
      </c>
      <c r="AE346" s="372">
        <v>50070</v>
      </c>
      <c r="AF346" s="372">
        <v>61010</v>
      </c>
      <c r="AG346" s="372">
        <v>0</v>
      </c>
      <c r="AH346" s="372">
        <v>0</v>
      </c>
    </row>
    <row r="347" spans="1:34">
      <c r="A347" s="372" t="s">
        <v>3023</v>
      </c>
      <c r="B347" s="373" t="s">
        <v>3024</v>
      </c>
      <c r="C347" s="372" t="s">
        <v>3025</v>
      </c>
      <c r="D347" s="374">
        <v>1101110725064</v>
      </c>
      <c r="E347" s="372" t="s">
        <v>3026</v>
      </c>
      <c r="F347" s="375" t="s">
        <v>1381</v>
      </c>
      <c r="G347" s="375" t="s">
        <v>1381</v>
      </c>
      <c r="H347" s="375" t="s">
        <v>1693</v>
      </c>
      <c r="I347" s="375" t="s">
        <v>869</v>
      </c>
      <c r="J347" s="375">
        <v>271099.77234000002</v>
      </c>
      <c r="K347" s="375">
        <v>34150.052680000001</v>
      </c>
      <c r="L347" s="375">
        <v>-20845.37903</v>
      </c>
      <c r="M347" s="375">
        <v>470580.01799000002</v>
      </c>
      <c r="N347" s="372">
        <v>0.75700000000000001</v>
      </c>
      <c r="O347" s="703">
        <v>4.0340177184322785</v>
      </c>
      <c r="P347" s="375" t="s">
        <v>623</v>
      </c>
      <c r="Q347" s="375" t="s">
        <v>623</v>
      </c>
      <c r="R347" s="695">
        <v>19960924</v>
      </c>
      <c r="S347" s="375" t="s">
        <v>3027</v>
      </c>
      <c r="T347" s="696" t="s">
        <v>772</v>
      </c>
      <c r="U347" s="375" t="s">
        <v>3028</v>
      </c>
      <c r="V347" s="722">
        <v>8.25</v>
      </c>
      <c r="W347" s="722">
        <v>1.02</v>
      </c>
      <c r="X347" s="722">
        <v>1.31</v>
      </c>
      <c r="Y347" s="722">
        <v>23.64</v>
      </c>
      <c r="Z347" s="382">
        <v>6.0211145432459423E-2</v>
      </c>
      <c r="AA347" s="372">
        <v>4013.6851388999999</v>
      </c>
      <c r="AB347" s="372">
        <v>2417.2978632999998</v>
      </c>
      <c r="AC347" s="372">
        <v>2420.0840269</v>
      </c>
      <c r="AD347" s="372">
        <v>2710.9977233999998</v>
      </c>
      <c r="AE347" s="372">
        <v>2913.18</v>
      </c>
      <c r="AF347" s="372">
        <v>3136.17</v>
      </c>
      <c r="AG347" s="372">
        <v>3425.3</v>
      </c>
      <c r="AH347" s="372">
        <v>0</v>
      </c>
    </row>
    <row r="348" spans="1:34">
      <c r="A348" s="372" t="s">
        <v>3029</v>
      </c>
      <c r="B348" s="373" t="s">
        <v>3030</v>
      </c>
      <c r="C348" s="372" t="s">
        <v>3031</v>
      </c>
      <c r="D348" s="374">
        <v>1347110004377</v>
      </c>
      <c r="E348" s="372" t="s">
        <v>3032</v>
      </c>
      <c r="F348" s="375" t="s">
        <v>1195</v>
      </c>
      <c r="G348" s="375" t="s">
        <v>1196</v>
      </c>
      <c r="H348" s="375" t="s">
        <v>1388</v>
      </c>
      <c r="I348" s="375" t="s">
        <v>869</v>
      </c>
      <c r="J348" s="375">
        <v>94716.683940000003</v>
      </c>
      <c r="K348" s="375">
        <v>26970.755130000001</v>
      </c>
      <c r="L348" s="375">
        <v>48926.224600000001</v>
      </c>
      <c r="M348" s="375">
        <v>341312.40445999999</v>
      </c>
      <c r="N348" s="372">
        <v>1</v>
      </c>
      <c r="O348" s="703">
        <v>1.9677143642117838</v>
      </c>
      <c r="P348" s="375" t="s">
        <v>623</v>
      </c>
      <c r="Q348" s="375" t="s">
        <v>623</v>
      </c>
      <c r="R348" s="695">
        <v>19970107</v>
      </c>
      <c r="S348" s="375" t="s">
        <v>3033</v>
      </c>
      <c r="T348" s="696">
        <v>0.23100000000000001</v>
      </c>
      <c r="U348" s="372" t="s">
        <v>3034</v>
      </c>
      <c r="V348" s="722">
        <v>18.38</v>
      </c>
      <c r="W348" s="722">
        <v>1.7</v>
      </c>
      <c r="X348" s="722">
        <v>6.14</v>
      </c>
      <c r="Y348" s="722">
        <v>13.61</v>
      </c>
      <c r="Z348" s="382" t="s">
        <v>934</v>
      </c>
      <c r="AA348" s="372">
        <v>397.7430956</v>
      </c>
      <c r="AB348" s="372">
        <v>816.23934750000001</v>
      </c>
      <c r="AC348" s="372">
        <v>727.90993360000004</v>
      </c>
      <c r="AD348" s="372">
        <v>947.16683939999996</v>
      </c>
      <c r="AE348" s="372">
        <v>1349.5</v>
      </c>
      <c r="AF348" s="372">
        <v>1768</v>
      </c>
      <c r="AG348" s="372">
        <v>0</v>
      </c>
      <c r="AH348" s="372">
        <v>0</v>
      </c>
    </row>
    <row r="349" spans="1:34">
      <c r="A349" s="372" t="s">
        <v>3035</v>
      </c>
      <c r="B349" s="373" t="s">
        <v>3036</v>
      </c>
      <c r="C349" s="372" t="s">
        <v>3037</v>
      </c>
      <c r="D349" s="374">
        <v>1244110019788</v>
      </c>
      <c r="E349" s="372" t="s">
        <v>3038</v>
      </c>
      <c r="F349" s="375" t="s">
        <v>3039</v>
      </c>
      <c r="G349" s="375" t="s">
        <v>3039</v>
      </c>
      <c r="H349" s="375" t="s">
        <v>1348</v>
      </c>
      <c r="I349" s="375" t="s">
        <v>869</v>
      </c>
      <c r="J349" s="375">
        <v>114493.96296</v>
      </c>
      <c r="K349" s="375">
        <v>12022.84015</v>
      </c>
      <c r="L349" s="375">
        <v>12843.663479999999</v>
      </c>
      <c r="M349" s="375">
        <v>134666.03320999999</v>
      </c>
      <c r="N349" s="372" t="s">
        <v>1033</v>
      </c>
      <c r="O349" s="703">
        <v>3.9853802664648876</v>
      </c>
      <c r="P349" s="375" t="s">
        <v>623</v>
      </c>
      <c r="Q349" s="375" t="s">
        <v>623</v>
      </c>
      <c r="R349" s="695">
        <v>20230216</v>
      </c>
      <c r="S349" s="375" t="s">
        <v>3040</v>
      </c>
      <c r="T349" s="696">
        <v>0.20900000000000002</v>
      </c>
      <c r="U349" s="375" t="s">
        <v>3041</v>
      </c>
      <c r="V349" s="722">
        <v>0</v>
      </c>
      <c r="W349" s="722">
        <v>6.4</v>
      </c>
      <c r="X349" s="722">
        <v>0</v>
      </c>
      <c r="Y349" s="722">
        <v>0</v>
      </c>
      <c r="Z349" s="382" t="s">
        <v>934</v>
      </c>
      <c r="AA349" s="372">
        <v>471.41310390000001</v>
      </c>
      <c r="AB349" s="372">
        <v>787.02796769999998</v>
      </c>
      <c r="AC349" s="372">
        <v>676.55302329999995</v>
      </c>
      <c r="AD349" s="372">
        <v>1144.9396296</v>
      </c>
      <c r="AE349" s="372">
        <v>0</v>
      </c>
      <c r="AF349" s="372">
        <v>0</v>
      </c>
      <c r="AG349" s="372">
        <v>0</v>
      </c>
      <c r="AH349" s="372">
        <v>0</v>
      </c>
    </row>
    <row r="350" spans="1:34">
      <c r="A350" s="372" t="s">
        <v>3042</v>
      </c>
      <c r="B350" s="373" t="s">
        <v>3043</v>
      </c>
      <c r="C350" s="372" t="s">
        <v>3044</v>
      </c>
      <c r="D350" s="374">
        <v>1350110087483</v>
      </c>
      <c r="E350" s="372" t="s">
        <v>3045</v>
      </c>
      <c r="F350" s="375" t="s">
        <v>1005</v>
      </c>
      <c r="G350" s="375" t="s">
        <v>1006</v>
      </c>
      <c r="H350" s="375" t="s">
        <v>754</v>
      </c>
      <c r="I350" s="375" t="s">
        <v>755</v>
      </c>
      <c r="J350" s="375">
        <v>1591992.2507</v>
      </c>
      <c r="K350" s="375">
        <v>84792.055689999994</v>
      </c>
      <c r="L350" s="375">
        <v>97147.457590000005</v>
      </c>
      <c r="M350" s="375">
        <v>650561.02191999997</v>
      </c>
      <c r="N350" s="372">
        <v>0.86</v>
      </c>
      <c r="O350" s="703">
        <v>36.415960519506761</v>
      </c>
      <c r="P350" s="375" t="s">
        <v>623</v>
      </c>
      <c r="Q350" s="375" t="s">
        <v>623</v>
      </c>
      <c r="R350" s="695">
        <v>20070126</v>
      </c>
      <c r="S350" s="375" t="s">
        <v>3046</v>
      </c>
      <c r="T350" s="696">
        <v>0.23100000000000001</v>
      </c>
      <c r="U350" s="375" t="s">
        <v>3047</v>
      </c>
      <c r="V350" s="722">
        <v>5.81</v>
      </c>
      <c r="W350" s="722">
        <v>1.05</v>
      </c>
      <c r="X350" s="722">
        <v>0.46</v>
      </c>
      <c r="Y350" s="722">
        <v>8.0399999999999991</v>
      </c>
      <c r="Z350" s="382">
        <v>5.5003979395582769E-2</v>
      </c>
      <c r="AA350" s="372">
        <v>7213.5819718000002</v>
      </c>
      <c r="AB350" s="372">
        <v>10369.626569100001</v>
      </c>
      <c r="AC350" s="372">
        <v>16810.539197599999</v>
      </c>
      <c r="AD350" s="372">
        <v>15919.922506999999</v>
      </c>
      <c r="AE350" s="372">
        <v>17236.830000000002</v>
      </c>
      <c r="AF350" s="372">
        <v>18664.080000000002</v>
      </c>
      <c r="AG350" s="372">
        <v>19722.29</v>
      </c>
      <c r="AH350" s="372">
        <v>0</v>
      </c>
    </row>
    <row r="351" spans="1:34">
      <c r="A351" s="372" t="s">
        <v>3048</v>
      </c>
      <c r="B351" s="373" t="s">
        <v>3049</v>
      </c>
      <c r="C351" s="372" t="s">
        <v>3050</v>
      </c>
      <c r="D351" s="374">
        <v>1345110172532</v>
      </c>
      <c r="E351" s="372" t="s">
        <v>3051</v>
      </c>
      <c r="F351" s="375" t="s">
        <v>2742</v>
      </c>
      <c r="G351" s="375" t="s">
        <v>3052</v>
      </c>
      <c r="H351" s="375" t="s">
        <v>1348</v>
      </c>
      <c r="I351" s="375" t="s">
        <v>869</v>
      </c>
      <c r="J351" s="375">
        <v>187544.18943999999</v>
      </c>
      <c r="K351" s="375">
        <v>4076.7685499999998</v>
      </c>
      <c r="L351" s="375">
        <v>-7463.56369</v>
      </c>
      <c r="M351" s="375">
        <v>541481.75650000002</v>
      </c>
      <c r="N351" s="372">
        <v>1.151</v>
      </c>
      <c r="O351" s="703">
        <v>15.803445318019682</v>
      </c>
      <c r="P351" s="375" t="s">
        <v>623</v>
      </c>
      <c r="Q351" s="372" t="s">
        <v>623</v>
      </c>
      <c r="R351" s="695">
        <v>20160623</v>
      </c>
      <c r="S351" s="372" t="s">
        <v>3053</v>
      </c>
      <c r="T351" s="696" t="s">
        <v>772</v>
      </c>
      <c r="U351" s="372" t="s">
        <v>3054</v>
      </c>
      <c r="V351" s="722">
        <v>40.840000000000003</v>
      </c>
      <c r="W351" s="722">
        <v>1.17</v>
      </c>
      <c r="X351" s="722">
        <v>3.83</v>
      </c>
      <c r="Y351" s="722" t="s">
        <v>774</v>
      </c>
      <c r="Z351" s="382" t="s">
        <v>934</v>
      </c>
      <c r="AA351" s="372">
        <v>855.62367519999998</v>
      </c>
      <c r="AB351" s="372">
        <v>1683.0999661999999</v>
      </c>
      <c r="AC351" s="372">
        <v>2361.2007285999998</v>
      </c>
      <c r="AD351" s="372">
        <v>1875.4418943999999</v>
      </c>
      <c r="AE351" s="372">
        <v>1933</v>
      </c>
      <c r="AF351" s="372">
        <v>0</v>
      </c>
      <c r="AG351" s="372">
        <v>0</v>
      </c>
      <c r="AH351" s="372">
        <v>0</v>
      </c>
    </row>
    <row r="352" spans="1:34">
      <c r="A352" s="372" t="s">
        <v>3055</v>
      </c>
      <c r="B352" s="373" t="s">
        <v>3056</v>
      </c>
      <c r="C352" s="372" t="s">
        <v>3057</v>
      </c>
      <c r="D352" s="374">
        <v>1101110327125</v>
      </c>
      <c r="E352" s="372" t="s">
        <v>3058</v>
      </c>
      <c r="F352" s="372" t="s">
        <v>1915</v>
      </c>
      <c r="G352" s="375" t="s">
        <v>1915</v>
      </c>
      <c r="H352" s="375" t="s">
        <v>1327</v>
      </c>
      <c r="I352" s="375" t="s">
        <v>755</v>
      </c>
      <c r="J352" s="375">
        <v>4107493.9438</v>
      </c>
      <c r="K352" s="375">
        <v>123716.64721</v>
      </c>
      <c r="L352" s="375">
        <v>90152.050319999995</v>
      </c>
      <c r="M352" s="375">
        <v>1343746.60463</v>
      </c>
      <c r="N352" s="372">
        <v>0.59399999999999997</v>
      </c>
      <c r="O352" s="703">
        <v>185.1718927590463</v>
      </c>
      <c r="P352" s="375" t="s">
        <v>623</v>
      </c>
      <c r="Q352" s="375" t="s">
        <v>623</v>
      </c>
      <c r="R352" s="695">
        <v>19700401</v>
      </c>
      <c r="S352" s="375" t="s">
        <v>3059</v>
      </c>
      <c r="T352" s="696">
        <v>0.23100000000000001</v>
      </c>
      <c r="U352" s="375" t="s">
        <v>3060</v>
      </c>
      <c r="V352" s="722">
        <v>5.47</v>
      </c>
      <c r="W352" s="722">
        <v>0.56999999999999995</v>
      </c>
      <c r="X352" s="722">
        <v>0.18</v>
      </c>
      <c r="Y352" s="722">
        <v>11.14</v>
      </c>
      <c r="Z352" s="382">
        <v>3.5633810008103728E-2</v>
      </c>
      <c r="AA352" s="372">
        <v>31132.036681199999</v>
      </c>
      <c r="AB352" s="372">
        <v>34699.925228200002</v>
      </c>
      <c r="AC352" s="372">
        <v>40840.9027757</v>
      </c>
      <c r="AD352" s="372">
        <v>41074.939438000001</v>
      </c>
      <c r="AE352" s="372">
        <v>42721.67</v>
      </c>
      <c r="AF352" s="372">
        <v>44840.67</v>
      </c>
      <c r="AG352" s="372">
        <v>47250</v>
      </c>
      <c r="AH352" s="372">
        <v>0</v>
      </c>
    </row>
    <row r="353" spans="1:34">
      <c r="A353" s="372" t="s">
        <v>3061</v>
      </c>
      <c r="B353" s="373" t="s">
        <v>3062</v>
      </c>
      <c r="C353" s="372" t="s">
        <v>3063</v>
      </c>
      <c r="D353" s="374">
        <v>1348110020579</v>
      </c>
      <c r="E353" s="372" t="s">
        <v>3064</v>
      </c>
      <c r="F353" s="375" t="s">
        <v>2858</v>
      </c>
      <c r="G353" s="375" t="s">
        <v>2858</v>
      </c>
      <c r="H353" s="375" t="s">
        <v>1388</v>
      </c>
      <c r="I353" s="375" t="s">
        <v>869</v>
      </c>
      <c r="J353" s="375">
        <v>100068.28766</v>
      </c>
      <c r="K353" s="375">
        <v>-62858.228029999998</v>
      </c>
      <c r="L353" s="375">
        <v>-53049.17542</v>
      </c>
      <c r="M353" s="375">
        <v>174865.18982</v>
      </c>
      <c r="N353" s="372">
        <v>1.163</v>
      </c>
      <c r="O353" s="703">
        <v>8.9297031511526157</v>
      </c>
      <c r="P353" s="375" t="s">
        <v>623</v>
      </c>
      <c r="Q353" s="372" t="s">
        <v>623</v>
      </c>
      <c r="R353" s="695">
        <v>20000317</v>
      </c>
      <c r="S353" s="375" t="s">
        <v>3065</v>
      </c>
      <c r="T353" s="696" t="s">
        <v>772</v>
      </c>
      <c r="U353" s="372" t="s">
        <v>3066</v>
      </c>
      <c r="V353" s="722" t="s">
        <v>774</v>
      </c>
      <c r="W353" s="722">
        <v>2.82</v>
      </c>
      <c r="X353" s="722">
        <v>4.93</v>
      </c>
      <c r="Y353" s="722" t="s">
        <v>774</v>
      </c>
      <c r="Z353" s="382" t="s">
        <v>934</v>
      </c>
      <c r="AA353" s="372">
        <v>3384.9609476999999</v>
      </c>
      <c r="AB353" s="372">
        <v>2051.5902105</v>
      </c>
      <c r="AC353" s="372">
        <v>1794.6237971999999</v>
      </c>
      <c r="AD353" s="372">
        <v>1000.6828766</v>
      </c>
      <c r="AE353" s="372">
        <v>1613</v>
      </c>
      <c r="AF353" s="372">
        <v>3606.5</v>
      </c>
      <c r="AG353" s="372">
        <v>0</v>
      </c>
      <c r="AH353" s="372">
        <v>0</v>
      </c>
    </row>
    <row r="354" spans="1:34">
      <c r="A354" s="372" t="s">
        <v>3067</v>
      </c>
      <c r="B354" s="373" t="s">
        <v>3068</v>
      </c>
      <c r="C354" s="372" t="s">
        <v>3069</v>
      </c>
      <c r="D354" s="374">
        <v>1101110095201</v>
      </c>
      <c r="E354" s="372" t="s">
        <v>3070</v>
      </c>
      <c r="F354" s="375" t="s">
        <v>900</v>
      </c>
      <c r="G354" s="375" t="s">
        <v>901</v>
      </c>
      <c r="H354" s="375" t="s">
        <v>862</v>
      </c>
      <c r="I354" s="375" t="s">
        <v>755</v>
      </c>
      <c r="J354" s="375">
        <v>2629493.4539999999</v>
      </c>
      <c r="K354" s="375">
        <v>-11033.825999999999</v>
      </c>
      <c r="L354" s="375">
        <v>763077.72</v>
      </c>
      <c r="M354" s="375">
        <v>3520953.8160000001</v>
      </c>
      <c r="N354" s="372">
        <v>0.93700000000000006</v>
      </c>
      <c r="O354" s="703">
        <v>38.507124465911694</v>
      </c>
      <c r="P354" s="375" t="s">
        <v>623</v>
      </c>
      <c r="Q354" s="372" t="s">
        <v>623</v>
      </c>
      <c r="R354" s="695">
        <v>19890822</v>
      </c>
      <c r="S354" s="372" t="s">
        <v>3071</v>
      </c>
      <c r="T354" s="696">
        <v>0.26400000000000001</v>
      </c>
      <c r="U354" s="372" t="s">
        <v>16001</v>
      </c>
      <c r="V354" s="722">
        <v>32.18</v>
      </c>
      <c r="W354" s="722">
        <v>0.21</v>
      </c>
      <c r="X354" s="722">
        <v>0.14000000000000001</v>
      </c>
      <c r="Y354" s="722">
        <v>0.32</v>
      </c>
      <c r="Z354" s="382" t="s">
        <v>934</v>
      </c>
      <c r="AA354" s="372">
        <v>32384.890820000001</v>
      </c>
      <c r="AB354" s="372">
        <v>34860.804210000002</v>
      </c>
      <c r="AC354" s="372">
        <v>19569.98071</v>
      </c>
      <c r="AD354" s="372">
        <v>26294.934539999998</v>
      </c>
      <c r="AE354" s="372">
        <v>46740</v>
      </c>
      <c r="AF354" s="372">
        <v>49170</v>
      </c>
      <c r="AG354" s="372">
        <v>0</v>
      </c>
      <c r="AH354" s="372">
        <v>0</v>
      </c>
    </row>
    <row r="355" spans="1:34">
      <c r="A355" s="372" t="s">
        <v>3073</v>
      </c>
      <c r="B355" s="373" t="s">
        <v>3074</v>
      </c>
      <c r="C355" s="372" t="s">
        <v>3075</v>
      </c>
      <c r="D355" s="374">
        <v>1101112101816</v>
      </c>
      <c r="E355" s="372" t="s">
        <v>3076</v>
      </c>
      <c r="F355" s="372" t="s">
        <v>2245</v>
      </c>
      <c r="G355" s="375" t="s">
        <v>2245</v>
      </c>
      <c r="H355" s="375" t="s">
        <v>1327</v>
      </c>
      <c r="I355" s="375" t="s">
        <v>755</v>
      </c>
      <c r="J355" s="375">
        <v>4360844.4167099996</v>
      </c>
      <c r="K355" s="375">
        <v>166714.27208</v>
      </c>
      <c r="L355" s="375">
        <v>146787.82376</v>
      </c>
      <c r="M355" s="375">
        <v>973199.40624000004</v>
      </c>
      <c r="N355" s="372">
        <v>0.60499999999999998</v>
      </c>
      <c r="O355" s="703">
        <v>89.463191763841266</v>
      </c>
      <c r="P355" s="375" t="s">
        <v>623</v>
      </c>
      <c r="Q355" s="372" t="s">
        <v>623</v>
      </c>
      <c r="R355" s="695">
        <v>20001123</v>
      </c>
      <c r="S355" s="375" t="s">
        <v>3077</v>
      </c>
      <c r="T355" s="696">
        <v>0.23100000000000001</v>
      </c>
      <c r="U355" s="375" t="s">
        <v>3078</v>
      </c>
      <c r="V355" s="722">
        <v>4.22</v>
      </c>
      <c r="W355" s="722">
        <v>0.65</v>
      </c>
      <c r="X355" s="722">
        <v>0.14000000000000001</v>
      </c>
      <c r="Y355" s="722">
        <v>5.8</v>
      </c>
      <c r="Z355" s="382">
        <v>3.8498175605897966E-2</v>
      </c>
      <c r="AA355" s="372">
        <v>31702.592665200002</v>
      </c>
      <c r="AB355" s="372">
        <v>34906.232567899999</v>
      </c>
      <c r="AC355" s="372">
        <v>40235.775939699997</v>
      </c>
      <c r="AD355" s="372">
        <v>43608.444167100002</v>
      </c>
      <c r="AE355" s="372">
        <v>45887.4</v>
      </c>
      <c r="AF355" s="372">
        <v>48357.4</v>
      </c>
      <c r="AG355" s="372">
        <v>50721.67</v>
      </c>
      <c r="AH355" s="372">
        <v>0</v>
      </c>
    </row>
    <row r="356" spans="1:34">
      <c r="A356" s="372" t="s">
        <v>3079</v>
      </c>
      <c r="B356" s="373" t="s">
        <v>3080</v>
      </c>
      <c r="C356" s="372" t="s">
        <v>3081</v>
      </c>
      <c r="D356" s="374">
        <v>1101117342473</v>
      </c>
      <c r="E356" s="372" t="s">
        <v>3082</v>
      </c>
      <c r="F356" s="375" t="s">
        <v>3083</v>
      </c>
      <c r="G356" s="375" t="s">
        <v>3083</v>
      </c>
      <c r="H356" s="375" t="s">
        <v>1481</v>
      </c>
      <c r="I356" s="375" t="s">
        <v>755</v>
      </c>
      <c r="J356" s="375">
        <v>1680055.64659</v>
      </c>
      <c r="K356" s="375">
        <v>95020.315029999998</v>
      </c>
      <c r="L356" s="375">
        <v>106616.11403</v>
      </c>
      <c r="M356" s="375">
        <v>1488014.8512800001</v>
      </c>
      <c r="N356" s="372">
        <v>0.91800000000000004</v>
      </c>
      <c r="O356" s="703">
        <v>56.273541096333489</v>
      </c>
      <c r="P356" s="375" t="s">
        <v>623</v>
      </c>
      <c r="Q356" s="375" t="s">
        <v>623</v>
      </c>
      <c r="R356" s="695">
        <v>20200121</v>
      </c>
      <c r="S356" s="375" t="s">
        <v>3084</v>
      </c>
      <c r="T356" s="696">
        <v>0.23100000000000001</v>
      </c>
      <c r="U356" s="375" t="s">
        <v>3085</v>
      </c>
      <c r="V356" s="722">
        <v>3.59</v>
      </c>
      <c r="W356" s="722">
        <v>0.44</v>
      </c>
      <c r="X356" s="722">
        <v>0.39</v>
      </c>
      <c r="Y356" s="722">
        <v>8.02</v>
      </c>
      <c r="Z356" s="382" t="s">
        <v>934</v>
      </c>
      <c r="AA356" s="372">
        <v>7086.5739641999999</v>
      </c>
      <c r="AB356" s="372">
        <v>11756.5996517</v>
      </c>
      <c r="AC356" s="372">
        <v>14436.806918300001</v>
      </c>
      <c r="AD356" s="372">
        <v>16800.556465900001</v>
      </c>
      <c r="AE356" s="372">
        <v>18037</v>
      </c>
      <c r="AF356" s="372">
        <v>19788</v>
      </c>
      <c r="AG356" s="372">
        <v>0</v>
      </c>
      <c r="AH356" s="372">
        <v>0</v>
      </c>
    </row>
    <row r="357" spans="1:34">
      <c r="A357" s="372" t="s">
        <v>3086</v>
      </c>
      <c r="B357" s="373" t="s">
        <v>3087</v>
      </c>
      <c r="C357" s="372" t="s">
        <v>3088</v>
      </c>
      <c r="D357" s="374">
        <v>1801110396069</v>
      </c>
      <c r="E357" s="372" t="s">
        <v>3089</v>
      </c>
      <c r="F357" s="375" t="s">
        <v>2030</v>
      </c>
      <c r="G357" s="375" t="s">
        <v>2030</v>
      </c>
      <c r="H357" s="375" t="s">
        <v>797</v>
      </c>
      <c r="I357" s="375" t="s">
        <v>755</v>
      </c>
      <c r="J357" s="375">
        <v>1136280.1721999999</v>
      </c>
      <c r="K357" s="375">
        <v>116628.67384</v>
      </c>
      <c r="L357" s="375">
        <v>113872.80151999999</v>
      </c>
      <c r="M357" s="375">
        <v>943327.64791000006</v>
      </c>
      <c r="N357" s="372">
        <v>0.73499999999999999</v>
      </c>
      <c r="O357" s="703">
        <v>2.8034005029941179E-2</v>
      </c>
      <c r="P357" s="375" t="s">
        <v>623</v>
      </c>
      <c r="Q357" s="375" t="s">
        <v>623</v>
      </c>
      <c r="R357" s="695">
        <v>20020311</v>
      </c>
      <c r="S357" s="375" t="s">
        <v>3090</v>
      </c>
      <c r="T357" s="696">
        <v>0.23100000000000001</v>
      </c>
      <c r="U357" s="375" t="s">
        <v>3091</v>
      </c>
      <c r="V357" s="722">
        <v>4.29</v>
      </c>
      <c r="W357" s="722">
        <v>0.63</v>
      </c>
      <c r="X357" s="722">
        <v>0.56000000000000005</v>
      </c>
      <c r="Y357" s="722">
        <v>7.26</v>
      </c>
      <c r="Z357" s="382">
        <v>-5.590490971743467E-3</v>
      </c>
      <c r="AA357" s="372">
        <v>9407.4552337000005</v>
      </c>
      <c r="AB357" s="372">
        <v>9417.4468388999994</v>
      </c>
      <c r="AC357" s="372">
        <v>10448.606112400001</v>
      </c>
      <c r="AD357" s="372">
        <v>11362.801722</v>
      </c>
      <c r="AE357" s="372">
        <v>10907.09</v>
      </c>
      <c r="AF357" s="372">
        <v>11715.64</v>
      </c>
      <c r="AG357" s="372">
        <v>11110.83</v>
      </c>
      <c r="AH357" s="372">
        <v>0</v>
      </c>
    </row>
    <row r="358" spans="1:34">
      <c r="A358" s="372" t="s">
        <v>3092</v>
      </c>
      <c r="B358" s="373" t="s">
        <v>3093</v>
      </c>
      <c r="C358" s="372" t="s">
        <v>3094</v>
      </c>
      <c r="D358" s="374">
        <v>1348110326191</v>
      </c>
      <c r="E358" s="372" t="s">
        <v>3095</v>
      </c>
      <c r="F358" s="375" t="s">
        <v>786</v>
      </c>
      <c r="G358" s="375" t="s">
        <v>786</v>
      </c>
      <c r="H358" s="375" t="s">
        <v>868</v>
      </c>
      <c r="I358" s="375" t="s">
        <v>869</v>
      </c>
      <c r="J358" s="375">
        <v>0</v>
      </c>
      <c r="K358" s="375">
        <v>-31335.510470000001</v>
      </c>
      <c r="L358" s="375">
        <v>-36152.4499</v>
      </c>
      <c r="M358" s="375">
        <v>81343.825330000007</v>
      </c>
      <c r="N358" s="372">
        <v>0.94799999999999995</v>
      </c>
      <c r="O358" s="703">
        <v>2.228495078942708</v>
      </c>
      <c r="P358" s="375" t="s">
        <v>623</v>
      </c>
      <c r="Q358" s="375" t="s">
        <v>623</v>
      </c>
      <c r="R358" s="695">
        <v>20220624</v>
      </c>
      <c r="S358" s="375" t="s">
        <v>3096</v>
      </c>
      <c r="T358" s="696" t="s">
        <v>772</v>
      </c>
      <c r="U358" s="372" t="s">
        <v>3097</v>
      </c>
      <c r="V358" s="722" t="s">
        <v>774</v>
      </c>
      <c r="W358" s="722">
        <v>11.53</v>
      </c>
      <c r="X358" s="722">
        <v>0</v>
      </c>
      <c r="Y358" s="722" t="s">
        <v>774</v>
      </c>
      <c r="Z358" s="382" t="s">
        <v>774</v>
      </c>
      <c r="AA358" s="372">
        <v>61.8001</v>
      </c>
      <c r="AB358" s="372">
        <v>147.83913200000001</v>
      </c>
      <c r="AC358" s="372">
        <v>97.678268500000001</v>
      </c>
      <c r="AD358" s="372">
        <v>0</v>
      </c>
      <c r="AE358" s="372">
        <v>66.5</v>
      </c>
      <c r="AF358" s="372">
        <v>61.5</v>
      </c>
      <c r="AG358" s="372">
        <v>0</v>
      </c>
      <c r="AH358" s="372">
        <v>0</v>
      </c>
    </row>
    <row r="359" spans="1:34">
      <c r="A359" s="372" t="s">
        <v>3098</v>
      </c>
      <c r="B359" s="373" t="s">
        <v>3099</v>
      </c>
      <c r="C359" s="372" t="s">
        <v>3100</v>
      </c>
      <c r="D359" s="374">
        <v>1101112782046</v>
      </c>
      <c r="E359" s="372" t="s">
        <v>3101</v>
      </c>
      <c r="F359" s="375" t="s">
        <v>1097</v>
      </c>
      <c r="G359" s="375" t="s">
        <v>1097</v>
      </c>
      <c r="H359" s="375" t="s">
        <v>916</v>
      </c>
      <c r="I359" s="375" t="s">
        <v>755</v>
      </c>
      <c r="J359" s="375">
        <v>1348759.4281299999</v>
      </c>
      <c r="K359" s="375">
        <v>139411.81654</v>
      </c>
      <c r="L359" s="375">
        <v>111890.00513000001</v>
      </c>
      <c r="M359" s="375">
        <v>157142.05098999999</v>
      </c>
      <c r="N359" s="372">
        <v>0.79700000000000004</v>
      </c>
      <c r="O359" s="703">
        <v>64.283604367815371</v>
      </c>
      <c r="P359" s="375" t="s">
        <v>623</v>
      </c>
      <c r="Q359" s="372" t="s">
        <v>623</v>
      </c>
      <c r="R359" s="695">
        <v>20180801</v>
      </c>
      <c r="S359" s="372" t="s">
        <v>3102</v>
      </c>
      <c r="T359" s="696">
        <v>0.23100000000000001</v>
      </c>
      <c r="U359" s="372" t="s">
        <v>3103</v>
      </c>
      <c r="V359" s="722">
        <v>2.17</v>
      </c>
      <c r="W359" s="722">
        <v>3.18</v>
      </c>
      <c r="X359" s="722">
        <v>0.37</v>
      </c>
      <c r="Y359" s="722">
        <v>5.05</v>
      </c>
      <c r="Z359" s="382">
        <v>5.9775092159126686E-2</v>
      </c>
      <c r="AA359" s="372">
        <v>2692.1760693000001</v>
      </c>
      <c r="AB359" s="372">
        <v>2143.9523930999999</v>
      </c>
      <c r="AC359" s="372">
        <v>5258.2118606000004</v>
      </c>
      <c r="AD359" s="372">
        <v>13487.5942813</v>
      </c>
      <c r="AE359" s="372">
        <v>14845.29</v>
      </c>
      <c r="AF359" s="372">
        <v>15406.71</v>
      </c>
      <c r="AG359" s="372">
        <v>17013.330000000002</v>
      </c>
      <c r="AH359" s="372">
        <v>0</v>
      </c>
    </row>
    <row r="360" spans="1:34">
      <c r="A360" s="372" t="s">
        <v>3104</v>
      </c>
      <c r="B360" s="373" t="s">
        <v>3105</v>
      </c>
      <c r="C360" s="372" t="s">
        <v>3106</v>
      </c>
      <c r="D360" s="374">
        <v>1101114951243</v>
      </c>
      <c r="E360" s="372" t="s">
        <v>3107</v>
      </c>
      <c r="F360" s="375" t="s">
        <v>1313</v>
      </c>
      <c r="G360" s="375" t="s">
        <v>1313</v>
      </c>
      <c r="H360" s="375" t="s">
        <v>832</v>
      </c>
      <c r="I360" s="375" t="s">
        <v>755</v>
      </c>
      <c r="J360" s="375">
        <v>1793735.8428199999</v>
      </c>
      <c r="K360" s="375">
        <v>45060.221980000002</v>
      </c>
      <c r="L360" s="375">
        <v>40993.368450000002</v>
      </c>
      <c r="M360" s="375">
        <v>736322.93117</v>
      </c>
      <c r="N360" s="372">
        <v>1.107</v>
      </c>
      <c r="O360" s="703">
        <v>56.225078150481053</v>
      </c>
      <c r="P360" s="375" t="s">
        <v>623</v>
      </c>
      <c r="Q360" s="372" t="s">
        <v>623</v>
      </c>
      <c r="R360" s="695">
        <v>20120917</v>
      </c>
      <c r="S360" s="372" t="s">
        <v>16002</v>
      </c>
      <c r="T360" s="696">
        <v>0.23100000000000001</v>
      </c>
      <c r="U360" s="372" t="s">
        <v>3108</v>
      </c>
      <c r="V360" s="722">
        <v>11.61</v>
      </c>
      <c r="W360" s="722">
        <v>1.01</v>
      </c>
      <c r="X360" s="722">
        <v>0.42</v>
      </c>
      <c r="Y360" s="722">
        <v>22.56</v>
      </c>
      <c r="Z360" s="382">
        <v>3.5959930200682333E-2</v>
      </c>
      <c r="AA360" s="372">
        <v>9088.5188522999997</v>
      </c>
      <c r="AB360" s="372">
        <v>15700.897882200001</v>
      </c>
      <c r="AC360" s="372">
        <v>21764.368827900002</v>
      </c>
      <c r="AD360" s="372">
        <v>17937.358428200001</v>
      </c>
      <c r="AE360" s="372">
        <v>18670</v>
      </c>
      <c r="AF360" s="372">
        <v>20450</v>
      </c>
      <c r="AG360" s="372">
        <v>20660</v>
      </c>
      <c r="AH360" s="372">
        <v>0</v>
      </c>
    </row>
    <row r="361" spans="1:34">
      <c r="A361" s="372" t="s">
        <v>3109</v>
      </c>
      <c r="B361" s="373" t="s">
        <v>3110</v>
      </c>
      <c r="C361" s="372" t="s">
        <v>3111</v>
      </c>
      <c r="D361" s="374">
        <v>1301110011815</v>
      </c>
      <c r="E361" s="372" t="s">
        <v>3112</v>
      </c>
      <c r="F361" s="375" t="s">
        <v>1334</v>
      </c>
      <c r="G361" s="375" t="s">
        <v>1334</v>
      </c>
      <c r="H361" s="375" t="s">
        <v>788</v>
      </c>
      <c r="I361" s="375" t="s">
        <v>755</v>
      </c>
      <c r="J361" s="375">
        <v>200228.58249999999</v>
      </c>
      <c r="K361" s="375">
        <v>-47392.40509</v>
      </c>
      <c r="L361" s="375">
        <v>-53441.796219999997</v>
      </c>
      <c r="M361" s="375">
        <v>270782.14468999999</v>
      </c>
      <c r="N361" s="372">
        <v>1.3839999999999999</v>
      </c>
      <c r="O361" s="703">
        <v>6.5824670763873776</v>
      </c>
      <c r="P361" s="375" t="s">
        <v>623</v>
      </c>
      <c r="Q361" s="375" t="s">
        <v>623</v>
      </c>
      <c r="R361" s="695">
        <v>19900120</v>
      </c>
      <c r="S361" s="375" t="s">
        <v>3113</v>
      </c>
      <c r="T361" s="696" t="s">
        <v>772</v>
      </c>
      <c r="U361" s="375" t="s">
        <v>3114</v>
      </c>
      <c r="V361" s="722" t="s">
        <v>774</v>
      </c>
      <c r="W361" s="722">
        <v>2.68</v>
      </c>
      <c r="X361" s="722">
        <v>3.73</v>
      </c>
      <c r="Y361" s="722" t="s">
        <v>774</v>
      </c>
      <c r="Z361" s="382" t="s">
        <v>934</v>
      </c>
      <c r="AA361" s="372">
        <v>1977.50767</v>
      </c>
      <c r="AB361" s="372">
        <v>1892.3723491999999</v>
      </c>
      <c r="AC361" s="372">
        <v>2092.8762775999999</v>
      </c>
      <c r="AD361" s="372">
        <v>2002.2858249999999</v>
      </c>
      <c r="AE361" s="372">
        <v>0</v>
      </c>
      <c r="AF361" s="372">
        <v>0</v>
      </c>
      <c r="AG361" s="372">
        <v>0</v>
      </c>
      <c r="AH361" s="372">
        <v>0</v>
      </c>
    </row>
    <row r="362" spans="1:34">
      <c r="A362" s="372" t="s">
        <v>3115</v>
      </c>
      <c r="B362" s="373" t="s">
        <v>3116</v>
      </c>
      <c r="C362" s="372" t="s">
        <v>3117</v>
      </c>
      <c r="D362" s="374">
        <v>1355110102249</v>
      </c>
      <c r="E362" s="372" t="s">
        <v>3118</v>
      </c>
      <c r="F362" s="375" t="s">
        <v>1985</v>
      </c>
      <c r="G362" s="375" t="s">
        <v>1985</v>
      </c>
      <c r="H362" s="375" t="s">
        <v>868</v>
      </c>
      <c r="I362" s="375" t="s">
        <v>869</v>
      </c>
      <c r="J362" s="375">
        <v>312881.43475000001</v>
      </c>
      <c r="K362" s="375">
        <v>26473.951389999998</v>
      </c>
      <c r="L362" s="375">
        <v>29896.98432</v>
      </c>
      <c r="M362" s="375">
        <v>161189.66574</v>
      </c>
      <c r="N362" s="372" t="s">
        <v>1033</v>
      </c>
      <c r="O362" s="703">
        <v>11.707441811170872</v>
      </c>
      <c r="P362" s="375" t="s">
        <v>623</v>
      </c>
      <c r="Q362" s="372" t="s">
        <v>623</v>
      </c>
      <c r="R362" s="695">
        <v>20221114</v>
      </c>
      <c r="S362" s="375" t="s">
        <v>3119</v>
      </c>
      <c r="T362" s="696">
        <v>0.23100000000000001</v>
      </c>
      <c r="U362" s="375" t="s">
        <v>3120</v>
      </c>
      <c r="V362" s="722">
        <v>30.45</v>
      </c>
      <c r="W362" s="722">
        <v>5.59</v>
      </c>
      <c r="X362" s="722">
        <v>2.88</v>
      </c>
      <c r="Y362" s="722">
        <v>36.770000000000003</v>
      </c>
      <c r="Z362" s="382" t="s">
        <v>934</v>
      </c>
      <c r="AA362" s="372">
        <v>1288.8168303</v>
      </c>
      <c r="AB362" s="372">
        <v>758.93659649999995</v>
      </c>
      <c r="AC362" s="372">
        <v>2102.7558638999999</v>
      </c>
      <c r="AD362" s="372">
        <v>3128.8143475000002</v>
      </c>
      <c r="AE362" s="372">
        <v>3485</v>
      </c>
      <c r="AF362" s="372">
        <v>0</v>
      </c>
      <c r="AG362" s="372">
        <v>0</v>
      </c>
      <c r="AH362" s="372">
        <v>0</v>
      </c>
    </row>
    <row r="363" spans="1:34">
      <c r="A363" s="372" t="s">
        <v>3121</v>
      </c>
      <c r="B363" s="373" t="s">
        <v>3122</v>
      </c>
      <c r="C363" s="372" t="s">
        <v>3123</v>
      </c>
      <c r="D363" s="374">
        <v>1101110839071</v>
      </c>
      <c r="E363" s="372" t="s">
        <v>3124</v>
      </c>
      <c r="F363" s="375" t="s">
        <v>3125</v>
      </c>
      <c r="G363" s="375" t="s">
        <v>3126</v>
      </c>
      <c r="H363" s="375" t="s">
        <v>3127</v>
      </c>
      <c r="I363" s="375" t="s">
        <v>869</v>
      </c>
      <c r="J363" s="375">
        <v>72882.216209999999</v>
      </c>
      <c r="K363" s="375">
        <v>1135.44183</v>
      </c>
      <c r="L363" s="375">
        <v>-4759.9176200000002</v>
      </c>
      <c r="M363" s="375">
        <v>100428.58022</v>
      </c>
      <c r="N363" s="372">
        <v>0.93300000000000005</v>
      </c>
      <c r="O363" s="703">
        <v>0.4084628076409022</v>
      </c>
      <c r="P363" s="375" t="s">
        <v>623</v>
      </c>
      <c r="Q363" s="375" t="s">
        <v>623</v>
      </c>
      <c r="R363" s="695">
        <v>20020628</v>
      </c>
      <c r="S363" s="375" t="s">
        <v>3128</v>
      </c>
      <c r="T363" s="696" t="s">
        <v>772</v>
      </c>
      <c r="U363" s="375" t="s">
        <v>3129</v>
      </c>
      <c r="V363" s="722">
        <v>0</v>
      </c>
      <c r="W363" s="722">
        <v>7.59</v>
      </c>
      <c r="X363" s="722">
        <v>0</v>
      </c>
      <c r="Y363" s="722">
        <v>0</v>
      </c>
      <c r="Z363" s="382" t="s">
        <v>934</v>
      </c>
      <c r="AA363" s="372">
        <v>392.81591880000002</v>
      </c>
      <c r="AB363" s="372">
        <v>427.94971249999998</v>
      </c>
      <c r="AC363" s="372">
        <v>649.90650970000002</v>
      </c>
      <c r="AD363" s="372">
        <v>728.82216210000001</v>
      </c>
      <c r="AE363" s="372">
        <v>0</v>
      </c>
      <c r="AF363" s="372">
        <v>0</v>
      </c>
      <c r="AG363" s="372">
        <v>0</v>
      </c>
      <c r="AH363" s="372">
        <v>0</v>
      </c>
    </row>
    <row r="364" spans="1:34">
      <c r="A364" s="372" t="s">
        <v>3130</v>
      </c>
      <c r="B364" s="373" t="s">
        <v>3131</v>
      </c>
      <c r="C364" s="372" t="s">
        <v>3132</v>
      </c>
      <c r="D364" s="374">
        <v>1101110522436</v>
      </c>
      <c r="E364" s="372" t="s">
        <v>3133</v>
      </c>
      <c r="F364" s="372" t="s">
        <v>770</v>
      </c>
      <c r="G364" s="375" t="s">
        <v>770</v>
      </c>
      <c r="H364" s="375" t="s">
        <v>1388</v>
      </c>
      <c r="I364" s="375" t="s">
        <v>869</v>
      </c>
      <c r="J364" s="375">
        <v>1032380.63743</v>
      </c>
      <c r="K364" s="375">
        <v>-49351.836730000003</v>
      </c>
      <c r="L364" s="375">
        <v>-70182.506110000002</v>
      </c>
      <c r="M364" s="375">
        <v>687873.41417999996</v>
      </c>
      <c r="N364" s="372">
        <v>0.90400000000000003</v>
      </c>
      <c r="O364" s="703">
        <v>39.011037393012124</v>
      </c>
      <c r="P364" s="375" t="s">
        <v>623</v>
      </c>
      <c r="Q364" s="375" t="s">
        <v>623</v>
      </c>
      <c r="R364" s="695">
        <v>20020115</v>
      </c>
      <c r="S364" s="375" t="s">
        <v>3134</v>
      </c>
      <c r="T364" s="696" t="s">
        <v>772</v>
      </c>
      <c r="U364" s="375" t="s">
        <v>3135</v>
      </c>
      <c r="V364" s="722">
        <v>17.21</v>
      </c>
      <c r="W364" s="722">
        <v>0.82</v>
      </c>
      <c r="X364" s="722">
        <v>0.56999999999999995</v>
      </c>
      <c r="Y364" s="722" t="s">
        <v>774</v>
      </c>
      <c r="Z364" s="382">
        <v>2.689374702812386E-2</v>
      </c>
      <c r="AA364" s="372">
        <v>11530.5136559</v>
      </c>
      <c r="AB364" s="372">
        <v>13010.408163599999</v>
      </c>
      <c r="AC364" s="372">
        <v>11094.274636</v>
      </c>
      <c r="AD364" s="372">
        <v>10323.8063743</v>
      </c>
      <c r="AE364" s="372">
        <v>10764.33</v>
      </c>
      <c r="AF364" s="372">
        <v>11216</v>
      </c>
      <c r="AG364" s="372">
        <v>11480</v>
      </c>
      <c r="AH364" s="372">
        <v>0</v>
      </c>
    </row>
    <row r="365" spans="1:34">
      <c r="A365" s="372" t="s">
        <v>3136</v>
      </c>
      <c r="B365" s="373" t="s">
        <v>3137</v>
      </c>
      <c r="C365" s="372" t="s">
        <v>16144</v>
      </c>
      <c r="D365" s="374">
        <v>1101110509872</v>
      </c>
      <c r="E365" s="372" t="s">
        <v>3138</v>
      </c>
      <c r="F365" s="375" t="s">
        <v>1368</v>
      </c>
      <c r="G365" s="375" t="s">
        <v>1368</v>
      </c>
      <c r="H365" s="375" t="s">
        <v>868</v>
      </c>
      <c r="I365" s="375" t="s">
        <v>869</v>
      </c>
      <c r="J365" s="375">
        <v>295501.38355000003</v>
      </c>
      <c r="K365" s="375">
        <v>45546.61346</v>
      </c>
      <c r="L365" s="375">
        <v>41520.212930000002</v>
      </c>
      <c r="M365" s="375">
        <v>147316.71088</v>
      </c>
      <c r="N365" s="372">
        <v>0.67100000000000004</v>
      </c>
      <c r="O365" s="703">
        <v>4.0890940378234104</v>
      </c>
      <c r="P365" s="375" t="s">
        <v>623</v>
      </c>
      <c r="Q365" s="375" t="s">
        <v>623</v>
      </c>
      <c r="R365" s="695">
        <v>19940831</v>
      </c>
      <c r="S365" s="375" t="s">
        <v>3139</v>
      </c>
      <c r="T365" s="696">
        <v>0.23100000000000001</v>
      </c>
      <c r="U365" s="372" t="s">
        <v>16003</v>
      </c>
      <c r="V365" s="722">
        <v>11.4</v>
      </c>
      <c r="W365" s="722">
        <v>4.09</v>
      </c>
      <c r="X365" s="722">
        <v>1.94</v>
      </c>
      <c r="Y365" s="722">
        <v>21.04</v>
      </c>
      <c r="Z365" s="382">
        <v>0.17481080591918285</v>
      </c>
      <c r="AA365" s="372">
        <v>1073.9537267999999</v>
      </c>
      <c r="AB365" s="372">
        <v>2267.6960134000001</v>
      </c>
      <c r="AC365" s="372">
        <v>2402.4130556</v>
      </c>
      <c r="AD365" s="372">
        <v>2955.0138354999999</v>
      </c>
      <c r="AE365" s="372">
        <v>4464.5</v>
      </c>
      <c r="AF365" s="372">
        <v>5617</v>
      </c>
      <c r="AG365" s="372">
        <v>5629</v>
      </c>
      <c r="AH365" s="372">
        <v>0</v>
      </c>
    </row>
    <row r="366" spans="1:34">
      <c r="A366" s="372" t="s">
        <v>3140</v>
      </c>
      <c r="B366" s="373" t="s">
        <v>3141</v>
      </c>
      <c r="C366" s="372" t="s">
        <v>3142</v>
      </c>
      <c r="D366" s="374">
        <v>1301110064822</v>
      </c>
      <c r="E366" s="372" t="s">
        <v>3143</v>
      </c>
      <c r="F366" s="375" t="s">
        <v>1195</v>
      </c>
      <c r="G366" s="375" t="s">
        <v>3144</v>
      </c>
      <c r="H366" s="375" t="s">
        <v>868</v>
      </c>
      <c r="I366" s="375" t="s">
        <v>869</v>
      </c>
      <c r="J366" s="375">
        <v>2680.5481100000002</v>
      </c>
      <c r="K366" s="375">
        <v>-5851.9764500000001</v>
      </c>
      <c r="L366" s="375">
        <v>-978.14367000000004</v>
      </c>
      <c r="M366" s="375">
        <v>-13745.185960000001</v>
      </c>
      <c r="N366" s="372" t="s">
        <v>1033</v>
      </c>
      <c r="O366" s="703">
        <v>3.0472237098366528</v>
      </c>
      <c r="P366" s="375" t="s">
        <v>16142</v>
      </c>
      <c r="Q366" s="375" t="s">
        <v>16145</v>
      </c>
      <c r="R366" s="695">
        <v>20111118</v>
      </c>
      <c r="S366" s="375" t="s">
        <v>3145</v>
      </c>
      <c r="T366" s="696" t="s">
        <v>772</v>
      </c>
      <c r="U366" s="375" t="s">
        <v>3146</v>
      </c>
      <c r="V366" s="722" t="s">
        <v>774</v>
      </c>
      <c r="W366" s="722" t="s">
        <v>774</v>
      </c>
      <c r="X366" s="722">
        <v>221.2</v>
      </c>
      <c r="Y366" s="722" t="s">
        <v>774</v>
      </c>
      <c r="Z366" s="382" t="s">
        <v>934</v>
      </c>
      <c r="AA366" s="372">
        <v>135.166</v>
      </c>
      <c r="AB366" s="372">
        <v>80.092541100000005</v>
      </c>
      <c r="AC366" s="372">
        <v>117.00288689999999</v>
      </c>
      <c r="AD366" s="372">
        <v>26.805481100000002</v>
      </c>
      <c r="AE366" s="372">
        <v>0</v>
      </c>
      <c r="AF366" s="372">
        <v>0</v>
      </c>
      <c r="AG366" s="372">
        <v>0</v>
      </c>
      <c r="AH366" s="372">
        <v>0</v>
      </c>
    </row>
    <row r="367" spans="1:34">
      <c r="A367" s="372" t="s">
        <v>3147</v>
      </c>
      <c r="B367" s="373" t="s">
        <v>3148</v>
      </c>
      <c r="C367" s="372" t="s">
        <v>3149</v>
      </c>
      <c r="D367" s="374">
        <v>1346110087565</v>
      </c>
      <c r="E367" s="372" t="s">
        <v>3150</v>
      </c>
      <c r="F367" s="375" t="s">
        <v>3151</v>
      </c>
      <c r="G367" s="375" t="s">
        <v>3151</v>
      </c>
      <c r="H367" s="375" t="s">
        <v>2079</v>
      </c>
      <c r="I367" s="375" t="s">
        <v>755</v>
      </c>
      <c r="J367" s="375">
        <v>286909.70341999998</v>
      </c>
      <c r="K367" s="375">
        <v>32703.769329999999</v>
      </c>
      <c r="L367" s="375">
        <v>42915.344250000002</v>
      </c>
      <c r="M367" s="375">
        <v>452613.44069999998</v>
      </c>
      <c r="N367" s="372">
        <v>0.91100000000000003</v>
      </c>
      <c r="O367" s="703">
        <v>0.55773150953404427</v>
      </c>
      <c r="P367" s="375" t="s">
        <v>623</v>
      </c>
      <c r="Q367" s="375" t="s">
        <v>623</v>
      </c>
      <c r="R367" s="695">
        <v>20171205</v>
      </c>
      <c r="S367" s="375" t="s">
        <v>3152</v>
      </c>
      <c r="T367" s="696">
        <v>0.23100000000000001</v>
      </c>
      <c r="U367" s="375" t="s">
        <v>3153</v>
      </c>
      <c r="V367" s="722">
        <v>0</v>
      </c>
      <c r="W367" s="722">
        <v>1.21</v>
      </c>
      <c r="X367" s="722">
        <v>0</v>
      </c>
      <c r="Y367" s="722">
        <v>0</v>
      </c>
      <c r="Z367" s="382" t="s">
        <v>934</v>
      </c>
      <c r="AA367" s="372">
        <v>3198.9470514</v>
      </c>
      <c r="AB367" s="372">
        <v>3445.4623968000001</v>
      </c>
      <c r="AC367" s="372">
        <v>3781.9295016999999</v>
      </c>
      <c r="AD367" s="372">
        <v>2869.0970342000001</v>
      </c>
      <c r="AE367" s="372">
        <v>0</v>
      </c>
      <c r="AF367" s="372">
        <v>0</v>
      </c>
      <c r="AG367" s="372">
        <v>0</v>
      </c>
      <c r="AH367" s="372">
        <v>0</v>
      </c>
    </row>
    <row r="368" spans="1:34">
      <c r="A368" s="372" t="s">
        <v>3154</v>
      </c>
      <c r="B368" s="373" t="s">
        <v>3155</v>
      </c>
      <c r="C368" s="372" t="s">
        <v>3156</v>
      </c>
      <c r="D368" s="374">
        <v>2301110143443</v>
      </c>
      <c r="E368" s="372" t="s">
        <v>3157</v>
      </c>
      <c r="F368" s="375" t="s">
        <v>1144</v>
      </c>
      <c r="G368" s="375" t="s">
        <v>3158</v>
      </c>
      <c r="H368" s="375" t="s">
        <v>868</v>
      </c>
      <c r="I368" s="375" t="s">
        <v>869</v>
      </c>
      <c r="J368" s="375">
        <v>0</v>
      </c>
      <c r="K368" s="375">
        <v>0</v>
      </c>
      <c r="L368" s="375">
        <v>0</v>
      </c>
      <c r="M368" s="375">
        <v>176835.51844000001</v>
      </c>
      <c r="N368" s="372" t="s">
        <v>1033</v>
      </c>
      <c r="O368" s="703">
        <v>8.0422684934450093</v>
      </c>
      <c r="P368" s="375" t="s">
        <v>623</v>
      </c>
      <c r="Q368" s="372" t="s">
        <v>623</v>
      </c>
      <c r="R368" s="695">
        <v>20240126</v>
      </c>
      <c r="S368" s="375" t="s">
        <v>3159</v>
      </c>
      <c r="T368" s="696" t="s">
        <v>772</v>
      </c>
      <c r="U368" s="375" t="s">
        <v>3160</v>
      </c>
      <c r="V368" s="722">
        <v>0</v>
      </c>
      <c r="W368" s="722">
        <v>0</v>
      </c>
      <c r="X368" s="722">
        <v>0</v>
      </c>
      <c r="Y368" s="722">
        <v>0</v>
      </c>
      <c r="Z368" s="382" t="s">
        <v>934</v>
      </c>
      <c r="AA368" s="372">
        <v>1155.3042086999999</v>
      </c>
      <c r="AB368" s="372">
        <v>1209.71135</v>
      </c>
      <c r="AC368" s="372">
        <v>1447.5254445999999</v>
      </c>
      <c r="AD368" s="372">
        <v>1891.8802155999999</v>
      </c>
      <c r="AE368" s="372">
        <v>2024</v>
      </c>
      <c r="AF368" s="372">
        <v>0</v>
      </c>
      <c r="AG368" s="372">
        <v>0</v>
      </c>
      <c r="AH368" s="372">
        <v>0</v>
      </c>
    </row>
    <row r="369" spans="1:34">
      <c r="A369" s="372" t="s">
        <v>3161</v>
      </c>
      <c r="B369" s="373" t="s">
        <v>3162</v>
      </c>
      <c r="C369" s="372" t="s">
        <v>3163</v>
      </c>
      <c r="D369" s="374">
        <v>1348110072942</v>
      </c>
      <c r="E369" s="372" t="s">
        <v>3164</v>
      </c>
      <c r="F369" s="372" t="s">
        <v>1195</v>
      </c>
      <c r="G369" s="375" t="s">
        <v>1196</v>
      </c>
      <c r="H369" s="375" t="s">
        <v>1388</v>
      </c>
      <c r="I369" s="375" t="s">
        <v>869</v>
      </c>
      <c r="J369" s="375">
        <v>133604.26026000001</v>
      </c>
      <c r="K369" s="375">
        <v>3160.4870599999999</v>
      </c>
      <c r="L369" s="375">
        <v>-12886.15285</v>
      </c>
      <c r="M369" s="375">
        <v>215586.93541999999</v>
      </c>
      <c r="N369" s="372">
        <v>1.032</v>
      </c>
      <c r="O369" s="703">
        <v>18.700799315426824</v>
      </c>
      <c r="P369" s="375" t="s">
        <v>623</v>
      </c>
      <c r="Q369" s="375" t="s">
        <v>623</v>
      </c>
      <c r="R369" s="695">
        <v>20111110</v>
      </c>
      <c r="S369" s="375" t="s">
        <v>3165</v>
      </c>
      <c r="T369" s="696" t="s">
        <v>772</v>
      </c>
      <c r="U369" s="375" t="s">
        <v>3166</v>
      </c>
      <c r="V369" s="722">
        <v>47.55</v>
      </c>
      <c r="W369" s="722">
        <v>1.85</v>
      </c>
      <c r="X369" s="722">
        <v>3.2</v>
      </c>
      <c r="Y369" s="722" t="s">
        <v>774</v>
      </c>
      <c r="Z369" s="382" t="s">
        <v>934</v>
      </c>
      <c r="AA369" s="372">
        <v>2281.5332397000002</v>
      </c>
      <c r="AB369" s="372">
        <v>2559.1521671</v>
      </c>
      <c r="AC369" s="372">
        <v>2674.9109131999999</v>
      </c>
      <c r="AD369" s="372">
        <v>1336.0426026</v>
      </c>
      <c r="AE369" s="372">
        <v>2805</v>
      </c>
      <c r="AF369" s="372">
        <v>4290</v>
      </c>
      <c r="AG369" s="372">
        <v>0</v>
      </c>
      <c r="AH369" s="372">
        <v>0</v>
      </c>
    </row>
    <row r="370" spans="1:34">
      <c r="A370" s="372" t="s">
        <v>3167</v>
      </c>
      <c r="B370" s="373" t="s">
        <v>3168</v>
      </c>
      <c r="C370" s="372" t="s">
        <v>3169</v>
      </c>
      <c r="D370" s="374">
        <v>1101115079713</v>
      </c>
      <c r="E370" s="372" t="s">
        <v>3170</v>
      </c>
      <c r="F370" s="375" t="s">
        <v>1334</v>
      </c>
      <c r="G370" s="375" t="s">
        <v>1334</v>
      </c>
      <c r="H370" s="375" t="s">
        <v>788</v>
      </c>
      <c r="I370" s="375" t="s">
        <v>755</v>
      </c>
      <c r="J370" s="375">
        <v>663980.36809999996</v>
      </c>
      <c r="K370" s="375">
        <v>11178.462380000001</v>
      </c>
      <c r="L370" s="375">
        <v>6003.8591900000001</v>
      </c>
      <c r="M370" s="375">
        <v>683307.89109000005</v>
      </c>
      <c r="N370" s="372">
        <v>0.84399999999999997</v>
      </c>
      <c r="O370" s="703">
        <v>69.51758930590151</v>
      </c>
      <c r="P370" s="375" t="s">
        <v>623</v>
      </c>
      <c r="Q370" s="375" t="s">
        <v>623</v>
      </c>
      <c r="R370" s="695">
        <v>20130408</v>
      </c>
      <c r="S370" s="375" t="s">
        <v>3171</v>
      </c>
      <c r="T370" s="696">
        <v>0.20900000000000002</v>
      </c>
      <c r="U370" s="375" t="s">
        <v>3172</v>
      </c>
      <c r="V370" s="722">
        <v>20.02</v>
      </c>
      <c r="W370" s="722">
        <v>0.89</v>
      </c>
      <c r="X370" s="722">
        <v>0.9</v>
      </c>
      <c r="Y370" s="722">
        <v>53.52</v>
      </c>
      <c r="Z370" s="382">
        <v>4.2746172717717856E-2</v>
      </c>
      <c r="AA370" s="372">
        <v>5867.2812696999999</v>
      </c>
      <c r="AB370" s="372">
        <v>5932.2791574000003</v>
      </c>
      <c r="AC370" s="372">
        <v>6353.9268272999998</v>
      </c>
      <c r="AD370" s="372">
        <v>6639.8036810000003</v>
      </c>
      <c r="AE370" s="372">
        <v>6806.75</v>
      </c>
      <c r="AF370" s="372">
        <v>7177.33</v>
      </c>
      <c r="AG370" s="372">
        <v>7850</v>
      </c>
      <c r="AH370" s="372">
        <v>0</v>
      </c>
    </row>
    <row r="371" spans="1:34">
      <c r="A371" s="372" t="s">
        <v>3173</v>
      </c>
      <c r="B371" s="373" t="s">
        <v>3174</v>
      </c>
      <c r="C371" s="372" t="s">
        <v>3175</v>
      </c>
      <c r="D371" s="374">
        <v>1341110411706</v>
      </c>
      <c r="E371" s="372" t="s">
        <v>3176</v>
      </c>
      <c r="F371" s="375" t="s">
        <v>900</v>
      </c>
      <c r="G371" s="375" t="s">
        <v>901</v>
      </c>
      <c r="H371" s="375" t="s">
        <v>862</v>
      </c>
      <c r="I371" s="375" t="s">
        <v>755</v>
      </c>
      <c r="J371" s="375">
        <v>731067.86696999997</v>
      </c>
      <c r="K371" s="375">
        <v>29489.19095</v>
      </c>
      <c r="L371" s="375">
        <v>8592.6850200000008</v>
      </c>
      <c r="M371" s="375">
        <v>155606.60503999999</v>
      </c>
      <c r="N371" s="372">
        <v>0.83399999999999996</v>
      </c>
      <c r="O371" s="703">
        <v>16.937299733994294</v>
      </c>
      <c r="P371" s="375" t="s">
        <v>623</v>
      </c>
      <c r="Q371" s="375" t="s">
        <v>623</v>
      </c>
      <c r="R371" s="695">
        <v>20160922</v>
      </c>
      <c r="S371" s="375">
        <v>0</v>
      </c>
      <c r="T371" s="696">
        <v>0.20900000000000002</v>
      </c>
      <c r="U371" s="372" t="s">
        <v>3177</v>
      </c>
      <c r="V371" s="722">
        <v>20.92</v>
      </c>
      <c r="W371" s="722">
        <v>4.34</v>
      </c>
      <c r="X371" s="722">
        <v>0.88</v>
      </c>
      <c r="Y371" s="722">
        <v>154.97999999999999</v>
      </c>
      <c r="Z371" s="382">
        <v>3.6041796517343183E-2</v>
      </c>
      <c r="AA371" s="372">
        <v>5796.1230148000004</v>
      </c>
      <c r="AB371" s="372">
        <v>7506.1689554000004</v>
      </c>
      <c r="AC371" s="372">
        <v>8184.9472819000002</v>
      </c>
      <c r="AD371" s="372">
        <v>7310.6786696999998</v>
      </c>
      <c r="AE371" s="372">
        <v>7453.83</v>
      </c>
      <c r="AF371" s="372">
        <v>7993.17</v>
      </c>
      <c r="AG371" s="372">
        <v>8423</v>
      </c>
      <c r="AH371" s="372">
        <v>10774</v>
      </c>
    </row>
    <row r="372" spans="1:34">
      <c r="A372" s="372" t="s">
        <v>3178</v>
      </c>
      <c r="B372" s="373" t="s">
        <v>3179</v>
      </c>
      <c r="C372" s="372" t="s">
        <v>3180</v>
      </c>
      <c r="D372" s="374">
        <v>1101112948086</v>
      </c>
      <c r="E372" s="372" t="s">
        <v>3181</v>
      </c>
      <c r="F372" s="375" t="s">
        <v>2858</v>
      </c>
      <c r="G372" s="375" t="s">
        <v>2859</v>
      </c>
      <c r="H372" s="375" t="s">
        <v>868</v>
      </c>
      <c r="I372" s="375" t="s">
        <v>869</v>
      </c>
      <c r="J372" s="375">
        <v>305042.84704999998</v>
      </c>
      <c r="K372" s="375">
        <v>10725.550520000001</v>
      </c>
      <c r="L372" s="375">
        <v>7156.13681</v>
      </c>
      <c r="M372" s="375">
        <v>275032.30846999999</v>
      </c>
      <c r="N372" s="372">
        <v>0.98699999999999999</v>
      </c>
      <c r="O372" s="703">
        <v>18.531246373775563</v>
      </c>
      <c r="P372" s="375" t="s">
        <v>623</v>
      </c>
      <c r="Q372" s="375" t="s">
        <v>623</v>
      </c>
      <c r="R372" s="695">
        <v>20161018</v>
      </c>
      <c r="S372" s="375" t="s">
        <v>3182</v>
      </c>
      <c r="T372" s="696">
        <v>0.20900000000000002</v>
      </c>
      <c r="U372" s="375" t="s">
        <v>3183</v>
      </c>
      <c r="V372" s="722">
        <v>26.17</v>
      </c>
      <c r="W372" s="722">
        <v>2.79</v>
      </c>
      <c r="X372" s="722">
        <v>2.39</v>
      </c>
      <c r="Y372" s="722">
        <v>131.58000000000001</v>
      </c>
      <c r="Z372" s="382">
        <v>0.2313181054479585</v>
      </c>
      <c r="AA372" s="372">
        <v>1101.0451528000001</v>
      </c>
      <c r="AB372" s="372">
        <v>1379.9964717</v>
      </c>
      <c r="AC372" s="372">
        <v>2394.6534959000001</v>
      </c>
      <c r="AD372" s="372">
        <v>3050.4284705</v>
      </c>
      <c r="AE372" s="372">
        <v>3578.88</v>
      </c>
      <c r="AF372" s="372">
        <v>4755.33</v>
      </c>
      <c r="AG372" s="372">
        <v>7012</v>
      </c>
      <c r="AH372" s="372">
        <v>0</v>
      </c>
    </row>
    <row r="373" spans="1:34">
      <c r="A373" s="372" t="s">
        <v>3184</v>
      </c>
      <c r="B373" s="373" t="s">
        <v>3185</v>
      </c>
      <c r="C373" s="372" t="s">
        <v>3186</v>
      </c>
      <c r="D373" s="374">
        <v>1311110046639</v>
      </c>
      <c r="E373" s="372" t="s">
        <v>3187</v>
      </c>
      <c r="F373" s="375" t="s">
        <v>1286</v>
      </c>
      <c r="G373" s="375" t="s">
        <v>1286</v>
      </c>
      <c r="H373" s="375" t="s">
        <v>1388</v>
      </c>
      <c r="I373" s="375" t="s">
        <v>869</v>
      </c>
      <c r="J373" s="375">
        <v>580535.28300000005</v>
      </c>
      <c r="K373" s="375">
        <v>-14879.697539999999</v>
      </c>
      <c r="L373" s="375">
        <v>-31473.482739999999</v>
      </c>
      <c r="M373" s="375">
        <v>186237.88310000001</v>
      </c>
      <c r="N373" s="372">
        <v>0.68300000000000005</v>
      </c>
      <c r="O373" s="703">
        <v>76.330245163276402</v>
      </c>
      <c r="P373" s="375" t="s">
        <v>623</v>
      </c>
      <c r="Q373" s="375" t="s">
        <v>623</v>
      </c>
      <c r="R373" s="695">
        <v>20191107</v>
      </c>
      <c r="S373" s="375" t="s">
        <v>3188</v>
      </c>
      <c r="T373" s="696" t="s">
        <v>772</v>
      </c>
      <c r="U373" s="372" t="s">
        <v>3189</v>
      </c>
      <c r="V373" s="722">
        <v>20.58</v>
      </c>
      <c r="W373" s="722">
        <v>2.36</v>
      </c>
      <c r="X373" s="722">
        <v>1.01</v>
      </c>
      <c r="Y373" s="722" t="s">
        <v>774</v>
      </c>
      <c r="Z373" s="382">
        <v>8.8175506545309146E-2</v>
      </c>
      <c r="AA373" s="372">
        <v>3910.525846</v>
      </c>
      <c r="AB373" s="372">
        <v>5125.0743333999999</v>
      </c>
      <c r="AC373" s="372">
        <v>6334.7743284999997</v>
      </c>
      <c r="AD373" s="372">
        <v>5805.3528299999998</v>
      </c>
      <c r="AE373" s="372">
        <v>6456.67</v>
      </c>
      <c r="AF373" s="372">
        <v>7226.67</v>
      </c>
      <c r="AG373" s="372">
        <v>8140</v>
      </c>
      <c r="AH373" s="372">
        <v>0</v>
      </c>
    </row>
    <row r="374" spans="1:34">
      <c r="A374" s="372" t="s">
        <v>3190</v>
      </c>
      <c r="B374" s="373" t="s">
        <v>3191</v>
      </c>
      <c r="C374" s="372" t="s">
        <v>3192</v>
      </c>
      <c r="D374" s="374">
        <v>1101111571250</v>
      </c>
      <c r="E374" s="372" t="s">
        <v>3193</v>
      </c>
      <c r="F374" s="375" t="s">
        <v>1013</v>
      </c>
      <c r="G374" s="375" t="s">
        <v>1225</v>
      </c>
      <c r="H374" s="375" t="s">
        <v>1693</v>
      </c>
      <c r="I374" s="375" t="s">
        <v>869</v>
      </c>
      <c r="J374" s="375">
        <v>739638.72149000003</v>
      </c>
      <c r="K374" s="375">
        <v>-33190.425669999997</v>
      </c>
      <c r="L374" s="375">
        <v>43015.86146</v>
      </c>
      <c r="M374" s="375">
        <v>1236766.0840799999</v>
      </c>
      <c r="N374" s="372">
        <v>1.014</v>
      </c>
      <c r="O374" s="703">
        <v>66.183757751489367</v>
      </c>
      <c r="P374" s="375" t="s">
        <v>623</v>
      </c>
      <c r="Q374" s="372" t="s">
        <v>623</v>
      </c>
      <c r="R374" s="695">
        <v>20070706</v>
      </c>
      <c r="S374" s="372" t="s">
        <v>2529</v>
      </c>
      <c r="T374" s="696">
        <v>0.23100000000000001</v>
      </c>
      <c r="U374" s="372" t="s">
        <v>3194</v>
      </c>
      <c r="V374" s="722" t="s">
        <v>774</v>
      </c>
      <c r="W374" s="722">
        <v>0.51</v>
      </c>
      <c r="X374" s="722">
        <v>0.86</v>
      </c>
      <c r="Y374" s="722">
        <v>15.92</v>
      </c>
      <c r="Z374" s="382">
        <v>5.7700369635945714E-2</v>
      </c>
      <c r="AA374" s="372">
        <v>5089.8865118000003</v>
      </c>
      <c r="AB374" s="372">
        <v>5586.8067010000004</v>
      </c>
      <c r="AC374" s="372">
        <v>6773.1228125999996</v>
      </c>
      <c r="AD374" s="372">
        <v>7396.3872148999999</v>
      </c>
      <c r="AE374" s="372">
        <v>7937.33</v>
      </c>
      <c r="AF374" s="372">
        <v>8782.08</v>
      </c>
      <c r="AG374" s="372">
        <v>9257</v>
      </c>
      <c r="AH374" s="372">
        <v>0</v>
      </c>
    </row>
    <row r="375" spans="1:34">
      <c r="A375" s="372" t="s">
        <v>3195</v>
      </c>
      <c r="B375" s="373" t="s">
        <v>3196</v>
      </c>
      <c r="C375" s="372" t="s">
        <v>16004</v>
      </c>
      <c r="D375" s="374">
        <v>1942110038423</v>
      </c>
      <c r="E375" s="372" t="s">
        <v>16005</v>
      </c>
      <c r="F375" s="375" t="s">
        <v>1048</v>
      </c>
      <c r="G375" s="375" t="s">
        <v>3197</v>
      </c>
      <c r="H375" s="375" t="s">
        <v>1050</v>
      </c>
      <c r="I375" s="375" t="s">
        <v>755</v>
      </c>
      <c r="J375" s="375">
        <v>854384.41414000001</v>
      </c>
      <c r="K375" s="375">
        <v>8728.5651699999999</v>
      </c>
      <c r="L375" s="375">
        <v>-936.97712000000001</v>
      </c>
      <c r="M375" s="375">
        <v>224148.29113</v>
      </c>
      <c r="N375" s="372">
        <v>0.66100000000000003</v>
      </c>
      <c r="O375" s="703">
        <v>20.86687369521929</v>
      </c>
      <c r="P375" s="375" t="s">
        <v>623</v>
      </c>
      <c r="Q375" s="375" t="s">
        <v>623</v>
      </c>
      <c r="R375" s="695">
        <v>20110104</v>
      </c>
      <c r="S375" s="375" t="s">
        <v>3198</v>
      </c>
      <c r="T375" s="696" t="s">
        <v>772</v>
      </c>
      <c r="U375" s="375" t="s">
        <v>3199</v>
      </c>
      <c r="V375" s="722">
        <v>0</v>
      </c>
      <c r="W375" s="722">
        <v>3.12</v>
      </c>
      <c r="X375" s="722">
        <v>0</v>
      </c>
      <c r="Y375" s="722">
        <v>0</v>
      </c>
      <c r="Z375" s="382">
        <v>8.0375969573935446E-2</v>
      </c>
      <c r="AA375" s="372">
        <v>8299.9472329</v>
      </c>
      <c r="AB375" s="372">
        <v>5989.9909288999997</v>
      </c>
      <c r="AC375" s="372">
        <v>7642.4284699999998</v>
      </c>
      <c r="AD375" s="372">
        <v>8543.8441414000008</v>
      </c>
      <c r="AE375" s="372">
        <v>10210</v>
      </c>
      <c r="AF375" s="372">
        <v>11320</v>
      </c>
      <c r="AG375" s="372">
        <v>11640</v>
      </c>
      <c r="AH375" s="372">
        <v>0</v>
      </c>
    </row>
    <row r="376" spans="1:34">
      <c r="A376" s="372" t="s">
        <v>3200</v>
      </c>
      <c r="B376" s="373" t="s">
        <v>3201</v>
      </c>
      <c r="C376" s="372" t="s">
        <v>3202</v>
      </c>
      <c r="D376" s="374">
        <v>1348110493354</v>
      </c>
      <c r="E376" s="372" t="s">
        <v>3203</v>
      </c>
      <c r="F376" s="372" t="s">
        <v>1195</v>
      </c>
      <c r="G376" s="375" t="s">
        <v>1196</v>
      </c>
      <c r="H376" s="375" t="s">
        <v>1388</v>
      </c>
      <c r="I376" s="375" t="s">
        <v>869</v>
      </c>
      <c r="J376" s="375">
        <v>311129.34100000001</v>
      </c>
      <c r="K376" s="375">
        <v>34794.387999999999</v>
      </c>
      <c r="L376" s="375">
        <v>48961.180999999997</v>
      </c>
      <c r="M376" s="375">
        <v>362032.603</v>
      </c>
      <c r="N376" s="372">
        <v>1.1299999999999999</v>
      </c>
      <c r="O376" s="703">
        <v>2.5896898320536019</v>
      </c>
      <c r="P376" s="375" t="s">
        <v>623</v>
      </c>
      <c r="Q376" s="372" t="s">
        <v>623</v>
      </c>
      <c r="R376" s="695">
        <v>20190510</v>
      </c>
      <c r="S376" s="372" t="s">
        <v>3204</v>
      </c>
      <c r="T376" s="696">
        <v>0.23100000000000001</v>
      </c>
      <c r="U376" s="372" t="s">
        <v>3205</v>
      </c>
      <c r="V376" s="722">
        <v>10.119999999999999</v>
      </c>
      <c r="W376" s="722">
        <v>1.55</v>
      </c>
      <c r="X376" s="722">
        <v>1.73</v>
      </c>
      <c r="Y376" s="722">
        <v>11.61</v>
      </c>
      <c r="Z376" s="382" t="s">
        <v>934</v>
      </c>
      <c r="AA376" s="372">
        <v>2657.2968446</v>
      </c>
      <c r="AB376" s="372">
        <v>4458.0372605000002</v>
      </c>
      <c r="AC376" s="372">
        <v>4609.0920100000003</v>
      </c>
      <c r="AD376" s="372">
        <v>3518.6380600000002</v>
      </c>
      <c r="AE376" s="372">
        <v>3978</v>
      </c>
      <c r="AF376" s="372">
        <v>4741.25</v>
      </c>
      <c r="AG376" s="372">
        <v>0</v>
      </c>
      <c r="AH376" s="372">
        <v>0</v>
      </c>
    </row>
    <row r="377" spans="1:34">
      <c r="A377" s="372" t="s">
        <v>3206</v>
      </c>
      <c r="B377" s="373" t="s">
        <v>3207</v>
      </c>
      <c r="C377" s="372" t="s">
        <v>3208</v>
      </c>
      <c r="D377" s="374">
        <v>1101110393283</v>
      </c>
      <c r="E377" s="372" t="s">
        <v>3209</v>
      </c>
      <c r="F377" s="375" t="s">
        <v>3210</v>
      </c>
      <c r="G377" s="375" t="s">
        <v>3211</v>
      </c>
      <c r="H377" s="375" t="s">
        <v>823</v>
      </c>
      <c r="I377" s="375" t="s">
        <v>755</v>
      </c>
      <c r="J377" s="375">
        <v>485713.63611000002</v>
      </c>
      <c r="K377" s="375">
        <v>65329.237350000003</v>
      </c>
      <c r="L377" s="375">
        <v>69451.214949999994</v>
      </c>
      <c r="M377" s="375">
        <v>369599.77565999998</v>
      </c>
      <c r="N377" s="372">
        <v>0.72899999999999998</v>
      </c>
      <c r="O377" s="703">
        <v>4.0485503398024685</v>
      </c>
      <c r="P377" s="375" t="s">
        <v>623</v>
      </c>
      <c r="Q377" s="375" t="s">
        <v>623</v>
      </c>
      <c r="R377" s="695">
        <v>20000512</v>
      </c>
      <c r="S377" s="375" t="s">
        <v>3212</v>
      </c>
      <c r="T377" s="696">
        <v>0.23100000000000001</v>
      </c>
      <c r="U377" s="375" t="s">
        <v>3213</v>
      </c>
      <c r="V377" s="722">
        <v>6.44</v>
      </c>
      <c r="W377" s="722">
        <v>1.5</v>
      </c>
      <c r="X377" s="722">
        <v>1.18</v>
      </c>
      <c r="Y377" s="722">
        <v>10.25</v>
      </c>
      <c r="Z377" s="382" t="s">
        <v>934</v>
      </c>
      <c r="AA377" s="372">
        <v>4460.0579601999998</v>
      </c>
      <c r="AB377" s="372">
        <v>4847.9730560999997</v>
      </c>
      <c r="AC377" s="372">
        <v>4798.6859138</v>
      </c>
      <c r="AD377" s="372">
        <v>4857.1363610999997</v>
      </c>
      <c r="AE377" s="372">
        <v>5074</v>
      </c>
      <c r="AF377" s="372">
        <v>5356</v>
      </c>
      <c r="AG377" s="372">
        <v>0</v>
      </c>
      <c r="AH377" s="372">
        <v>0</v>
      </c>
    </row>
    <row r="378" spans="1:34">
      <c r="A378" s="372" t="s">
        <v>3214</v>
      </c>
      <c r="B378" s="373" t="s">
        <v>3215</v>
      </c>
      <c r="C378" s="372" t="s">
        <v>3216</v>
      </c>
      <c r="D378" s="374">
        <v>1101110126783</v>
      </c>
      <c r="E378" s="372" t="s">
        <v>3217</v>
      </c>
      <c r="F378" s="372" t="s">
        <v>900</v>
      </c>
      <c r="G378" s="375" t="s">
        <v>901</v>
      </c>
      <c r="H378" s="375" t="s">
        <v>862</v>
      </c>
      <c r="I378" s="375" t="s">
        <v>755</v>
      </c>
      <c r="J378" s="375">
        <v>1986296.5038699999</v>
      </c>
      <c r="K378" s="375">
        <v>514391.68904000003</v>
      </c>
      <c r="L378" s="375">
        <v>524695.86077000003</v>
      </c>
      <c r="M378" s="375">
        <v>3195056.31874</v>
      </c>
      <c r="N378" s="372">
        <v>1.7210000000000001</v>
      </c>
      <c r="O378" s="703">
        <v>26.469381890142095</v>
      </c>
      <c r="P378" s="375" t="s">
        <v>623</v>
      </c>
      <c r="Q378" s="372" t="s">
        <v>623</v>
      </c>
      <c r="R378" s="695">
        <v>19841004</v>
      </c>
      <c r="S378" s="375" t="s">
        <v>861</v>
      </c>
      <c r="T378" s="696">
        <v>0.26400000000000001</v>
      </c>
      <c r="U378" s="375" t="s">
        <v>16006</v>
      </c>
      <c r="V378" s="722">
        <v>2.69</v>
      </c>
      <c r="W378" s="722">
        <v>0.28999999999999998</v>
      </c>
      <c r="X378" s="722">
        <v>0.31</v>
      </c>
      <c r="Y378" s="722">
        <v>5</v>
      </c>
      <c r="Z378" s="382" t="s">
        <v>934</v>
      </c>
      <c r="AA378" s="372">
        <v>206.50573259999999</v>
      </c>
      <c r="AB378" s="372">
        <v>7271.2634535999996</v>
      </c>
      <c r="AC378" s="372">
        <v>18168.149374699999</v>
      </c>
      <c r="AD378" s="372">
        <v>19862.9650387</v>
      </c>
      <c r="AE378" s="372">
        <v>14340</v>
      </c>
      <c r="AF378" s="372">
        <v>0</v>
      </c>
      <c r="AG378" s="372">
        <v>0</v>
      </c>
      <c r="AH378" s="372">
        <v>0</v>
      </c>
    </row>
    <row r="379" spans="1:34">
      <c r="A379" s="372" t="s">
        <v>3218</v>
      </c>
      <c r="B379" s="373" t="s">
        <v>3219</v>
      </c>
      <c r="C379" s="372" t="s">
        <v>3220</v>
      </c>
      <c r="D379" s="374">
        <v>1101111955694</v>
      </c>
      <c r="E379" s="372" t="s">
        <v>3221</v>
      </c>
      <c r="F379" s="375" t="s">
        <v>1013</v>
      </c>
      <c r="G379" s="375" t="s">
        <v>1225</v>
      </c>
      <c r="H379" s="375" t="s">
        <v>1693</v>
      </c>
      <c r="I379" s="375" t="s">
        <v>869</v>
      </c>
      <c r="J379" s="375">
        <v>196290.41466000001</v>
      </c>
      <c r="K379" s="375">
        <v>49903.098279999998</v>
      </c>
      <c r="L379" s="375">
        <v>71924.281870000006</v>
      </c>
      <c r="M379" s="375">
        <v>623898.76824</v>
      </c>
      <c r="N379" s="372">
        <v>0.92</v>
      </c>
      <c r="O379" s="703">
        <v>0.62161850797296248</v>
      </c>
      <c r="P379" s="375" t="s">
        <v>623</v>
      </c>
      <c r="Q379" s="372" t="s">
        <v>623</v>
      </c>
      <c r="R379" s="695">
        <v>20030521</v>
      </c>
      <c r="S379" s="375" t="s">
        <v>3222</v>
      </c>
      <c r="T379" s="696">
        <v>0.23100000000000001</v>
      </c>
      <c r="U379" s="375" t="s">
        <v>3223</v>
      </c>
      <c r="V379" s="722">
        <v>10.15</v>
      </c>
      <c r="W379" s="722">
        <v>0.81</v>
      </c>
      <c r="X379" s="722">
        <v>2.92</v>
      </c>
      <c r="Y379" s="722">
        <v>9.94</v>
      </c>
      <c r="Z379" s="382">
        <v>0.19238949920230186</v>
      </c>
      <c r="AA379" s="372">
        <v>2940.9176481999998</v>
      </c>
      <c r="AB379" s="372">
        <v>2847.8254173999999</v>
      </c>
      <c r="AC379" s="372">
        <v>2421.4023993999999</v>
      </c>
      <c r="AD379" s="372">
        <v>1962.9041466000001</v>
      </c>
      <c r="AE379" s="372">
        <v>2496.17</v>
      </c>
      <c r="AF379" s="372">
        <v>2792.83</v>
      </c>
      <c r="AG379" s="372">
        <v>3968</v>
      </c>
      <c r="AH379" s="372">
        <v>0</v>
      </c>
    </row>
    <row r="380" spans="1:34">
      <c r="A380" s="372" t="s">
        <v>3224</v>
      </c>
      <c r="B380" s="373" t="s">
        <v>3225</v>
      </c>
      <c r="C380" s="372" t="s">
        <v>3226</v>
      </c>
      <c r="D380" s="374">
        <v>1101110282402</v>
      </c>
      <c r="E380" s="372" t="s">
        <v>3227</v>
      </c>
      <c r="F380" s="375" t="s">
        <v>3228</v>
      </c>
      <c r="G380" s="375" t="s">
        <v>3229</v>
      </c>
      <c r="H380" s="375" t="s">
        <v>853</v>
      </c>
      <c r="I380" s="375" t="s">
        <v>755</v>
      </c>
      <c r="J380" s="375">
        <v>1354327.1661799999</v>
      </c>
      <c r="K380" s="375">
        <v>48733.428809999998</v>
      </c>
      <c r="L380" s="375">
        <v>61143.970589999997</v>
      </c>
      <c r="M380" s="375">
        <v>851714.74985999998</v>
      </c>
      <c r="N380" s="372">
        <v>0.80800000000000005</v>
      </c>
      <c r="O380" s="703">
        <v>51.602439139762026</v>
      </c>
      <c r="P380" s="375" t="s">
        <v>623</v>
      </c>
      <c r="Q380" s="375" t="s">
        <v>623</v>
      </c>
      <c r="R380" s="695">
        <v>20110714</v>
      </c>
      <c r="S380" s="375" t="s">
        <v>3230</v>
      </c>
      <c r="T380" s="696">
        <v>0.23100000000000001</v>
      </c>
      <c r="U380" s="375" t="s">
        <v>3231</v>
      </c>
      <c r="V380" s="722">
        <v>7.4</v>
      </c>
      <c r="W380" s="722">
        <v>0.77</v>
      </c>
      <c r="X380" s="722">
        <v>0.48</v>
      </c>
      <c r="Y380" s="722">
        <v>16.66</v>
      </c>
      <c r="Z380" s="382">
        <v>3.297256637804824E-2</v>
      </c>
      <c r="AA380" s="372">
        <v>13254.996839900001</v>
      </c>
      <c r="AB380" s="372">
        <v>14507.7857282</v>
      </c>
      <c r="AC380" s="372">
        <v>15538.773165099999</v>
      </c>
      <c r="AD380" s="372">
        <v>13543.271661799999</v>
      </c>
      <c r="AE380" s="372">
        <v>14083.29</v>
      </c>
      <c r="AF380" s="372">
        <v>14942.93</v>
      </c>
      <c r="AG380" s="372">
        <v>15419.8</v>
      </c>
      <c r="AH380" s="372">
        <v>0</v>
      </c>
    </row>
    <row r="381" spans="1:34">
      <c r="A381" s="372" t="s">
        <v>3232</v>
      </c>
      <c r="B381" s="373" t="s">
        <v>3233</v>
      </c>
      <c r="C381" s="372" t="s">
        <v>3234</v>
      </c>
      <c r="D381" s="374">
        <v>1101110006612</v>
      </c>
      <c r="E381" s="372" t="s">
        <v>3235</v>
      </c>
      <c r="F381" s="375" t="s">
        <v>1272</v>
      </c>
      <c r="G381" s="375" t="s">
        <v>1273</v>
      </c>
      <c r="H381" s="375" t="s">
        <v>1274</v>
      </c>
      <c r="I381" s="375" t="s">
        <v>755</v>
      </c>
      <c r="J381" s="375">
        <v>0</v>
      </c>
      <c r="K381" s="375">
        <v>0</v>
      </c>
      <c r="L381" s="375">
        <v>0</v>
      </c>
      <c r="M381" s="375">
        <v>0</v>
      </c>
      <c r="N381" s="372">
        <v>0.47599999999999998</v>
      </c>
      <c r="O381" s="703">
        <v>0</v>
      </c>
      <c r="P381" s="375" t="s">
        <v>623</v>
      </c>
      <c r="Q381" s="375" t="s">
        <v>623</v>
      </c>
      <c r="R381" s="695">
        <v>19870824</v>
      </c>
      <c r="S381" s="375" t="s">
        <v>3236</v>
      </c>
      <c r="T381" s="696" t="s">
        <v>772</v>
      </c>
      <c r="U381" s="375" t="s">
        <v>3237</v>
      </c>
      <c r="V381" s="722">
        <v>0</v>
      </c>
      <c r="W381" s="722">
        <v>0</v>
      </c>
      <c r="X381" s="722">
        <v>0</v>
      </c>
      <c r="Y381" s="722">
        <v>0</v>
      </c>
      <c r="Z381" s="382" t="s">
        <v>774</v>
      </c>
      <c r="AA381" s="372">
        <v>4449.5880396000002</v>
      </c>
      <c r="AB381" s="372">
        <v>3003.0692435000001</v>
      </c>
      <c r="AC381" s="372">
        <v>2880.0922369</v>
      </c>
      <c r="AD381" s="372">
        <v>0</v>
      </c>
      <c r="AE381" s="372">
        <v>0</v>
      </c>
      <c r="AF381" s="372">
        <v>0</v>
      </c>
      <c r="AG381" s="372">
        <v>0</v>
      </c>
      <c r="AH381" s="372">
        <v>0</v>
      </c>
    </row>
    <row r="382" spans="1:34">
      <c r="A382" s="372" t="s">
        <v>3238</v>
      </c>
      <c r="B382" s="373" t="s">
        <v>3239</v>
      </c>
      <c r="C382" s="372" t="s">
        <v>3240</v>
      </c>
      <c r="D382" s="374">
        <v>1341110189717</v>
      </c>
      <c r="E382" s="372" t="s">
        <v>3241</v>
      </c>
      <c r="F382" s="375" t="s">
        <v>1286</v>
      </c>
      <c r="G382" s="375" t="s">
        <v>1286</v>
      </c>
      <c r="H382" s="375" t="s">
        <v>1388</v>
      </c>
      <c r="I382" s="375" t="s">
        <v>869</v>
      </c>
      <c r="J382" s="375">
        <v>19361.163280000001</v>
      </c>
      <c r="K382" s="375">
        <v>-19731.810600000001</v>
      </c>
      <c r="L382" s="375">
        <v>-35504.865389999999</v>
      </c>
      <c r="M382" s="375">
        <v>17215.2215</v>
      </c>
      <c r="N382" s="372">
        <v>1.0780000000000001</v>
      </c>
      <c r="O382" s="703">
        <v>13.941896545564203</v>
      </c>
      <c r="P382" s="375" t="s">
        <v>623</v>
      </c>
      <c r="Q382" s="375" t="s">
        <v>623</v>
      </c>
      <c r="R382" s="695">
        <v>20170927</v>
      </c>
      <c r="S382" s="375" t="s">
        <v>3242</v>
      </c>
      <c r="T382" s="696" t="s">
        <v>772</v>
      </c>
      <c r="U382" s="375" t="s">
        <v>3243</v>
      </c>
      <c r="V382" s="722" t="s">
        <v>774</v>
      </c>
      <c r="W382" s="722">
        <v>29.57</v>
      </c>
      <c r="X382" s="722">
        <v>33.380000000000003</v>
      </c>
      <c r="Y382" s="722" t="s">
        <v>774</v>
      </c>
      <c r="Z382" s="382">
        <v>1.1425559851267471</v>
      </c>
      <c r="AA382" s="372">
        <v>596.05293940000001</v>
      </c>
      <c r="AB382" s="372">
        <v>451.99738780000001</v>
      </c>
      <c r="AC382" s="372">
        <v>364.43362530000002</v>
      </c>
      <c r="AD382" s="372">
        <v>193.6116328</v>
      </c>
      <c r="AE382" s="372">
        <v>200</v>
      </c>
      <c r="AF382" s="372">
        <v>740</v>
      </c>
      <c r="AG382" s="372">
        <v>4080</v>
      </c>
      <c r="AH382" s="372">
        <v>0</v>
      </c>
    </row>
    <row r="383" spans="1:34">
      <c r="A383" s="372" t="s">
        <v>3244</v>
      </c>
      <c r="B383" s="373" t="s">
        <v>3245</v>
      </c>
      <c r="C383" s="372" t="s">
        <v>3246</v>
      </c>
      <c r="D383" s="374">
        <v>1101118651633</v>
      </c>
      <c r="E383" s="372" t="s">
        <v>3247</v>
      </c>
      <c r="F383" s="375" t="s">
        <v>3248</v>
      </c>
      <c r="G383" s="375" t="s">
        <v>3248</v>
      </c>
      <c r="H383" s="375" t="s">
        <v>817</v>
      </c>
      <c r="I383" s="375" t="s">
        <v>755</v>
      </c>
      <c r="J383" s="375">
        <v>0</v>
      </c>
      <c r="K383" s="375">
        <v>0</v>
      </c>
      <c r="L383" s="375">
        <v>0</v>
      </c>
      <c r="M383" s="375">
        <v>1721360.8570600001</v>
      </c>
      <c r="N383" s="372" t="s">
        <v>1033</v>
      </c>
      <c r="O383" s="703">
        <v>185.7578582869665</v>
      </c>
      <c r="P383" s="375" t="s">
        <v>623</v>
      </c>
      <c r="Q383" s="372" t="s">
        <v>623</v>
      </c>
      <c r="R383" s="695">
        <v>20230616</v>
      </c>
      <c r="S383" s="372" t="s">
        <v>3249</v>
      </c>
      <c r="T383" s="696" t="s">
        <v>772</v>
      </c>
      <c r="U383" s="372">
        <v>0</v>
      </c>
      <c r="V383" s="722">
        <v>0</v>
      </c>
      <c r="W383" s="722">
        <v>0.35</v>
      </c>
      <c r="X383" s="722">
        <v>0</v>
      </c>
      <c r="Y383" s="722">
        <v>0</v>
      </c>
      <c r="Z383" s="382" t="s">
        <v>934</v>
      </c>
      <c r="AA383" s="372">
        <v>0</v>
      </c>
      <c r="AB383" s="372">
        <v>0</v>
      </c>
      <c r="AC383" s="372">
        <v>0</v>
      </c>
      <c r="AD383" s="372">
        <v>26321.041292999998</v>
      </c>
      <c r="AE383" s="372">
        <v>0</v>
      </c>
      <c r="AF383" s="372">
        <v>0</v>
      </c>
      <c r="AG383" s="372">
        <v>0</v>
      </c>
      <c r="AH383" s="372">
        <v>0</v>
      </c>
    </row>
    <row r="384" spans="1:34">
      <c r="A384" s="372" t="s">
        <v>3250</v>
      </c>
      <c r="B384" s="373" t="s">
        <v>3251</v>
      </c>
      <c r="C384" s="372" t="s">
        <v>3252</v>
      </c>
      <c r="D384" s="374">
        <v>1101110600430</v>
      </c>
      <c r="E384" s="372" t="s">
        <v>3253</v>
      </c>
      <c r="F384" s="375" t="s">
        <v>1195</v>
      </c>
      <c r="G384" s="375" t="s">
        <v>1196</v>
      </c>
      <c r="H384" s="375" t="s">
        <v>868</v>
      </c>
      <c r="I384" s="375" t="s">
        <v>869</v>
      </c>
      <c r="J384" s="375">
        <v>402871.35993999999</v>
      </c>
      <c r="K384" s="375">
        <v>7144.6457600000003</v>
      </c>
      <c r="L384" s="375">
        <v>19422.217110000001</v>
      </c>
      <c r="M384" s="375">
        <v>343135.60872999998</v>
      </c>
      <c r="N384" s="372">
        <v>1.365</v>
      </c>
      <c r="O384" s="703">
        <v>21.784278845300559</v>
      </c>
      <c r="P384" s="375" t="s">
        <v>623</v>
      </c>
      <c r="Q384" s="375" t="s">
        <v>623</v>
      </c>
      <c r="R384" s="695">
        <v>20060201</v>
      </c>
      <c r="S384" s="375" t="s">
        <v>3254</v>
      </c>
      <c r="T384" s="696">
        <v>0.20900000000000002</v>
      </c>
      <c r="U384" s="375" t="s">
        <v>3255</v>
      </c>
      <c r="V384" s="722">
        <v>27.28</v>
      </c>
      <c r="W384" s="722">
        <v>1.59</v>
      </c>
      <c r="X384" s="722">
        <v>1.2</v>
      </c>
      <c r="Y384" s="722">
        <v>48.79</v>
      </c>
      <c r="Z384" s="382">
        <v>0.14107338896009392</v>
      </c>
      <c r="AA384" s="372">
        <v>3600.2480292999999</v>
      </c>
      <c r="AB384" s="372">
        <v>4007.6224953000001</v>
      </c>
      <c r="AC384" s="372">
        <v>5090.1589314000003</v>
      </c>
      <c r="AD384" s="372">
        <v>4028.7135994</v>
      </c>
      <c r="AE384" s="372">
        <v>5508</v>
      </c>
      <c r="AF384" s="372">
        <v>6980</v>
      </c>
      <c r="AG384" s="372">
        <v>6830</v>
      </c>
      <c r="AH384" s="372">
        <v>0</v>
      </c>
    </row>
    <row r="385" spans="1:34">
      <c r="A385" s="372" t="s">
        <v>3256</v>
      </c>
      <c r="B385" s="373" t="s">
        <v>3257</v>
      </c>
      <c r="C385" s="372" t="s">
        <v>3258</v>
      </c>
      <c r="D385" s="374">
        <v>1101113667552</v>
      </c>
      <c r="E385" s="372" t="s">
        <v>3259</v>
      </c>
      <c r="F385" s="375" t="s">
        <v>1013</v>
      </c>
      <c r="G385" s="375" t="s">
        <v>1225</v>
      </c>
      <c r="H385" s="375" t="s">
        <v>1693</v>
      </c>
      <c r="I385" s="375" t="s">
        <v>869</v>
      </c>
      <c r="J385" s="375">
        <v>365593.72674000001</v>
      </c>
      <c r="K385" s="375">
        <v>31593.31782</v>
      </c>
      <c r="L385" s="375">
        <v>43764.308940000003</v>
      </c>
      <c r="M385" s="375">
        <v>527620.33559000003</v>
      </c>
      <c r="N385" s="372">
        <v>0.56299999999999994</v>
      </c>
      <c r="O385" s="703">
        <v>5.2846331639766664</v>
      </c>
      <c r="P385" s="375" t="s">
        <v>623</v>
      </c>
      <c r="Q385" s="375" t="s">
        <v>623</v>
      </c>
      <c r="R385" s="695">
        <v>20070702</v>
      </c>
      <c r="S385" s="375" t="s">
        <v>3260</v>
      </c>
      <c r="T385" s="696">
        <v>0.23100000000000001</v>
      </c>
      <c r="U385" s="375" t="s">
        <v>3261</v>
      </c>
      <c r="V385" s="722">
        <v>12.42</v>
      </c>
      <c r="W385" s="722">
        <v>1.0900000000000001</v>
      </c>
      <c r="X385" s="722">
        <v>1.61</v>
      </c>
      <c r="Y385" s="722">
        <v>12.06</v>
      </c>
      <c r="Z385" s="382">
        <v>1.791199365363072E-2</v>
      </c>
      <c r="AA385" s="372">
        <v>2896.0637624999999</v>
      </c>
      <c r="AB385" s="372">
        <v>2611.9990594999999</v>
      </c>
      <c r="AC385" s="372">
        <v>2945.6707557999998</v>
      </c>
      <c r="AD385" s="372">
        <v>3655.9372674000001</v>
      </c>
      <c r="AE385" s="372">
        <v>3828.18</v>
      </c>
      <c r="AF385" s="372">
        <v>4445.6400000000003</v>
      </c>
      <c r="AG385" s="372">
        <v>3925</v>
      </c>
      <c r="AH385" s="372">
        <v>0</v>
      </c>
    </row>
    <row r="386" spans="1:34">
      <c r="A386" s="372" t="s">
        <v>3262</v>
      </c>
      <c r="B386" s="373" t="s">
        <v>3263</v>
      </c>
      <c r="C386" s="372" t="s">
        <v>3264</v>
      </c>
      <c r="D386" s="374">
        <v>1101112732413</v>
      </c>
      <c r="E386" s="372" t="s">
        <v>3265</v>
      </c>
      <c r="F386" s="375" t="s">
        <v>3266</v>
      </c>
      <c r="G386" s="375" t="s">
        <v>3266</v>
      </c>
      <c r="H386" s="375" t="s">
        <v>1388</v>
      </c>
      <c r="I386" s="375" t="s">
        <v>869</v>
      </c>
      <c r="J386" s="375">
        <v>27627.400819999999</v>
      </c>
      <c r="K386" s="375">
        <v>7769.4412400000001</v>
      </c>
      <c r="L386" s="375">
        <v>-28515.657210000001</v>
      </c>
      <c r="M386" s="375">
        <v>70464.015289999996</v>
      </c>
      <c r="N386" s="372">
        <v>1.242</v>
      </c>
      <c r="O386" s="703">
        <v>0.33997599563303338</v>
      </c>
      <c r="P386" s="375" t="s">
        <v>623</v>
      </c>
      <c r="Q386" s="375" t="s">
        <v>623</v>
      </c>
      <c r="R386" s="695">
        <v>20131029</v>
      </c>
      <c r="S386" s="375" t="s">
        <v>3267</v>
      </c>
      <c r="T386" s="696" t="s">
        <v>772</v>
      </c>
      <c r="U386" s="375" t="s">
        <v>3268</v>
      </c>
      <c r="V386" s="722">
        <v>65.42</v>
      </c>
      <c r="W386" s="722">
        <v>9.41</v>
      </c>
      <c r="X386" s="722">
        <v>24.01</v>
      </c>
      <c r="Y386" s="722" t="s">
        <v>774</v>
      </c>
      <c r="Z386" s="382">
        <v>7.1372115359390476E-2</v>
      </c>
      <c r="AA386" s="372">
        <v>154.00622759999999</v>
      </c>
      <c r="AB386" s="372">
        <v>199.7956709</v>
      </c>
      <c r="AC386" s="372">
        <v>240.927424</v>
      </c>
      <c r="AD386" s="372">
        <v>276.27400820000003</v>
      </c>
      <c r="AE386" s="372">
        <v>300</v>
      </c>
      <c r="AF386" s="372">
        <v>319.5</v>
      </c>
      <c r="AG386" s="372">
        <v>364</v>
      </c>
      <c r="AH386" s="372">
        <v>0</v>
      </c>
    </row>
    <row r="387" spans="1:34">
      <c r="A387" s="372" t="s">
        <v>3269</v>
      </c>
      <c r="B387" s="373" t="s">
        <v>3270</v>
      </c>
      <c r="C387" s="372" t="s">
        <v>3271</v>
      </c>
      <c r="D387" s="374">
        <v>1101113001685</v>
      </c>
      <c r="E387" s="372" t="s">
        <v>3272</v>
      </c>
      <c r="F387" s="375" t="s">
        <v>3273</v>
      </c>
      <c r="G387" s="375" t="s">
        <v>3274</v>
      </c>
      <c r="H387" s="375" t="s">
        <v>823</v>
      </c>
      <c r="I387" s="375" t="s">
        <v>755</v>
      </c>
      <c r="J387" s="375">
        <v>479675.94546999998</v>
      </c>
      <c r="K387" s="375">
        <v>190379.79616</v>
      </c>
      <c r="L387" s="375">
        <v>134260.66602</v>
      </c>
      <c r="M387" s="375">
        <v>761878.02346000005</v>
      </c>
      <c r="N387" s="372">
        <v>0.82599999999999996</v>
      </c>
      <c r="O387" s="703">
        <v>590.84275988588809</v>
      </c>
      <c r="P387" s="375" t="s">
        <v>623</v>
      </c>
      <c r="Q387" s="375" t="s">
        <v>623</v>
      </c>
      <c r="R387" s="695">
        <v>20150623</v>
      </c>
      <c r="S387" s="375" t="s">
        <v>3275</v>
      </c>
      <c r="T387" s="696">
        <v>0.23100000000000001</v>
      </c>
      <c r="U387" s="375" t="s">
        <v>3276</v>
      </c>
      <c r="V387" s="722">
        <v>6.65</v>
      </c>
      <c r="W387" s="722">
        <v>0.94</v>
      </c>
      <c r="X387" s="722">
        <v>1.49</v>
      </c>
      <c r="Y387" s="722">
        <v>6.92</v>
      </c>
      <c r="Z387" s="382">
        <v>-7.9756781766711859E-2</v>
      </c>
      <c r="AA387" s="372">
        <v>6997.5302547000001</v>
      </c>
      <c r="AB387" s="372">
        <v>8818.3663713999995</v>
      </c>
      <c r="AC387" s="372">
        <v>5634.3656616999997</v>
      </c>
      <c r="AD387" s="372">
        <v>4796.7594546999999</v>
      </c>
      <c r="AE387" s="372">
        <v>5350</v>
      </c>
      <c r="AF387" s="372">
        <v>3350</v>
      </c>
      <c r="AG387" s="372">
        <v>3440</v>
      </c>
      <c r="AH387" s="372">
        <v>3533</v>
      </c>
    </row>
    <row r="388" spans="1:34">
      <c r="A388" s="372" t="s">
        <v>3277</v>
      </c>
      <c r="B388" s="373" t="s">
        <v>3278</v>
      </c>
      <c r="C388" s="372" t="s">
        <v>3279</v>
      </c>
      <c r="D388" s="374">
        <v>1648110105010</v>
      </c>
      <c r="E388" s="372" t="s">
        <v>3280</v>
      </c>
      <c r="F388" s="375" t="s">
        <v>1286</v>
      </c>
      <c r="G388" s="375" t="s">
        <v>1286</v>
      </c>
      <c r="H388" s="375" t="s">
        <v>1388</v>
      </c>
      <c r="I388" s="375" t="s">
        <v>869</v>
      </c>
      <c r="J388" s="375">
        <v>387002.61219999997</v>
      </c>
      <c r="K388" s="375">
        <v>42162.01339</v>
      </c>
      <c r="L388" s="375">
        <v>44130.414929999999</v>
      </c>
      <c r="M388" s="375">
        <v>406003.67236999999</v>
      </c>
      <c r="N388" s="372">
        <v>1.137</v>
      </c>
      <c r="O388" s="703">
        <v>19.240175113626933</v>
      </c>
      <c r="P388" s="375" t="s">
        <v>623</v>
      </c>
      <c r="Q388" s="375" t="s">
        <v>623</v>
      </c>
      <c r="R388" s="695">
        <v>20170710</v>
      </c>
      <c r="S388" s="375" t="s">
        <v>3281</v>
      </c>
      <c r="T388" s="696">
        <v>0.23100000000000001</v>
      </c>
      <c r="U388" s="375" t="s">
        <v>3282</v>
      </c>
      <c r="V388" s="722">
        <v>10.17</v>
      </c>
      <c r="W388" s="722">
        <v>1.52</v>
      </c>
      <c r="X388" s="722">
        <v>1.67</v>
      </c>
      <c r="Y388" s="722">
        <v>19.7</v>
      </c>
      <c r="Z388" s="382">
        <v>0.21213681475876012</v>
      </c>
      <c r="AA388" s="372">
        <v>3362.5763345999999</v>
      </c>
      <c r="AB388" s="372">
        <v>4872.9246399000003</v>
      </c>
      <c r="AC388" s="372">
        <v>4893.5293941999998</v>
      </c>
      <c r="AD388" s="372">
        <v>3870.0261220000002</v>
      </c>
      <c r="AE388" s="372">
        <v>4725.2</v>
      </c>
      <c r="AF388" s="372">
        <v>6104.6</v>
      </c>
      <c r="AG388" s="372">
        <v>8354.5</v>
      </c>
      <c r="AH388" s="372">
        <v>0</v>
      </c>
    </row>
    <row r="389" spans="1:34">
      <c r="A389" s="372" t="s">
        <v>3283</v>
      </c>
      <c r="B389" s="373" t="s">
        <v>3284</v>
      </c>
      <c r="C389" s="372" t="s">
        <v>3285</v>
      </c>
      <c r="D389" s="374">
        <v>1101110018089</v>
      </c>
      <c r="E389" s="372" t="s">
        <v>3286</v>
      </c>
      <c r="F389" s="372" t="s">
        <v>1272</v>
      </c>
      <c r="G389" s="375" t="s">
        <v>1273</v>
      </c>
      <c r="H389" s="375" t="s">
        <v>1274</v>
      </c>
      <c r="I389" s="375" t="s">
        <v>755</v>
      </c>
      <c r="J389" s="375">
        <v>283874.80736999999</v>
      </c>
      <c r="K389" s="375">
        <v>70278.210959999997</v>
      </c>
      <c r="L389" s="375">
        <v>85775.113129999998</v>
      </c>
      <c r="M389" s="375">
        <v>1877274.4915700001</v>
      </c>
      <c r="N389" s="372">
        <v>0.86599999999999999</v>
      </c>
      <c r="O389" s="703">
        <v>1026.394660518145</v>
      </c>
      <c r="P389" s="375" t="s">
        <v>623</v>
      </c>
      <c r="Q389" s="375" t="s">
        <v>623</v>
      </c>
      <c r="R389" s="695">
        <v>19991116</v>
      </c>
      <c r="S389" s="375" t="s">
        <v>3287</v>
      </c>
      <c r="T389" s="696">
        <v>0.23100000000000001</v>
      </c>
      <c r="U389" s="375" t="s">
        <v>3288</v>
      </c>
      <c r="V389" s="722">
        <v>0</v>
      </c>
      <c r="W389" s="722">
        <v>0.3</v>
      </c>
      <c r="X389" s="722">
        <v>0.11</v>
      </c>
      <c r="Y389" s="722">
        <v>5.95</v>
      </c>
      <c r="Z389" s="382" t="s">
        <v>934</v>
      </c>
      <c r="AA389" s="372">
        <v>3493.7499078000001</v>
      </c>
      <c r="AB389" s="372">
        <v>4312.4553128999996</v>
      </c>
      <c r="AC389" s="372">
        <v>2746.7053117</v>
      </c>
      <c r="AD389" s="372">
        <v>2838.7480737000001</v>
      </c>
      <c r="AE389" s="372">
        <v>0</v>
      </c>
      <c r="AF389" s="372">
        <v>0</v>
      </c>
      <c r="AG389" s="372">
        <v>0</v>
      </c>
      <c r="AH389" s="372">
        <v>0</v>
      </c>
    </row>
    <row r="390" spans="1:34">
      <c r="A390" s="372" t="s">
        <v>3289</v>
      </c>
      <c r="B390" s="373" t="s">
        <v>3290</v>
      </c>
      <c r="C390" s="372" t="s">
        <v>3291</v>
      </c>
      <c r="D390" s="374">
        <v>1101110026181</v>
      </c>
      <c r="E390" s="372" t="s">
        <v>3292</v>
      </c>
      <c r="F390" s="375" t="s">
        <v>900</v>
      </c>
      <c r="G390" s="375" t="s">
        <v>901</v>
      </c>
      <c r="H390" s="375" t="s">
        <v>862</v>
      </c>
      <c r="I390" s="375" t="s">
        <v>755</v>
      </c>
      <c r="J390" s="375">
        <v>3210853.4917899999</v>
      </c>
      <c r="K390" s="375">
        <v>94802.726819999996</v>
      </c>
      <c r="L390" s="375">
        <v>266532.72454000002</v>
      </c>
      <c r="M390" s="375">
        <v>2796536.3170099999</v>
      </c>
      <c r="N390" s="372">
        <v>0.84099999999999997</v>
      </c>
      <c r="O390" s="703">
        <v>313.26457973906071</v>
      </c>
      <c r="P390" s="375" t="s">
        <v>623</v>
      </c>
      <c r="Q390" s="375" t="s">
        <v>623</v>
      </c>
      <c r="R390" s="695">
        <v>19681227</v>
      </c>
      <c r="S390" s="375" t="s">
        <v>3293</v>
      </c>
      <c r="T390" s="696">
        <v>0.23100000000000001</v>
      </c>
      <c r="U390" s="375" t="s">
        <v>3294</v>
      </c>
      <c r="V390" s="722">
        <v>9.9700000000000006</v>
      </c>
      <c r="W390" s="722">
        <v>0.31</v>
      </c>
      <c r="X390" s="722">
        <v>0.19</v>
      </c>
      <c r="Y390" s="722">
        <v>3.55</v>
      </c>
      <c r="Z390" s="382" t="s">
        <v>934</v>
      </c>
      <c r="AA390" s="372">
        <v>24712.261092000001</v>
      </c>
      <c r="AB390" s="372">
        <v>31073.133567600002</v>
      </c>
      <c r="AC390" s="372">
        <v>33167.778261400003</v>
      </c>
      <c r="AD390" s="372">
        <v>32108.5349179</v>
      </c>
      <c r="AE390" s="372">
        <v>0</v>
      </c>
      <c r="AF390" s="372">
        <v>0</v>
      </c>
      <c r="AG390" s="372">
        <v>0</v>
      </c>
      <c r="AH390" s="372">
        <v>0</v>
      </c>
    </row>
    <row r="391" spans="1:34">
      <c r="A391" s="372" t="s">
        <v>3295</v>
      </c>
      <c r="B391" s="373" t="s">
        <v>3296</v>
      </c>
      <c r="C391" s="372" t="s">
        <v>3297</v>
      </c>
      <c r="D391" s="374">
        <v>1845110000634</v>
      </c>
      <c r="E391" s="372" t="s">
        <v>3298</v>
      </c>
      <c r="F391" s="375" t="s">
        <v>2126</v>
      </c>
      <c r="G391" s="375" t="s">
        <v>2126</v>
      </c>
      <c r="H391" s="375" t="s">
        <v>862</v>
      </c>
      <c r="I391" s="375" t="s">
        <v>755</v>
      </c>
      <c r="J391" s="375">
        <v>772261.86973999999</v>
      </c>
      <c r="K391" s="375">
        <v>86632.975980000003</v>
      </c>
      <c r="L391" s="375">
        <v>148835.18127999999</v>
      </c>
      <c r="M391" s="375">
        <v>1077736.9809099999</v>
      </c>
      <c r="N391" s="372">
        <v>0.752</v>
      </c>
      <c r="O391" s="703">
        <v>1.4125511660415533</v>
      </c>
      <c r="P391" s="375" t="s">
        <v>623</v>
      </c>
      <c r="Q391" s="375" t="s">
        <v>623</v>
      </c>
      <c r="R391" s="695">
        <v>20140806</v>
      </c>
      <c r="S391" s="375" t="s">
        <v>3299</v>
      </c>
      <c r="T391" s="696">
        <v>0.23100000000000001</v>
      </c>
      <c r="U391" s="375" t="s">
        <v>3300</v>
      </c>
      <c r="V391" s="722">
        <v>6.14</v>
      </c>
      <c r="W391" s="722">
        <v>0.52</v>
      </c>
      <c r="X391" s="722">
        <v>0.75</v>
      </c>
      <c r="Y391" s="722">
        <v>4.4800000000000004</v>
      </c>
      <c r="Z391" s="382" t="s">
        <v>934</v>
      </c>
      <c r="AA391" s="372">
        <v>5877.9462266</v>
      </c>
      <c r="AB391" s="372">
        <v>6851.0927386000003</v>
      </c>
      <c r="AC391" s="372">
        <v>7556.4843774000001</v>
      </c>
      <c r="AD391" s="372">
        <v>7722.6186974000002</v>
      </c>
      <c r="AE391" s="372">
        <v>0</v>
      </c>
      <c r="AF391" s="372">
        <v>0</v>
      </c>
      <c r="AG391" s="372">
        <v>0</v>
      </c>
      <c r="AH391" s="372">
        <v>0</v>
      </c>
    </row>
    <row r="392" spans="1:34">
      <c r="A392" s="372" t="s">
        <v>3301</v>
      </c>
      <c r="B392" s="373" t="s">
        <v>3302</v>
      </c>
      <c r="C392" s="372" t="s">
        <v>3303</v>
      </c>
      <c r="D392" s="374">
        <v>1452110021112</v>
      </c>
      <c r="E392" s="372" t="s">
        <v>3304</v>
      </c>
      <c r="F392" s="375" t="s">
        <v>1124</v>
      </c>
      <c r="G392" s="375" t="s">
        <v>1347</v>
      </c>
      <c r="H392" s="375" t="s">
        <v>1348</v>
      </c>
      <c r="I392" s="375" t="s">
        <v>869</v>
      </c>
      <c r="J392" s="375">
        <v>5318.8494499999997</v>
      </c>
      <c r="K392" s="375">
        <v>-53304.560669999999</v>
      </c>
      <c r="L392" s="375">
        <v>-55022.204089999999</v>
      </c>
      <c r="M392" s="375">
        <v>71704.011140000002</v>
      </c>
      <c r="N392" s="372" t="s">
        <v>1033</v>
      </c>
      <c r="O392" s="703">
        <v>0.64155809867157354</v>
      </c>
      <c r="P392" s="375" t="s">
        <v>623</v>
      </c>
      <c r="Q392" s="375" t="s">
        <v>623</v>
      </c>
      <c r="R392" s="695">
        <v>20230330</v>
      </c>
      <c r="S392" s="375" t="s">
        <v>3305</v>
      </c>
      <c r="T392" s="696" t="s">
        <v>772</v>
      </c>
      <c r="U392" s="372" t="s">
        <v>3306</v>
      </c>
      <c r="V392" s="722">
        <v>0</v>
      </c>
      <c r="W392" s="722">
        <v>7.42</v>
      </c>
      <c r="X392" s="722">
        <v>0</v>
      </c>
      <c r="Y392" s="722">
        <v>0</v>
      </c>
      <c r="Z392" s="382" t="s">
        <v>934</v>
      </c>
      <c r="AA392" s="372">
        <v>110.16789</v>
      </c>
      <c r="AB392" s="372">
        <v>56</v>
      </c>
      <c r="AC392" s="372">
        <v>35</v>
      </c>
      <c r="AD392" s="372">
        <v>53.188494499999997</v>
      </c>
      <c r="AE392" s="372">
        <v>0</v>
      </c>
      <c r="AF392" s="372">
        <v>0</v>
      </c>
      <c r="AG392" s="372">
        <v>0</v>
      </c>
      <c r="AH392" s="372">
        <v>0</v>
      </c>
    </row>
    <row r="393" spans="1:34">
      <c r="A393" s="372" t="s">
        <v>3307</v>
      </c>
      <c r="B393" s="373" t="s">
        <v>3308</v>
      </c>
      <c r="C393" s="372" t="s">
        <v>3309</v>
      </c>
      <c r="D393" s="374">
        <v>1801110054691</v>
      </c>
      <c r="E393" s="372" t="s">
        <v>3310</v>
      </c>
      <c r="F393" s="375" t="s">
        <v>3311</v>
      </c>
      <c r="G393" s="375" t="s">
        <v>3312</v>
      </c>
      <c r="H393" s="375" t="s">
        <v>1050</v>
      </c>
      <c r="I393" s="375" t="s">
        <v>755</v>
      </c>
      <c r="J393" s="375">
        <v>594417.38436999999</v>
      </c>
      <c r="K393" s="375">
        <v>16465.72452</v>
      </c>
      <c r="L393" s="375">
        <v>-7063.4191700000001</v>
      </c>
      <c r="M393" s="375">
        <v>454654.10551000002</v>
      </c>
      <c r="N393" s="372">
        <v>0.78900000000000003</v>
      </c>
      <c r="O393" s="703">
        <v>24.677144259658625</v>
      </c>
      <c r="P393" s="375" t="s">
        <v>623</v>
      </c>
      <c r="Q393" s="375" t="s">
        <v>623</v>
      </c>
      <c r="R393" s="695">
        <v>19950708</v>
      </c>
      <c r="S393" s="375" t="s">
        <v>3313</v>
      </c>
      <c r="T393" s="696" t="s">
        <v>772</v>
      </c>
      <c r="U393" s="375" t="s">
        <v>3314</v>
      </c>
      <c r="V393" s="722">
        <v>19.36</v>
      </c>
      <c r="W393" s="722">
        <v>1.25</v>
      </c>
      <c r="X393" s="722">
        <v>0.9</v>
      </c>
      <c r="Y393" s="722" t="s">
        <v>774</v>
      </c>
      <c r="Z393" s="382">
        <v>-2.0121420278863433E-2</v>
      </c>
      <c r="AA393" s="372">
        <v>4116.6526414999998</v>
      </c>
      <c r="AB393" s="372">
        <v>3678.2713426999999</v>
      </c>
      <c r="AC393" s="372">
        <v>3692.7086601999999</v>
      </c>
      <c r="AD393" s="372">
        <v>5944.1738437000004</v>
      </c>
      <c r="AE393" s="372">
        <v>5984.25</v>
      </c>
      <c r="AF393" s="372">
        <v>6564.75</v>
      </c>
      <c r="AG393" s="372">
        <v>5480</v>
      </c>
      <c r="AH393" s="372">
        <v>0</v>
      </c>
    </row>
    <row r="394" spans="1:34">
      <c r="A394" s="372" t="s">
        <v>3315</v>
      </c>
      <c r="B394" s="373" t="s">
        <v>3316</v>
      </c>
      <c r="C394" s="372" t="s">
        <v>3317</v>
      </c>
      <c r="D394" s="374">
        <v>1301110026814</v>
      </c>
      <c r="E394" s="372" t="s">
        <v>3318</v>
      </c>
      <c r="F394" s="375" t="s">
        <v>3319</v>
      </c>
      <c r="G394" s="375" t="s">
        <v>3319</v>
      </c>
      <c r="H394" s="375">
        <v>0</v>
      </c>
      <c r="I394" s="375" t="s">
        <v>869</v>
      </c>
      <c r="J394" s="375">
        <v>897296.64156999998</v>
      </c>
      <c r="K394" s="375">
        <v>267047.73394000001</v>
      </c>
      <c r="L394" s="375">
        <v>221647.77291999999</v>
      </c>
      <c r="M394" s="375">
        <v>703837.79336000001</v>
      </c>
      <c r="N394" s="372">
        <v>0.97799999999999998</v>
      </c>
      <c r="O394" s="703">
        <v>97.346476644940765</v>
      </c>
      <c r="P394" s="375" t="s">
        <v>623</v>
      </c>
      <c r="Q394" s="372" t="s">
        <v>623</v>
      </c>
      <c r="R394" s="695">
        <v>19950831</v>
      </c>
      <c r="S394" s="372" t="s">
        <v>3320</v>
      </c>
      <c r="T394" s="696">
        <v>0.23100000000000001</v>
      </c>
      <c r="U394" s="372" t="s">
        <v>3321</v>
      </c>
      <c r="V394" s="722">
        <v>3.79</v>
      </c>
      <c r="W394" s="722">
        <v>0.93</v>
      </c>
      <c r="X394" s="722">
        <v>0.67</v>
      </c>
      <c r="Y394" s="722">
        <v>5.98</v>
      </c>
      <c r="Z394" s="382" t="s">
        <v>934</v>
      </c>
      <c r="AA394" s="372">
        <v>1140.5944603999999</v>
      </c>
      <c r="AB394" s="372">
        <v>2198.2029498000002</v>
      </c>
      <c r="AC394" s="372">
        <v>3253.4643845000001</v>
      </c>
      <c r="AD394" s="372">
        <v>8972.9664157000007</v>
      </c>
      <c r="AE394" s="372">
        <v>4240</v>
      </c>
      <c r="AF394" s="372">
        <v>6470</v>
      </c>
      <c r="AG394" s="372">
        <v>0</v>
      </c>
      <c r="AH394" s="372">
        <v>0</v>
      </c>
    </row>
    <row r="395" spans="1:34">
      <c r="A395" s="372" t="s">
        <v>3322</v>
      </c>
      <c r="B395" s="373" t="s">
        <v>3323</v>
      </c>
      <c r="C395" s="372" t="s">
        <v>3324</v>
      </c>
      <c r="D395" s="374">
        <v>1101110863484</v>
      </c>
      <c r="E395" s="372" t="s">
        <v>3325</v>
      </c>
      <c r="F395" s="375" t="s">
        <v>3326</v>
      </c>
      <c r="G395" s="375" t="s">
        <v>3326</v>
      </c>
      <c r="H395" s="375" t="s">
        <v>3127</v>
      </c>
      <c r="I395" s="375" t="s">
        <v>869</v>
      </c>
      <c r="J395" s="375">
        <v>10334025.110540001</v>
      </c>
      <c r="K395" s="375">
        <v>667942.79854999995</v>
      </c>
      <c r="L395" s="375">
        <v>650252.21851999999</v>
      </c>
      <c r="M395" s="375">
        <v>5716273.4141600002</v>
      </c>
      <c r="N395" s="372">
        <v>1.379</v>
      </c>
      <c r="O395" s="703">
        <v>126.70629607978208</v>
      </c>
      <c r="P395" s="375" t="s">
        <v>623</v>
      </c>
      <c r="Q395" s="372" t="s">
        <v>623</v>
      </c>
      <c r="R395" s="695">
        <v>19991218</v>
      </c>
      <c r="S395" s="372" t="s">
        <v>3327</v>
      </c>
      <c r="T395" s="696">
        <v>0.26400000000000001</v>
      </c>
      <c r="U395" s="372" t="s">
        <v>3328</v>
      </c>
      <c r="V395" s="722">
        <v>6.99</v>
      </c>
      <c r="W395" s="722">
        <v>0.45</v>
      </c>
      <c r="X395" s="722">
        <v>0.05</v>
      </c>
      <c r="Y395" s="722">
        <v>8.3000000000000007</v>
      </c>
      <c r="Z395" s="382" t="s">
        <v>934</v>
      </c>
      <c r="AA395" s="372">
        <v>50939.062918800002</v>
      </c>
      <c r="AB395" s="372">
        <v>65800.540629199997</v>
      </c>
      <c r="AC395" s="372">
        <v>97472.109309199994</v>
      </c>
      <c r="AD395" s="372">
        <v>103340.25110540001</v>
      </c>
      <c r="AE395" s="372">
        <v>0</v>
      </c>
      <c r="AF395" s="372">
        <v>0</v>
      </c>
      <c r="AG395" s="372">
        <v>0</v>
      </c>
      <c r="AH395" s="372">
        <v>0</v>
      </c>
    </row>
    <row r="396" spans="1:34">
      <c r="A396" s="372" t="s">
        <v>3329</v>
      </c>
      <c r="B396" s="373" t="s">
        <v>3330</v>
      </c>
      <c r="C396" s="372" t="s">
        <v>3331</v>
      </c>
      <c r="D396" s="374">
        <v>1101111538391</v>
      </c>
      <c r="E396" s="372" t="s">
        <v>3332</v>
      </c>
      <c r="F396" s="375" t="s">
        <v>1124</v>
      </c>
      <c r="G396" s="375" t="s">
        <v>3333</v>
      </c>
      <c r="H396" s="375" t="s">
        <v>1348</v>
      </c>
      <c r="I396" s="375" t="s">
        <v>869</v>
      </c>
      <c r="J396" s="375">
        <v>135952.75416000001</v>
      </c>
      <c r="K396" s="375">
        <v>-19542.188129999999</v>
      </c>
      <c r="L396" s="375">
        <v>-18851.392019999999</v>
      </c>
      <c r="M396" s="375">
        <v>88153.400349999996</v>
      </c>
      <c r="N396" s="372">
        <v>1.284</v>
      </c>
      <c r="O396" s="703">
        <v>2.1918366864740699</v>
      </c>
      <c r="P396" s="375" t="s">
        <v>623</v>
      </c>
      <c r="Q396" s="375" t="s">
        <v>623</v>
      </c>
      <c r="R396" s="695">
        <v>20151221</v>
      </c>
      <c r="S396" s="375" t="s">
        <v>3334</v>
      </c>
      <c r="T396" s="696" t="s">
        <v>772</v>
      </c>
      <c r="U396" s="372" t="s">
        <v>3335</v>
      </c>
      <c r="V396" s="722">
        <v>0</v>
      </c>
      <c r="W396" s="722">
        <v>5.23</v>
      </c>
      <c r="X396" s="722">
        <v>0</v>
      </c>
      <c r="Y396" s="722">
        <v>0</v>
      </c>
      <c r="Z396" s="382" t="s">
        <v>934</v>
      </c>
      <c r="AA396" s="372">
        <v>405.71187379999998</v>
      </c>
      <c r="AB396" s="372">
        <v>628.52783780000004</v>
      </c>
      <c r="AC396" s="372">
        <v>1074.8187152</v>
      </c>
      <c r="AD396" s="372">
        <v>1359.5275415999999</v>
      </c>
      <c r="AE396" s="372">
        <v>0</v>
      </c>
      <c r="AF396" s="372">
        <v>0</v>
      </c>
      <c r="AG396" s="372">
        <v>0</v>
      </c>
      <c r="AH396" s="372">
        <v>0</v>
      </c>
    </row>
    <row r="397" spans="1:34">
      <c r="A397" s="372" t="s">
        <v>3336</v>
      </c>
      <c r="B397" s="373" t="s">
        <v>3337</v>
      </c>
      <c r="C397" s="372" t="s">
        <v>3338</v>
      </c>
      <c r="D397" s="374">
        <v>1311110288992</v>
      </c>
      <c r="E397" s="372" t="s">
        <v>3339</v>
      </c>
      <c r="F397" s="375" t="s">
        <v>1259</v>
      </c>
      <c r="G397" s="375" t="s">
        <v>1259</v>
      </c>
      <c r="H397" s="375" t="s">
        <v>868</v>
      </c>
      <c r="I397" s="375" t="s">
        <v>869</v>
      </c>
      <c r="J397" s="375">
        <v>68869.546319999994</v>
      </c>
      <c r="K397" s="375">
        <v>7748.0056800000002</v>
      </c>
      <c r="L397" s="375">
        <v>62938.133549999999</v>
      </c>
      <c r="M397" s="375">
        <v>156855.51248</v>
      </c>
      <c r="N397" s="372">
        <v>0.77600000000000002</v>
      </c>
      <c r="O397" s="703">
        <v>17.835747047879977</v>
      </c>
      <c r="P397" s="375" t="s">
        <v>623</v>
      </c>
      <c r="Q397" s="372" t="s">
        <v>623</v>
      </c>
      <c r="R397" s="695">
        <v>20181101</v>
      </c>
      <c r="S397" s="372" t="s">
        <v>3340</v>
      </c>
      <c r="T397" s="696">
        <v>0.23100000000000001</v>
      </c>
      <c r="U397" s="372" t="s">
        <v>3341</v>
      </c>
      <c r="V397" s="722">
        <v>51.48</v>
      </c>
      <c r="W397" s="722">
        <v>4.3600000000000003</v>
      </c>
      <c r="X397" s="722">
        <v>9.5500000000000007</v>
      </c>
      <c r="Y397" s="722">
        <v>13.6</v>
      </c>
      <c r="Z397" s="382" t="s">
        <v>934</v>
      </c>
      <c r="AA397" s="372">
        <v>329.7277133</v>
      </c>
      <c r="AB397" s="372">
        <v>456.77013790000001</v>
      </c>
      <c r="AC397" s="372">
        <v>525.72492150000005</v>
      </c>
      <c r="AD397" s="372">
        <v>688.69546319999995</v>
      </c>
      <c r="AE397" s="372">
        <v>887</v>
      </c>
      <c r="AF397" s="372">
        <v>1094</v>
      </c>
      <c r="AG397" s="372">
        <v>0</v>
      </c>
      <c r="AH397" s="372">
        <v>0</v>
      </c>
    </row>
    <row r="398" spans="1:34">
      <c r="A398" s="372" t="s">
        <v>3342</v>
      </c>
      <c r="B398" s="373" t="s">
        <v>3343</v>
      </c>
      <c r="C398" s="372" t="s">
        <v>3344</v>
      </c>
      <c r="D398" s="374">
        <v>1101116033833</v>
      </c>
      <c r="E398" s="372" t="s">
        <v>3345</v>
      </c>
      <c r="F398" s="375" t="s">
        <v>3346</v>
      </c>
      <c r="G398" s="375" t="s">
        <v>3346</v>
      </c>
      <c r="H398" s="375" t="s">
        <v>1547</v>
      </c>
      <c r="I398" s="375" t="s">
        <v>869</v>
      </c>
      <c r="J398" s="375">
        <v>147335.16398000001</v>
      </c>
      <c r="K398" s="375">
        <v>-20281.322510000002</v>
      </c>
      <c r="L398" s="375">
        <v>63956.739849999998</v>
      </c>
      <c r="M398" s="375">
        <v>233909.02742</v>
      </c>
      <c r="N398" s="372">
        <v>1.286</v>
      </c>
      <c r="O398" s="703">
        <v>8.5756252366664381</v>
      </c>
      <c r="P398" s="375" t="s">
        <v>623</v>
      </c>
      <c r="Q398" s="375" t="s">
        <v>623</v>
      </c>
      <c r="R398" s="695">
        <v>20181220</v>
      </c>
      <c r="S398" s="375" t="s">
        <v>3347</v>
      </c>
      <c r="T398" s="696">
        <v>0.23100000000000001</v>
      </c>
      <c r="U398" s="375" t="s">
        <v>3348</v>
      </c>
      <c r="V398" s="722" t="s">
        <v>774</v>
      </c>
      <c r="W398" s="722">
        <v>2.85</v>
      </c>
      <c r="X398" s="722">
        <v>4.4000000000000004</v>
      </c>
      <c r="Y398" s="722">
        <v>12.73</v>
      </c>
      <c r="Z398" s="382">
        <v>0.29393038147348483</v>
      </c>
      <c r="AA398" s="372">
        <v>1101.9438888</v>
      </c>
      <c r="AB398" s="372">
        <v>1202.8376498</v>
      </c>
      <c r="AC398" s="372">
        <v>1465.2012838999999</v>
      </c>
      <c r="AD398" s="372">
        <v>1473.3516397999999</v>
      </c>
      <c r="AE398" s="372">
        <v>3162</v>
      </c>
      <c r="AF398" s="372">
        <v>3631</v>
      </c>
      <c r="AG398" s="372">
        <v>4130</v>
      </c>
      <c r="AH398" s="372">
        <v>4734</v>
      </c>
    </row>
    <row r="399" spans="1:34">
      <c r="A399" s="372" t="s">
        <v>3349</v>
      </c>
      <c r="B399" s="373" t="s">
        <v>3350</v>
      </c>
      <c r="C399" s="372" t="s">
        <v>3351</v>
      </c>
      <c r="D399" s="374">
        <v>2201110087049</v>
      </c>
      <c r="E399" s="372" t="s">
        <v>3352</v>
      </c>
      <c r="F399" s="372" t="s">
        <v>3353</v>
      </c>
      <c r="G399" s="375" t="s">
        <v>3353</v>
      </c>
      <c r="H399" s="375" t="s">
        <v>823</v>
      </c>
      <c r="I399" s="375" t="s">
        <v>755</v>
      </c>
      <c r="J399" s="375">
        <v>398471.74553999997</v>
      </c>
      <c r="K399" s="375">
        <v>-9690.0858499999995</v>
      </c>
      <c r="L399" s="375">
        <v>-42186.644540000001</v>
      </c>
      <c r="M399" s="375">
        <v>211739.10449</v>
      </c>
      <c r="N399" s="372" t="s">
        <v>1033</v>
      </c>
      <c r="O399" s="703">
        <v>60.37416443877455</v>
      </c>
      <c r="P399" s="375" t="s">
        <v>623</v>
      </c>
      <c r="Q399" s="375" t="s">
        <v>623</v>
      </c>
      <c r="R399" s="695">
        <v>20220822</v>
      </c>
      <c r="S399" s="375" t="s">
        <v>3354</v>
      </c>
      <c r="T399" s="696" t="s">
        <v>772</v>
      </c>
      <c r="U399" s="375" t="s">
        <v>3355</v>
      </c>
      <c r="V399" s="722">
        <v>10.24</v>
      </c>
      <c r="W399" s="722">
        <v>2.38</v>
      </c>
      <c r="X399" s="722">
        <v>1.27</v>
      </c>
      <c r="Y399" s="722" t="s">
        <v>774</v>
      </c>
      <c r="Z399" s="382">
        <v>0.11072953000043095</v>
      </c>
      <c r="AA399" s="372">
        <v>2205.5152541000002</v>
      </c>
      <c r="AB399" s="372">
        <v>2890.0054885999998</v>
      </c>
      <c r="AC399" s="372">
        <v>3975.6023587</v>
      </c>
      <c r="AD399" s="372">
        <v>3984.7174553999998</v>
      </c>
      <c r="AE399" s="372">
        <v>4821.6000000000004</v>
      </c>
      <c r="AF399" s="372">
        <v>5797</v>
      </c>
      <c r="AG399" s="372">
        <v>6065</v>
      </c>
      <c r="AH399" s="372">
        <v>0</v>
      </c>
    </row>
    <row r="400" spans="1:34">
      <c r="A400" s="372" t="s">
        <v>3356</v>
      </c>
      <c r="B400" s="373" t="s">
        <v>3357</v>
      </c>
      <c r="C400" s="372" t="s">
        <v>3358</v>
      </c>
      <c r="D400" s="374">
        <v>1601110067234</v>
      </c>
      <c r="E400" s="372" t="s">
        <v>3359</v>
      </c>
      <c r="F400" s="375" t="s">
        <v>786</v>
      </c>
      <c r="G400" s="375" t="s">
        <v>3360</v>
      </c>
      <c r="H400" s="375" t="s">
        <v>868</v>
      </c>
      <c r="I400" s="375" t="s">
        <v>869</v>
      </c>
      <c r="J400" s="375">
        <v>3341.8935700000002</v>
      </c>
      <c r="K400" s="375">
        <v>-15883.90821</v>
      </c>
      <c r="L400" s="375">
        <v>-15940.819149999999</v>
      </c>
      <c r="M400" s="375">
        <v>36127.012880000002</v>
      </c>
      <c r="N400" s="372">
        <v>0.76</v>
      </c>
      <c r="O400" s="703">
        <v>1.5322933293448351</v>
      </c>
      <c r="P400" s="375" t="s">
        <v>623</v>
      </c>
      <c r="Q400" s="372" t="s">
        <v>623</v>
      </c>
      <c r="R400" s="695">
        <v>20150722</v>
      </c>
      <c r="S400" s="372" t="s">
        <v>3361</v>
      </c>
      <c r="T400" s="696" t="s">
        <v>772</v>
      </c>
      <c r="U400" s="372" t="s">
        <v>3362</v>
      </c>
      <c r="V400" s="722">
        <v>0</v>
      </c>
      <c r="W400" s="722">
        <v>22.43</v>
      </c>
      <c r="X400" s="722">
        <v>0</v>
      </c>
      <c r="Y400" s="722">
        <v>0</v>
      </c>
      <c r="Z400" s="382" t="s">
        <v>934</v>
      </c>
      <c r="AA400" s="372">
        <v>31.206976900000001</v>
      </c>
      <c r="AB400" s="372">
        <v>66.245119599999995</v>
      </c>
      <c r="AC400" s="372">
        <v>58.139955299999997</v>
      </c>
      <c r="AD400" s="372">
        <v>33.418935699999999</v>
      </c>
      <c r="AE400" s="372">
        <v>0</v>
      </c>
      <c r="AF400" s="372">
        <v>0</v>
      </c>
      <c r="AG400" s="372">
        <v>0</v>
      </c>
      <c r="AH400" s="372">
        <v>0</v>
      </c>
    </row>
    <row r="401" spans="1:34">
      <c r="A401" s="372" t="s">
        <v>3363</v>
      </c>
      <c r="B401" s="373" t="s">
        <v>3364</v>
      </c>
      <c r="C401" s="372" t="s">
        <v>3365</v>
      </c>
      <c r="D401" s="374">
        <v>0</v>
      </c>
      <c r="E401" s="372" t="s">
        <v>3366</v>
      </c>
      <c r="F401" s="372" t="s">
        <v>3367</v>
      </c>
      <c r="G401" s="375" t="s">
        <v>3367</v>
      </c>
      <c r="H401" s="375">
        <v>0</v>
      </c>
      <c r="I401" s="375" t="s">
        <v>755</v>
      </c>
      <c r="J401" s="375">
        <v>260466.177</v>
      </c>
      <c r="K401" s="375">
        <v>7412.9949999999999</v>
      </c>
      <c r="L401" s="375">
        <v>-42415.254999999997</v>
      </c>
      <c r="M401" s="375">
        <v>418288.99800000002</v>
      </c>
      <c r="N401" s="372">
        <v>0.58899999999999997</v>
      </c>
      <c r="O401" s="703">
        <v>37.079832684247364</v>
      </c>
      <c r="P401" s="375" t="s">
        <v>623</v>
      </c>
      <c r="Q401" s="375" t="s">
        <v>623</v>
      </c>
      <c r="R401" s="695">
        <v>20101130</v>
      </c>
      <c r="S401" s="375" t="s">
        <v>861</v>
      </c>
      <c r="T401" s="696" t="s">
        <v>772</v>
      </c>
      <c r="U401" s="372" t="s">
        <v>3368</v>
      </c>
      <c r="V401" s="722">
        <v>20.89</v>
      </c>
      <c r="W401" s="722">
        <v>1.02</v>
      </c>
      <c r="X401" s="722">
        <v>1.62</v>
      </c>
      <c r="Y401" s="722" t="s">
        <v>774</v>
      </c>
      <c r="Z401" s="382" t="s">
        <v>934</v>
      </c>
      <c r="AA401" s="372">
        <v>2742.0719899999999</v>
      </c>
      <c r="AB401" s="372">
        <v>2048.6085800000001</v>
      </c>
      <c r="AC401" s="372">
        <v>2492.7855</v>
      </c>
      <c r="AD401" s="372">
        <v>2604.6617700000002</v>
      </c>
      <c r="AE401" s="372">
        <v>0</v>
      </c>
      <c r="AF401" s="372">
        <v>0</v>
      </c>
      <c r="AG401" s="372">
        <v>0</v>
      </c>
      <c r="AH401" s="372">
        <v>0</v>
      </c>
    </row>
    <row r="402" spans="1:34">
      <c r="A402" s="372" t="s">
        <v>3369</v>
      </c>
      <c r="B402" s="373" t="s">
        <v>3370</v>
      </c>
      <c r="C402" s="372" t="s">
        <v>3371</v>
      </c>
      <c r="D402" s="374">
        <v>1348110159279</v>
      </c>
      <c r="E402" s="372" t="s">
        <v>3372</v>
      </c>
      <c r="F402" s="375" t="s">
        <v>1838</v>
      </c>
      <c r="G402" s="375" t="s">
        <v>1838</v>
      </c>
      <c r="H402" s="375" t="s">
        <v>754</v>
      </c>
      <c r="I402" s="375" t="s">
        <v>755</v>
      </c>
      <c r="J402" s="375">
        <v>1246731.6471800001</v>
      </c>
      <c r="K402" s="375">
        <v>60756.520570000001</v>
      </c>
      <c r="L402" s="375">
        <v>43592.838649999998</v>
      </c>
      <c r="M402" s="375">
        <v>371142.17621000001</v>
      </c>
      <c r="N402" s="372">
        <v>0.91100000000000003</v>
      </c>
      <c r="O402" s="703">
        <v>17.86422565569962</v>
      </c>
      <c r="P402" s="375" t="s">
        <v>623</v>
      </c>
      <c r="Q402" s="375" t="s">
        <v>623</v>
      </c>
      <c r="R402" s="695">
        <v>20080801</v>
      </c>
      <c r="S402" s="375">
        <v>0</v>
      </c>
      <c r="T402" s="696">
        <v>0.23100000000000001</v>
      </c>
      <c r="U402" s="375" t="s">
        <v>3373</v>
      </c>
      <c r="V402" s="722">
        <v>8.52</v>
      </c>
      <c r="W402" s="722">
        <v>1.06</v>
      </c>
      <c r="X402" s="722">
        <v>0.32</v>
      </c>
      <c r="Y402" s="722">
        <v>11.42</v>
      </c>
      <c r="Z402" s="382">
        <v>8.5659722447297693E-2</v>
      </c>
      <c r="AA402" s="372">
        <v>7079.3078971000004</v>
      </c>
      <c r="AB402" s="372">
        <v>9323.6252057999991</v>
      </c>
      <c r="AC402" s="372">
        <v>11647.0609021</v>
      </c>
      <c r="AD402" s="372">
        <v>12467.316471800001</v>
      </c>
      <c r="AE402" s="372">
        <v>13580</v>
      </c>
      <c r="AF402" s="372">
        <v>15410</v>
      </c>
      <c r="AG402" s="372">
        <v>17320</v>
      </c>
      <c r="AH402" s="372">
        <v>0</v>
      </c>
    </row>
    <row r="403" spans="1:34">
      <c r="A403" s="372" t="s">
        <v>3374</v>
      </c>
      <c r="B403" s="373" t="s">
        <v>3375</v>
      </c>
      <c r="C403" s="372" t="s">
        <v>3376</v>
      </c>
      <c r="D403" s="374">
        <v>1101116583490</v>
      </c>
      <c r="E403" s="372" t="s">
        <v>3377</v>
      </c>
      <c r="F403" s="375" t="s">
        <v>3378</v>
      </c>
      <c r="G403" s="375" t="s">
        <v>3378</v>
      </c>
      <c r="H403" s="375" t="s">
        <v>853</v>
      </c>
      <c r="I403" s="375" t="s">
        <v>755</v>
      </c>
      <c r="J403" s="375">
        <v>2047566.2322</v>
      </c>
      <c r="K403" s="375">
        <v>59013.29045</v>
      </c>
      <c r="L403" s="375">
        <v>42204.99497</v>
      </c>
      <c r="M403" s="375">
        <v>234915.87239999999</v>
      </c>
      <c r="N403" s="372">
        <v>1.3080000000000001</v>
      </c>
      <c r="O403" s="703">
        <v>38.129974364938477</v>
      </c>
      <c r="P403" s="375" t="s">
        <v>623</v>
      </c>
      <c r="Q403" s="375" t="s">
        <v>623</v>
      </c>
      <c r="R403" s="695">
        <v>20211013</v>
      </c>
      <c r="S403" s="375" t="s">
        <v>3379</v>
      </c>
      <c r="T403" s="696">
        <v>0.23100000000000001</v>
      </c>
      <c r="U403" s="375" t="s">
        <v>3380</v>
      </c>
      <c r="V403" s="722">
        <v>0</v>
      </c>
      <c r="W403" s="722">
        <v>2.4</v>
      </c>
      <c r="X403" s="722">
        <v>0</v>
      </c>
      <c r="Y403" s="722">
        <v>0</v>
      </c>
      <c r="Z403" s="382" t="s">
        <v>934</v>
      </c>
      <c r="AA403" s="372">
        <v>13231.137710000001</v>
      </c>
      <c r="AB403" s="372">
        <v>19023.942244499998</v>
      </c>
      <c r="AC403" s="372">
        <v>21772.6197359</v>
      </c>
      <c r="AD403" s="372">
        <v>20475.662322</v>
      </c>
      <c r="AE403" s="372">
        <v>0</v>
      </c>
      <c r="AF403" s="372">
        <v>0</v>
      </c>
      <c r="AG403" s="372">
        <v>0</v>
      </c>
      <c r="AH403" s="372">
        <v>0</v>
      </c>
    </row>
    <row r="404" spans="1:34">
      <c r="A404" s="372" t="s">
        <v>3381</v>
      </c>
      <c r="B404" s="373" t="s">
        <v>3382</v>
      </c>
      <c r="C404" s="372" t="s">
        <v>3383</v>
      </c>
      <c r="D404" s="374">
        <v>1101111999593</v>
      </c>
      <c r="E404" s="372" t="s">
        <v>3384</v>
      </c>
      <c r="F404" s="372" t="s">
        <v>3385</v>
      </c>
      <c r="G404" s="375" t="s">
        <v>3386</v>
      </c>
      <c r="H404" s="375" t="s">
        <v>1693</v>
      </c>
      <c r="I404" s="375" t="s">
        <v>869</v>
      </c>
      <c r="J404" s="375">
        <v>122686.23744</v>
      </c>
      <c r="K404" s="375">
        <v>26565.75131</v>
      </c>
      <c r="L404" s="375">
        <v>33317.493580000002</v>
      </c>
      <c r="M404" s="375">
        <v>184718.83811000001</v>
      </c>
      <c r="N404" s="372">
        <v>0.45400000000000001</v>
      </c>
      <c r="O404" s="703">
        <v>8.4823995141391428</v>
      </c>
      <c r="P404" s="375" t="s">
        <v>623</v>
      </c>
      <c r="Q404" s="375" t="s">
        <v>623</v>
      </c>
      <c r="R404" s="695">
        <v>20110208</v>
      </c>
      <c r="S404" s="375" t="s">
        <v>3387</v>
      </c>
      <c r="T404" s="696">
        <v>0.23100000000000001</v>
      </c>
      <c r="U404" s="372" t="s">
        <v>3388</v>
      </c>
      <c r="V404" s="722">
        <v>12.11</v>
      </c>
      <c r="W404" s="722">
        <v>2.87</v>
      </c>
      <c r="X404" s="722">
        <v>3.97</v>
      </c>
      <c r="Y404" s="722">
        <v>19.71</v>
      </c>
      <c r="Z404" s="382" t="s">
        <v>934</v>
      </c>
      <c r="AA404" s="372">
        <v>704.40395779999994</v>
      </c>
      <c r="AB404" s="372">
        <v>844.60348320000003</v>
      </c>
      <c r="AC404" s="372">
        <v>1109.2847555000001</v>
      </c>
      <c r="AD404" s="372">
        <v>1226.8623743999999</v>
      </c>
      <c r="AE404" s="372">
        <v>1494.33</v>
      </c>
      <c r="AF404" s="372">
        <v>1749</v>
      </c>
      <c r="AG404" s="372">
        <v>0</v>
      </c>
      <c r="AH404" s="372">
        <v>0</v>
      </c>
    </row>
    <row r="405" spans="1:34">
      <c r="A405" s="372" t="s">
        <v>3389</v>
      </c>
      <c r="B405" s="373" t="s">
        <v>3390</v>
      </c>
      <c r="C405" s="372" t="s">
        <v>3391</v>
      </c>
      <c r="D405" s="374">
        <v>1801110550194</v>
      </c>
      <c r="E405" s="372" t="s">
        <v>3392</v>
      </c>
      <c r="F405" s="372" t="s">
        <v>1124</v>
      </c>
      <c r="G405" s="375" t="s">
        <v>1347</v>
      </c>
      <c r="H405" s="375" t="s">
        <v>1348</v>
      </c>
      <c r="I405" s="375" t="s">
        <v>869</v>
      </c>
      <c r="J405" s="375">
        <v>3939.5586899999998</v>
      </c>
      <c r="K405" s="375">
        <v>-21345.852210000001</v>
      </c>
      <c r="L405" s="375">
        <v>-20181.241040000001</v>
      </c>
      <c r="M405" s="375">
        <v>57313.96297</v>
      </c>
      <c r="N405" s="372" t="s">
        <v>1033</v>
      </c>
      <c r="O405" s="703">
        <v>2.0134964301424674</v>
      </c>
      <c r="P405" s="375" t="s">
        <v>623</v>
      </c>
      <c r="Q405" s="372" t="s">
        <v>623</v>
      </c>
      <c r="R405" s="695">
        <v>20161206</v>
      </c>
      <c r="S405" s="375" t="s">
        <v>3393</v>
      </c>
      <c r="T405" s="696" t="s">
        <v>772</v>
      </c>
      <c r="U405" s="375" t="s">
        <v>3394</v>
      </c>
      <c r="V405" s="722" t="s">
        <v>774</v>
      </c>
      <c r="W405" s="722">
        <v>10.82</v>
      </c>
      <c r="X405" s="722">
        <v>157.44999999999999</v>
      </c>
      <c r="Y405" s="722" t="s">
        <v>774</v>
      </c>
      <c r="Z405" s="382" t="s">
        <v>934</v>
      </c>
      <c r="AA405" s="372">
        <v>16.697163199999999</v>
      </c>
      <c r="AB405" s="372">
        <v>2.5436280999999998</v>
      </c>
      <c r="AC405" s="372">
        <v>50.133629900000003</v>
      </c>
      <c r="AD405" s="372">
        <v>39.395586899999998</v>
      </c>
      <c r="AE405" s="372">
        <v>0</v>
      </c>
      <c r="AF405" s="372">
        <v>0</v>
      </c>
      <c r="AG405" s="372">
        <v>0</v>
      </c>
      <c r="AH405" s="372">
        <v>0</v>
      </c>
    </row>
    <row r="406" spans="1:34">
      <c r="A406" s="372" t="s">
        <v>3395</v>
      </c>
      <c r="B406" s="373" t="s">
        <v>3396</v>
      </c>
      <c r="C406" s="372" t="s">
        <v>3397</v>
      </c>
      <c r="D406" s="374">
        <v>1101112248882</v>
      </c>
      <c r="E406" s="372" t="s">
        <v>3398</v>
      </c>
      <c r="F406" s="375" t="s">
        <v>3399</v>
      </c>
      <c r="G406" s="375" t="s">
        <v>3400</v>
      </c>
      <c r="H406" s="375" t="s">
        <v>853</v>
      </c>
      <c r="I406" s="375" t="s">
        <v>755</v>
      </c>
      <c r="J406" s="375">
        <v>2064457.2667100001</v>
      </c>
      <c r="K406" s="375">
        <v>59952.400170000001</v>
      </c>
      <c r="L406" s="375">
        <v>117975.14512</v>
      </c>
      <c r="M406" s="375">
        <v>2582010.7516899998</v>
      </c>
      <c r="N406" s="372">
        <v>0.746</v>
      </c>
      <c r="O406" s="703">
        <v>51.035147878982947</v>
      </c>
      <c r="P406" s="375" t="s">
        <v>623</v>
      </c>
      <c r="Q406" s="375" t="s">
        <v>623</v>
      </c>
      <c r="R406" s="695">
        <v>20100913</v>
      </c>
      <c r="S406" s="375" t="s">
        <v>3401</v>
      </c>
      <c r="T406" s="696">
        <v>0.23100000000000001</v>
      </c>
      <c r="U406" s="375" t="s">
        <v>3402</v>
      </c>
      <c r="V406" s="722">
        <v>9.2200000000000006</v>
      </c>
      <c r="W406" s="722">
        <v>0.24</v>
      </c>
      <c r="X406" s="722">
        <v>0.25</v>
      </c>
      <c r="Y406" s="722">
        <v>3.79</v>
      </c>
      <c r="Z406" s="382">
        <v>4.14907192644689E-2</v>
      </c>
      <c r="AA406" s="372">
        <v>21263.671238200001</v>
      </c>
      <c r="AB406" s="372">
        <v>20953.838488199999</v>
      </c>
      <c r="AC406" s="372">
        <v>21016.675690600001</v>
      </c>
      <c r="AD406" s="372">
        <v>20644.572667100001</v>
      </c>
      <c r="AE406" s="372">
        <v>27763.33</v>
      </c>
      <c r="AF406" s="372">
        <v>28530</v>
      </c>
      <c r="AG406" s="372">
        <v>24290</v>
      </c>
      <c r="AH406" s="372">
        <v>0</v>
      </c>
    </row>
    <row r="407" spans="1:34">
      <c r="A407" s="372" t="s">
        <v>3403</v>
      </c>
      <c r="B407" s="373" t="s">
        <v>3404</v>
      </c>
      <c r="C407" s="372" t="s">
        <v>3405</v>
      </c>
      <c r="D407" s="374">
        <v>1101117875359</v>
      </c>
      <c r="E407" s="372" t="s">
        <v>3406</v>
      </c>
      <c r="F407" s="375" t="s">
        <v>900</v>
      </c>
      <c r="G407" s="375" t="s">
        <v>901</v>
      </c>
      <c r="H407" s="375" t="s">
        <v>862</v>
      </c>
      <c r="I407" s="375" t="s">
        <v>755</v>
      </c>
      <c r="J407" s="375">
        <v>118116</v>
      </c>
      <c r="K407" s="375">
        <v>73176</v>
      </c>
      <c r="L407" s="375">
        <v>82443</v>
      </c>
      <c r="M407" s="375">
        <v>1662848</v>
      </c>
      <c r="N407" s="372">
        <v>0.73399999999999999</v>
      </c>
      <c r="O407" s="703">
        <v>0.38335775292766616</v>
      </c>
      <c r="P407" s="375" t="s">
        <v>623</v>
      </c>
      <c r="Q407" s="375" t="s">
        <v>623</v>
      </c>
      <c r="R407" s="695">
        <v>20210527</v>
      </c>
      <c r="S407" s="375" t="s">
        <v>861</v>
      </c>
      <c r="T407" s="696">
        <v>0.23100000000000001</v>
      </c>
      <c r="U407" s="372" t="s">
        <v>3407</v>
      </c>
      <c r="V407" s="722">
        <v>7.16</v>
      </c>
      <c r="W407" s="722">
        <v>0.33</v>
      </c>
      <c r="X407" s="722">
        <v>4.6399999999999997</v>
      </c>
      <c r="Y407" s="722">
        <v>6.95</v>
      </c>
      <c r="Z407" s="382">
        <v>0.1622100747118711</v>
      </c>
      <c r="AA407" s="372">
        <v>0</v>
      </c>
      <c r="AB407" s="372">
        <v>1858.12</v>
      </c>
      <c r="AC407" s="372">
        <v>2369.1799999999998</v>
      </c>
      <c r="AD407" s="372">
        <v>1181.1600000000001</v>
      </c>
      <c r="AE407" s="372">
        <v>1780</v>
      </c>
      <c r="AF407" s="372">
        <v>1965</v>
      </c>
      <c r="AG407" s="372">
        <v>2155</v>
      </c>
      <c r="AH407" s="372">
        <v>0</v>
      </c>
    </row>
    <row r="408" spans="1:34">
      <c r="A408" s="372" t="s">
        <v>3408</v>
      </c>
      <c r="B408" s="373" t="s">
        <v>3409</v>
      </c>
      <c r="C408" s="372" t="s">
        <v>3410</v>
      </c>
      <c r="D408" s="374">
        <v>1101111698145</v>
      </c>
      <c r="E408" s="372" t="s">
        <v>3411</v>
      </c>
      <c r="F408" s="375" t="s">
        <v>3385</v>
      </c>
      <c r="G408" s="375" t="s">
        <v>3386</v>
      </c>
      <c r="H408" s="375" t="s">
        <v>1693</v>
      </c>
      <c r="I408" s="375" t="s">
        <v>869</v>
      </c>
      <c r="J408" s="375">
        <v>278111.82457</v>
      </c>
      <c r="K408" s="375">
        <v>-3105.1221300000002</v>
      </c>
      <c r="L408" s="375">
        <v>-18475.469550000002</v>
      </c>
      <c r="M408" s="375">
        <v>174580.99069999999</v>
      </c>
      <c r="N408" s="372">
        <v>1.0760000000000001</v>
      </c>
      <c r="O408" s="703">
        <v>16.409861111710494</v>
      </c>
      <c r="P408" s="375" t="s">
        <v>623</v>
      </c>
      <c r="Q408" s="375" t="s">
        <v>623</v>
      </c>
      <c r="R408" s="695">
        <v>20180208</v>
      </c>
      <c r="S408" s="375" t="s">
        <v>3412</v>
      </c>
      <c r="T408" s="696" t="s">
        <v>772</v>
      </c>
      <c r="U408" s="375" t="s">
        <v>3413</v>
      </c>
      <c r="V408" s="722">
        <v>19.920000000000002</v>
      </c>
      <c r="W408" s="722">
        <v>3.66</v>
      </c>
      <c r="X408" s="722">
        <v>2.2599999999999998</v>
      </c>
      <c r="Y408" s="722">
        <v>65.33</v>
      </c>
      <c r="Z408" s="382">
        <v>4.8641046849224434E-2</v>
      </c>
      <c r="AA408" s="372">
        <v>2473.3610444999999</v>
      </c>
      <c r="AB408" s="372">
        <v>2762.7352722999999</v>
      </c>
      <c r="AC408" s="372">
        <v>2660.6621584999998</v>
      </c>
      <c r="AD408" s="372">
        <v>2781.1182457</v>
      </c>
      <c r="AE408" s="372">
        <v>2911.25</v>
      </c>
      <c r="AF408" s="372">
        <v>3125</v>
      </c>
      <c r="AG408" s="372">
        <v>3363</v>
      </c>
      <c r="AH408" s="372">
        <v>0</v>
      </c>
    </row>
    <row r="409" spans="1:34">
      <c r="A409" s="372" t="s">
        <v>3414</v>
      </c>
      <c r="B409" s="373" t="s">
        <v>3415</v>
      </c>
      <c r="C409" s="372" t="s">
        <v>3416</v>
      </c>
      <c r="D409" s="374">
        <v>1601110058887</v>
      </c>
      <c r="E409" s="372" t="s">
        <v>3417</v>
      </c>
      <c r="F409" s="375" t="s">
        <v>1404</v>
      </c>
      <c r="G409" s="375" t="s">
        <v>1404</v>
      </c>
      <c r="H409" s="375" t="s">
        <v>902</v>
      </c>
      <c r="I409" s="375" t="s">
        <v>869</v>
      </c>
      <c r="J409" s="375">
        <v>162308.97786000001</v>
      </c>
      <c r="K409" s="375">
        <v>153930.01761000001</v>
      </c>
      <c r="L409" s="375">
        <v>153847.96372999999</v>
      </c>
      <c r="M409" s="375">
        <v>521127.67836999998</v>
      </c>
      <c r="N409" s="372">
        <v>1.2949999999999999</v>
      </c>
      <c r="O409" s="703">
        <v>0.54926994834047838</v>
      </c>
      <c r="P409" s="375" t="s">
        <v>623</v>
      </c>
      <c r="Q409" s="372" t="s">
        <v>623</v>
      </c>
      <c r="R409" s="695">
        <v>20000607</v>
      </c>
      <c r="S409" s="375" t="s">
        <v>3418</v>
      </c>
      <c r="T409" s="696">
        <v>0.23100000000000001</v>
      </c>
      <c r="U409" s="372" t="s">
        <v>3419</v>
      </c>
      <c r="V409" s="722">
        <v>0</v>
      </c>
      <c r="W409" s="722">
        <v>1.03</v>
      </c>
      <c r="X409" s="722">
        <v>3.17</v>
      </c>
      <c r="Y409" s="722">
        <v>4.43</v>
      </c>
      <c r="Z409" s="382" t="s">
        <v>934</v>
      </c>
      <c r="AA409" s="372">
        <v>409.33495299999998</v>
      </c>
      <c r="AB409" s="372">
        <v>8070.2149836999997</v>
      </c>
      <c r="AC409" s="372">
        <v>-4198.8154268999997</v>
      </c>
      <c r="AD409" s="372">
        <v>1623.0897786</v>
      </c>
      <c r="AE409" s="372">
        <v>0</v>
      </c>
      <c r="AF409" s="372">
        <v>0</v>
      </c>
      <c r="AG409" s="372">
        <v>0</v>
      </c>
      <c r="AH409" s="372">
        <v>0</v>
      </c>
    </row>
    <row r="410" spans="1:34">
      <c r="A410" s="372" t="s">
        <v>3420</v>
      </c>
      <c r="B410" s="373" t="s">
        <v>3421</v>
      </c>
      <c r="C410" s="372" t="s">
        <v>3422</v>
      </c>
      <c r="D410" s="374">
        <v>1101111421273</v>
      </c>
      <c r="E410" s="372" t="s">
        <v>3423</v>
      </c>
      <c r="F410" s="375" t="s">
        <v>1104</v>
      </c>
      <c r="G410" s="375" t="s">
        <v>1105</v>
      </c>
      <c r="H410" s="375" t="s">
        <v>868</v>
      </c>
      <c r="I410" s="375" t="s">
        <v>869</v>
      </c>
      <c r="J410" s="375">
        <v>330584.49721</v>
      </c>
      <c r="K410" s="375">
        <v>33809.871290000003</v>
      </c>
      <c r="L410" s="375">
        <v>36075.21948</v>
      </c>
      <c r="M410" s="375">
        <v>213698.48959000001</v>
      </c>
      <c r="N410" s="372">
        <v>0.59899999999999998</v>
      </c>
      <c r="O410" s="703">
        <v>0.28799402173403998</v>
      </c>
      <c r="P410" s="375" t="s">
        <v>623</v>
      </c>
      <c r="Q410" s="375" t="s">
        <v>623</v>
      </c>
      <c r="R410" s="695">
        <v>20161109</v>
      </c>
      <c r="S410" s="375" t="s">
        <v>3424</v>
      </c>
      <c r="T410" s="696">
        <v>0.23100000000000001</v>
      </c>
      <c r="U410" s="375" t="s">
        <v>3425</v>
      </c>
      <c r="V410" s="722">
        <v>15.3</v>
      </c>
      <c r="W410" s="722">
        <v>2.4700000000000002</v>
      </c>
      <c r="X410" s="722">
        <v>1.68</v>
      </c>
      <c r="Y410" s="722">
        <v>20.100000000000001</v>
      </c>
      <c r="Z410" s="382">
        <v>0.11214996368322616</v>
      </c>
      <c r="AA410" s="372">
        <v>2182.1595339</v>
      </c>
      <c r="AB410" s="372">
        <v>2327.4401489000002</v>
      </c>
      <c r="AC410" s="372">
        <v>2724.55447</v>
      </c>
      <c r="AD410" s="372">
        <v>3305.8449721000002</v>
      </c>
      <c r="AE410" s="372">
        <v>3980.64</v>
      </c>
      <c r="AF410" s="372">
        <v>4581.3999999999996</v>
      </c>
      <c r="AG410" s="372">
        <v>5057.5</v>
      </c>
      <c r="AH410" s="372">
        <v>0</v>
      </c>
    </row>
    <row r="411" spans="1:34">
      <c r="A411" s="372" t="s">
        <v>3426</v>
      </c>
      <c r="B411" s="373" t="s">
        <v>3427</v>
      </c>
      <c r="C411" s="372" t="s">
        <v>3428</v>
      </c>
      <c r="D411" s="374">
        <v>1601110069636</v>
      </c>
      <c r="E411" s="372" t="s">
        <v>3429</v>
      </c>
      <c r="F411" s="375" t="s">
        <v>1195</v>
      </c>
      <c r="G411" s="375" t="s">
        <v>1196</v>
      </c>
      <c r="H411" s="375" t="s">
        <v>868</v>
      </c>
      <c r="I411" s="375" t="s">
        <v>869</v>
      </c>
      <c r="J411" s="375">
        <v>72208.573279999997</v>
      </c>
      <c r="K411" s="375">
        <v>-7868.2106800000001</v>
      </c>
      <c r="L411" s="375">
        <v>-27347.50489</v>
      </c>
      <c r="M411" s="375">
        <v>108018.65637</v>
      </c>
      <c r="N411" s="372">
        <v>0.71399999999999997</v>
      </c>
      <c r="O411" s="703">
        <v>3.0981010161702365</v>
      </c>
      <c r="P411" s="375" t="s">
        <v>623</v>
      </c>
      <c r="Q411" s="375" t="s">
        <v>623</v>
      </c>
      <c r="R411" s="695">
        <v>20050624</v>
      </c>
      <c r="S411" s="375" t="s">
        <v>3430</v>
      </c>
      <c r="T411" s="696" t="s">
        <v>772</v>
      </c>
      <c r="U411" s="375" t="s">
        <v>3431</v>
      </c>
      <c r="V411" s="722" t="s">
        <v>774</v>
      </c>
      <c r="W411" s="722">
        <v>4.57</v>
      </c>
      <c r="X411" s="722">
        <v>7.36</v>
      </c>
      <c r="Y411" s="722" t="s">
        <v>774</v>
      </c>
      <c r="Z411" s="382" t="s">
        <v>934</v>
      </c>
      <c r="AA411" s="372">
        <v>656.63215049999997</v>
      </c>
      <c r="AB411" s="372">
        <v>603.70607819999998</v>
      </c>
      <c r="AC411" s="372">
        <v>758.04115609999997</v>
      </c>
      <c r="AD411" s="372">
        <v>722.08573279999996</v>
      </c>
      <c r="AE411" s="372">
        <v>0</v>
      </c>
      <c r="AF411" s="372">
        <v>0</v>
      </c>
      <c r="AG411" s="372">
        <v>0</v>
      </c>
      <c r="AH411" s="372">
        <v>0</v>
      </c>
    </row>
    <row r="412" spans="1:34">
      <c r="A412" s="372" t="s">
        <v>3432</v>
      </c>
      <c r="B412" s="373" t="s">
        <v>3433</v>
      </c>
      <c r="C412" s="372" t="s">
        <v>3434</v>
      </c>
      <c r="D412" s="374">
        <v>1350110049607</v>
      </c>
      <c r="E412" s="372" t="s">
        <v>3435</v>
      </c>
      <c r="F412" s="375" t="s">
        <v>2098</v>
      </c>
      <c r="G412" s="375" t="s">
        <v>3436</v>
      </c>
      <c r="H412" s="375" t="s">
        <v>1388</v>
      </c>
      <c r="I412" s="375" t="s">
        <v>869</v>
      </c>
      <c r="J412" s="375">
        <v>357843.60989000002</v>
      </c>
      <c r="K412" s="375">
        <v>19270.86607</v>
      </c>
      <c r="L412" s="375">
        <v>3542.3860100000002</v>
      </c>
      <c r="M412" s="375">
        <v>211184.11655000001</v>
      </c>
      <c r="N412" s="372">
        <v>0.78800000000000003</v>
      </c>
      <c r="O412" s="703">
        <v>52.844637210559227</v>
      </c>
      <c r="P412" s="375" t="s">
        <v>623</v>
      </c>
      <c r="Q412" s="375" t="s">
        <v>623</v>
      </c>
      <c r="R412" s="695">
        <v>20100914</v>
      </c>
      <c r="S412" s="375" t="s">
        <v>3437</v>
      </c>
      <c r="T412" s="696">
        <v>0.20900000000000002</v>
      </c>
      <c r="U412" s="375" t="s">
        <v>3438</v>
      </c>
      <c r="V412" s="722">
        <v>17.190000000000001</v>
      </c>
      <c r="W412" s="722">
        <v>2.2599999999999998</v>
      </c>
      <c r="X412" s="722">
        <v>1.34</v>
      </c>
      <c r="Y412" s="722">
        <v>125.66</v>
      </c>
      <c r="Z412" s="382" t="s">
        <v>934</v>
      </c>
      <c r="AA412" s="372">
        <v>2479.4966801</v>
      </c>
      <c r="AB412" s="372">
        <v>2954.5415658000002</v>
      </c>
      <c r="AC412" s="372">
        <v>2091.8857951999998</v>
      </c>
      <c r="AD412" s="372">
        <v>3578.4360989000002</v>
      </c>
      <c r="AE412" s="372">
        <v>0</v>
      </c>
      <c r="AF412" s="372">
        <v>0</v>
      </c>
      <c r="AG412" s="372">
        <v>0</v>
      </c>
      <c r="AH412" s="372">
        <v>0</v>
      </c>
    </row>
    <row r="413" spans="1:34">
      <c r="A413" s="372" t="s">
        <v>3439</v>
      </c>
      <c r="B413" s="373" t="s">
        <v>3440</v>
      </c>
      <c r="C413" s="372" t="s">
        <v>3441</v>
      </c>
      <c r="D413" s="374">
        <v>1801110001220</v>
      </c>
      <c r="E413" s="372" t="s">
        <v>3442</v>
      </c>
      <c r="F413" s="375" t="s">
        <v>816</v>
      </c>
      <c r="G413" s="375" t="s">
        <v>816</v>
      </c>
      <c r="H413" s="375" t="s">
        <v>817</v>
      </c>
      <c r="I413" s="375" t="s">
        <v>755</v>
      </c>
      <c r="J413" s="375">
        <v>1788877.6884300001</v>
      </c>
      <c r="K413" s="375">
        <v>56316.856699999997</v>
      </c>
      <c r="L413" s="375">
        <v>84953.712140000003</v>
      </c>
      <c r="M413" s="375">
        <v>1795210.6805700001</v>
      </c>
      <c r="N413" s="372">
        <v>0.92200000000000004</v>
      </c>
      <c r="O413" s="703">
        <v>36.366499427415633</v>
      </c>
      <c r="P413" s="375" t="s">
        <v>623</v>
      </c>
      <c r="Q413" s="372" t="s">
        <v>623</v>
      </c>
      <c r="R413" s="695">
        <v>19760525</v>
      </c>
      <c r="S413" s="372" t="s">
        <v>3443</v>
      </c>
      <c r="T413" s="696">
        <v>0.23100000000000001</v>
      </c>
      <c r="U413" s="375" t="s">
        <v>3444</v>
      </c>
      <c r="V413" s="722">
        <v>4.7</v>
      </c>
      <c r="W413" s="722">
        <v>0.3</v>
      </c>
      <c r="X413" s="722">
        <v>0.28000000000000003</v>
      </c>
      <c r="Y413" s="722">
        <v>7.1</v>
      </c>
      <c r="Z413" s="382" t="s">
        <v>934</v>
      </c>
      <c r="AA413" s="372">
        <v>13973.720099</v>
      </c>
      <c r="AB413" s="372">
        <v>16913.548770900001</v>
      </c>
      <c r="AC413" s="372">
        <v>20725.502231300001</v>
      </c>
      <c r="AD413" s="372">
        <v>17888.776884300001</v>
      </c>
      <c r="AE413" s="372">
        <v>0</v>
      </c>
      <c r="AF413" s="372">
        <v>0</v>
      </c>
      <c r="AG413" s="372">
        <v>0</v>
      </c>
      <c r="AH413" s="372">
        <v>0</v>
      </c>
    </row>
    <row r="414" spans="1:34">
      <c r="A414" s="372" t="s">
        <v>3445</v>
      </c>
      <c r="B414" s="373" t="s">
        <v>3446</v>
      </c>
      <c r="C414" s="372" t="s">
        <v>3447</v>
      </c>
      <c r="D414" s="374">
        <v>1358110290105</v>
      </c>
      <c r="E414" s="372" t="s">
        <v>3448</v>
      </c>
      <c r="F414" s="375" t="s">
        <v>1673</v>
      </c>
      <c r="G414" s="375" t="s">
        <v>2391</v>
      </c>
      <c r="H414" s="375" t="s">
        <v>1388</v>
      </c>
      <c r="I414" s="375" t="s">
        <v>869</v>
      </c>
      <c r="J414" s="375">
        <v>0</v>
      </c>
      <c r="K414" s="375">
        <v>0</v>
      </c>
      <c r="L414" s="375">
        <v>0</v>
      </c>
      <c r="M414" s="375">
        <v>97793.72365</v>
      </c>
      <c r="N414" s="372" t="s">
        <v>1033</v>
      </c>
      <c r="O414" s="703">
        <v>4.1896664474114509</v>
      </c>
      <c r="P414" s="375" t="s">
        <v>623</v>
      </c>
      <c r="Q414" s="372" t="s">
        <v>623</v>
      </c>
      <c r="R414" s="695">
        <v>20231113</v>
      </c>
      <c r="S414" s="372" t="s">
        <v>3449</v>
      </c>
      <c r="T414" s="696" t="s">
        <v>772</v>
      </c>
      <c r="U414" s="372" t="s">
        <v>3450</v>
      </c>
      <c r="V414" s="722">
        <v>0</v>
      </c>
      <c r="W414" s="722">
        <v>6.46</v>
      </c>
      <c r="X414" s="722">
        <v>0</v>
      </c>
      <c r="Y414" s="722">
        <v>0</v>
      </c>
      <c r="Z414" s="382" t="s">
        <v>934</v>
      </c>
      <c r="AA414" s="372">
        <v>235.8501</v>
      </c>
      <c r="AB414" s="372">
        <v>451.95788010000001</v>
      </c>
      <c r="AC414" s="372">
        <v>696.29209119999996</v>
      </c>
      <c r="AD414" s="372">
        <v>741.54339770000001</v>
      </c>
      <c r="AE414" s="372">
        <v>1134</v>
      </c>
      <c r="AF414" s="372">
        <v>1362</v>
      </c>
      <c r="AG414" s="372">
        <v>0</v>
      </c>
      <c r="AH414" s="372">
        <v>0</v>
      </c>
    </row>
    <row r="415" spans="1:34">
      <c r="A415" s="372" t="s">
        <v>3451</v>
      </c>
      <c r="B415" s="373" t="s">
        <v>3452</v>
      </c>
      <c r="C415" s="372" t="s">
        <v>3453</v>
      </c>
      <c r="D415" s="374">
        <v>1152110000287</v>
      </c>
      <c r="E415" s="372" t="s">
        <v>3454</v>
      </c>
      <c r="F415" s="375" t="s">
        <v>3455</v>
      </c>
      <c r="G415" s="375" t="s">
        <v>3456</v>
      </c>
      <c r="H415" s="375" t="s">
        <v>1327</v>
      </c>
      <c r="I415" s="375" t="s">
        <v>755</v>
      </c>
      <c r="J415" s="375">
        <v>1394316.3824</v>
      </c>
      <c r="K415" s="375">
        <v>112245.2182</v>
      </c>
      <c r="L415" s="375">
        <v>110956.20634</v>
      </c>
      <c r="M415" s="375">
        <v>641597.54347000003</v>
      </c>
      <c r="N415" s="372">
        <v>0.53400000000000003</v>
      </c>
      <c r="O415" s="703">
        <v>7.5451229800765862</v>
      </c>
      <c r="P415" s="375" t="s">
        <v>623</v>
      </c>
      <c r="Q415" s="375" t="s">
        <v>623</v>
      </c>
      <c r="R415" s="695">
        <v>19780831</v>
      </c>
      <c r="S415" s="375" t="s">
        <v>3457</v>
      </c>
      <c r="T415" s="696">
        <v>0.23100000000000001</v>
      </c>
      <c r="U415" s="375" t="s">
        <v>3458</v>
      </c>
      <c r="V415" s="722">
        <v>3.1</v>
      </c>
      <c r="W415" s="722">
        <v>0.81</v>
      </c>
      <c r="X415" s="722">
        <v>0.39</v>
      </c>
      <c r="Y415" s="722">
        <v>6.25</v>
      </c>
      <c r="Z415" s="382">
        <v>5.3881495863389528E-2</v>
      </c>
      <c r="AA415" s="372">
        <v>9591.2948959999994</v>
      </c>
      <c r="AB415" s="372">
        <v>11474.3511862</v>
      </c>
      <c r="AC415" s="372">
        <v>12676.8582267</v>
      </c>
      <c r="AD415" s="372">
        <v>13943.163823999999</v>
      </c>
      <c r="AE415" s="372">
        <v>14867.33</v>
      </c>
      <c r="AF415" s="372">
        <v>15875</v>
      </c>
      <c r="AG415" s="372">
        <v>17200</v>
      </c>
      <c r="AH415" s="372">
        <v>0</v>
      </c>
    </row>
    <row r="416" spans="1:34">
      <c r="A416" s="372" t="s">
        <v>3459</v>
      </c>
      <c r="B416" s="373" t="s">
        <v>3460</v>
      </c>
      <c r="C416" s="372" t="s">
        <v>3461</v>
      </c>
      <c r="D416" s="374">
        <v>1101110275069</v>
      </c>
      <c r="E416" s="372" t="s">
        <v>3462</v>
      </c>
      <c r="F416" s="375" t="s">
        <v>1614</v>
      </c>
      <c r="G416" s="375" t="s">
        <v>1615</v>
      </c>
      <c r="H416" s="375" t="s">
        <v>832</v>
      </c>
      <c r="I416" s="375" t="s">
        <v>755</v>
      </c>
      <c r="J416" s="375">
        <v>1133715.0061300001</v>
      </c>
      <c r="K416" s="375">
        <v>32068.843099999998</v>
      </c>
      <c r="L416" s="375">
        <v>22784.544389999999</v>
      </c>
      <c r="M416" s="375">
        <v>903111.51638000004</v>
      </c>
      <c r="N416" s="372">
        <v>1.0720000000000001</v>
      </c>
      <c r="O416" s="703">
        <v>33.602305582409606</v>
      </c>
      <c r="P416" s="375" t="s">
        <v>623</v>
      </c>
      <c r="Q416" s="372" t="s">
        <v>623</v>
      </c>
      <c r="R416" s="695">
        <v>20041203</v>
      </c>
      <c r="S416" s="372" t="s">
        <v>3463</v>
      </c>
      <c r="T416" s="696">
        <v>0.23100000000000001</v>
      </c>
      <c r="U416" s="372" t="s">
        <v>3464</v>
      </c>
      <c r="V416" s="722">
        <v>6.35</v>
      </c>
      <c r="W416" s="722">
        <v>0.51</v>
      </c>
      <c r="X416" s="722">
        <v>0.4</v>
      </c>
      <c r="Y416" s="722">
        <v>28.21</v>
      </c>
      <c r="Z416" s="382">
        <v>5.3901369761956586E-2</v>
      </c>
      <c r="AA416" s="372">
        <v>8904.6035854000002</v>
      </c>
      <c r="AB416" s="372">
        <v>8771.1034491999999</v>
      </c>
      <c r="AC416" s="372">
        <v>14049.0246161</v>
      </c>
      <c r="AD416" s="372">
        <v>11337.150061300001</v>
      </c>
      <c r="AE416" s="372">
        <v>11380</v>
      </c>
      <c r="AF416" s="372">
        <v>12665</v>
      </c>
      <c r="AG416" s="372">
        <v>13986.33</v>
      </c>
      <c r="AH416" s="372">
        <v>0</v>
      </c>
    </row>
    <row r="417" spans="1:34">
      <c r="A417" s="372" t="s">
        <v>3465</v>
      </c>
      <c r="B417" s="373" t="s">
        <v>3466</v>
      </c>
      <c r="C417" s="372" t="s">
        <v>3467</v>
      </c>
      <c r="D417" s="374">
        <v>1101110090516</v>
      </c>
      <c r="E417" s="372" t="s">
        <v>3468</v>
      </c>
      <c r="F417" s="372" t="s">
        <v>1418</v>
      </c>
      <c r="G417" s="375" t="s">
        <v>3469</v>
      </c>
      <c r="H417" s="375" t="s">
        <v>1327</v>
      </c>
      <c r="I417" s="375" t="s">
        <v>755</v>
      </c>
      <c r="J417" s="375">
        <v>3433322.2964499998</v>
      </c>
      <c r="K417" s="375">
        <v>91734.322539999994</v>
      </c>
      <c r="L417" s="375">
        <v>63697.106319999999</v>
      </c>
      <c r="M417" s="375">
        <v>419012.68985000002</v>
      </c>
      <c r="N417" s="372">
        <v>0.45</v>
      </c>
      <c r="O417" s="703">
        <v>104.1525825426699</v>
      </c>
      <c r="P417" s="375" t="s">
        <v>623</v>
      </c>
      <c r="Q417" s="375" t="s">
        <v>623</v>
      </c>
      <c r="R417" s="695">
        <v>19750502</v>
      </c>
      <c r="S417" s="375" t="s">
        <v>3470</v>
      </c>
      <c r="T417" s="696">
        <v>0.23100000000000001</v>
      </c>
      <c r="U417" s="375" t="s">
        <v>3471</v>
      </c>
      <c r="V417" s="722">
        <v>5.5</v>
      </c>
      <c r="W417" s="722">
        <v>1.1499999999999999</v>
      </c>
      <c r="X417" s="722">
        <v>0.16</v>
      </c>
      <c r="Y417" s="722">
        <v>10.75</v>
      </c>
      <c r="Z417" s="382">
        <v>3.9319540805727859E-2</v>
      </c>
      <c r="AA417" s="372">
        <v>25427.0943018</v>
      </c>
      <c r="AB417" s="372">
        <v>29466.537866499999</v>
      </c>
      <c r="AC417" s="372">
        <v>33145.472804999998</v>
      </c>
      <c r="AD417" s="372">
        <v>34333.222964499997</v>
      </c>
      <c r="AE417" s="372">
        <v>35853.25</v>
      </c>
      <c r="AF417" s="372">
        <v>37941</v>
      </c>
      <c r="AG417" s="372">
        <v>40060</v>
      </c>
      <c r="AH417" s="372">
        <v>0</v>
      </c>
    </row>
    <row r="418" spans="1:34">
      <c r="A418" s="372" t="s">
        <v>3472</v>
      </c>
      <c r="B418" s="373" t="s">
        <v>3473</v>
      </c>
      <c r="C418" s="372" t="s">
        <v>3474</v>
      </c>
      <c r="D418" s="374">
        <v>1601110099451</v>
      </c>
      <c r="E418" s="372" t="s">
        <v>3475</v>
      </c>
      <c r="F418" s="375" t="s">
        <v>852</v>
      </c>
      <c r="G418" s="375" t="s">
        <v>852</v>
      </c>
      <c r="H418" s="375" t="s">
        <v>3127</v>
      </c>
      <c r="I418" s="375" t="s">
        <v>869</v>
      </c>
      <c r="J418" s="375">
        <v>53749.062570000002</v>
      </c>
      <c r="K418" s="375">
        <v>-8700.2604599999995</v>
      </c>
      <c r="L418" s="375">
        <v>-2769.13618</v>
      </c>
      <c r="M418" s="375">
        <v>171518.86189999999</v>
      </c>
      <c r="N418" s="372">
        <v>1.0069999999999999</v>
      </c>
      <c r="O418" s="703">
        <v>1.1347630207606558</v>
      </c>
      <c r="P418" s="375" t="s">
        <v>623</v>
      </c>
      <c r="Q418" s="372" t="s">
        <v>623</v>
      </c>
      <c r="R418" s="695">
        <v>20100326</v>
      </c>
      <c r="S418" s="375" t="s">
        <v>3476</v>
      </c>
      <c r="T418" s="696" t="s">
        <v>772</v>
      </c>
      <c r="U418" s="372" t="s">
        <v>16007</v>
      </c>
      <c r="V418" s="722" t="s">
        <v>774</v>
      </c>
      <c r="W418" s="722">
        <v>2.02</v>
      </c>
      <c r="X418" s="722">
        <v>6.12</v>
      </c>
      <c r="Y418" s="722" t="s">
        <v>774</v>
      </c>
      <c r="Z418" s="382" t="s">
        <v>934</v>
      </c>
      <c r="AA418" s="372">
        <v>429.29780549999998</v>
      </c>
      <c r="AB418" s="372">
        <v>435.86410990000002</v>
      </c>
      <c r="AC418" s="372">
        <v>424.02741730000002</v>
      </c>
      <c r="AD418" s="372">
        <v>537.49062570000001</v>
      </c>
      <c r="AE418" s="372">
        <v>0</v>
      </c>
      <c r="AF418" s="372">
        <v>0</v>
      </c>
      <c r="AG418" s="372">
        <v>0</v>
      </c>
      <c r="AH418" s="372">
        <v>0</v>
      </c>
    </row>
    <row r="419" spans="1:34">
      <c r="A419" s="372" t="s">
        <v>3477</v>
      </c>
      <c r="B419" s="373" t="s">
        <v>3478</v>
      </c>
      <c r="C419" s="372" t="s">
        <v>3479</v>
      </c>
      <c r="D419" s="374">
        <v>1341110013552</v>
      </c>
      <c r="E419" s="372" t="s">
        <v>3480</v>
      </c>
      <c r="F419" s="375" t="s">
        <v>2858</v>
      </c>
      <c r="G419" s="375" t="s">
        <v>2858</v>
      </c>
      <c r="H419" s="375" t="s">
        <v>1388</v>
      </c>
      <c r="I419" s="375" t="s">
        <v>869</v>
      </c>
      <c r="J419" s="375">
        <v>577375.55027000001</v>
      </c>
      <c r="K419" s="375">
        <v>18305.6551</v>
      </c>
      <c r="L419" s="375">
        <v>38396.70996</v>
      </c>
      <c r="M419" s="375">
        <v>748491.85554000002</v>
      </c>
      <c r="N419" s="372">
        <v>0.998</v>
      </c>
      <c r="O419" s="703">
        <v>4.3287286655512665</v>
      </c>
      <c r="P419" s="375" t="s">
        <v>623</v>
      </c>
      <c r="Q419" s="375" t="s">
        <v>623</v>
      </c>
      <c r="R419" s="695">
        <v>20020219</v>
      </c>
      <c r="S419" s="375" t="s">
        <v>3481</v>
      </c>
      <c r="T419" s="696">
        <v>0.23100000000000001</v>
      </c>
      <c r="U419" s="375" t="s">
        <v>3482</v>
      </c>
      <c r="V419" s="722">
        <v>15.78</v>
      </c>
      <c r="W419" s="722">
        <v>0.71</v>
      </c>
      <c r="X419" s="722">
        <v>0.8</v>
      </c>
      <c r="Y419" s="722">
        <v>16.79</v>
      </c>
      <c r="Z419" s="382" t="s">
        <v>934</v>
      </c>
      <c r="AA419" s="372">
        <v>7778.4006516999998</v>
      </c>
      <c r="AB419" s="372">
        <v>10520.381156199999</v>
      </c>
      <c r="AC419" s="372">
        <v>10979.6327669</v>
      </c>
      <c r="AD419" s="372">
        <v>5773.7555026999999</v>
      </c>
      <c r="AE419" s="372">
        <v>6737</v>
      </c>
      <c r="AF419" s="372">
        <v>8758</v>
      </c>
      <c r="AG419" s="372">
        <v>0</v>
      </c>
      <c r="AH419" s="372">
        <v>0</v>
      </c>
    </row>
    <row r="420" spans="1:34">
      <c r="A420" s="372" t="s">
        <v>3483</v>
      </c>
      <c r="B420" s="373" t="s">
        <v>3484</v>
      </c>
      <c r="C420" s="372" t="s">
        <v>3485</v>
      </c>
      <c r="D420" s="374">
        <v>1101110166127</v>
      </c>
      <c r="E420" s="372" t="s">
        <v>3486</v>
      </c>
      <c r="F420" s="375" t="s">
        <v>3487</v>
      </c>
      <c r="G420" s="375" t="s">
        <v>3487</v>
      </c>
      <c r="H420" s="375" t="s">
        <v>3127</v>
      </c>
      <c r="I420" s="375" t="s">
        <v>869</v>
      </c>
      <c r="J420" s="375">
        <v>808042.56244000001</v>
      </c>
      <c r="K420" s="375">
        <v>34427.006950000003</v>
      </c>
      <c r="L420" s="375">
        <v>23352.238450000001</v>
      </c>
      <c r="M420" s="375">
        <v>343595.22993999999</v>
      </c>
      <c r="N420" s="372">
        <v>0.57999999999999996</v>
      </c>
      <c r="O420" s="703">
        <v>222.22472737735566</v>
      </c>
      <c r="P420" s="375" t="s">
        <v>623</v>
      </c>
      <c r="Q420" s="375" t="s">
        <v>623</v>
      </c>
      <c r="R420" s="695">
        <v>19971013</v>
      </c>
      <c r="S420" s="375" t="s">
        <v>3488</v>
      </c>
      <c r="T420" s="696">
        <v>0.23100000000000001</v>
      </c>
      <c r="U420" s="372" t="s">
        <v>3489</v>
      </c>
      <c r="V420" s="722">
        <v>11.93</v>
      </c>
      <c r="W420" s="722">
        <v>0.93</v>
      </c>
      <c r="X420" s="722">
        <v>0.63</v>
      </c>
      <c r="Y420" s="722">
        <v>11.57</v>
      </c>
      <c r="Z420" s="382" t="s">
        <v>934</v>
      </c>
      <c r="AA420" s="372">
        <v>4264.2143126000001</v>
      </c>
      <c r="AB420" s="372">
        <v>6739.7962725999996</v>
      </c>
      <c r="AC420" s="372">
        <v>8220.1840659999998</v>
      </c>
      <c r="AD420" s="372">
        <v>8080.4256243999998</v>
      </c>
      <c r="AE420" s="372">
        <v>13428</v>
      </c>
      <c r="AF420" s="372">
        <v>13776</v>
      </c>
      <c r="AG420" s="372">
        <v>0</v>
      </c>
      <c r="AH420" s="372">
        <v>0</v>
      </c>
    </row>
    <row r="421" spans="1:34">
      <c r="A421" s="372" t="s">
        <v>3490</v>
      </c>
      <c r="B421" s="373" t="s">
        <v>3491</v>
      </c>
      <c r="C421" s="372" t="s">
        <v>3492</v>
      </c>
      <c r="D421" s="374">
        <v>1101110974851</v>
      </c>
      <c r="E421" s="372" t="s">
        <v>3493</v>
      </c>
      <c r="F421" s="375" t="s">
        <v>1814</v>
      </c>
      <c r="G421" s="375" t="s">
        <v>2821</v>
      </c>
      <c r="H421" s="375" t="s">
        <v>1693</v>
      </c>
      <c r="I421" s="375" t="s">
        <v>869</v>
      </c>
      <c r="J421" s="375">
        <v>92481.78443</v>
      </c>
      <c r="K421" s="375">
        <v>-8907.0533099999993</v>
      </c>
      <c r="L421" s="375">
        <v>-10770.60788</v>
      </c>
      <c r="M421" s="375">
        <v>87153.662899999996</v>
      </c>
      <c r="N421" s="372">
        <v>0.36499999999999999</v>
      </c>
      <c r="O421" s="703">
        <v>20.397364471511885</v>
      </c>
      <c r="P421" s="375" t="s">
        <v>623</v>
      </c>
      <c r="Q421" s="372" t="s">
        <v>623</v>
      </c>
      <c r="R421" s="695">
        <v>20080701</v>
      </c>
      <c r="S421" s="375" t="s">
        <v>3494</v>
      </c>
      <c r="T421" s="696" t="s">
        <v>772</v>
      </c>
      <c r="U421" s="375" t="s">
        <v>3495</v>
      </c>
      <c r="V421" s="722" t="s">
        <v>774</v>
      </c>
      <c r="W421" s="722">
        <v>1.98</v>
      </c>
      <c r="X421" s="722">
        <v>1.82</v>
      </c>
      <c r="Y421" s="722" t="s">
        <v>774</v>
      </c>
      <c r="Z421" s="382" t="s">
        <v>934</v>
      </c>
      <c r="AA421" s="372">
        <v>836.56677609999997</v>
      </c>
      <c r="AB421" s="372">
        <v>895.82769299999995</v>
      </c>
      <c r="AC421" s="372">
        <v>887.67503739999995</v>
      </c>
      <c r="AD421" s="372">
        <v>924.81784430000005</v>
      </c>
      <c r="AE421" s="372">
        <v>1175</v>
      </c>
      <c r="AF421" s="372">
        <v>0</v>
      </c>
      <c r="AG421" s="372">
        <v>0</v>
      </c>
      <c r="AH421" s="372">
        <v>0</v>
      </c>
    </row>
    <row r="422" spans="1:34">
      <c r="A422" s="372" t="s">
        <v>3496</v>
      </c>
      <c r="B422" s="373" t="s">
        <v>3497</v>
      </c>
      <c r="C422" s="372" t="s">
        <v>3498</v>
      </c>
      <c r="D422" s="374">
        <v>1601110393069</v>
      </c>
      <c r="E422" s="372" t="s">
        <v>3499</v>
      </c>
      <c r="F422" s="375" t="s">
        <v>1013</v>
      </c>
      <c r="G422" s="375" t="s">
        <v>3500</v>
      </c>
      <c r="H422" s="375" t="s">
        <v>1693</v>
      </c>
      <c r="I422" s="375" t="s">
        <v>869</v>
      </c>
      <c r="J422" s="375">
        <v>685111.03376999998</v>
      </c>
      <c r="K422" s="375">
        <v>114549.13455</v>
      </c>
      <c r="L422" s="375">
        <v>106559.66087000001</v>
      </c>
      <c r="M422" s="375">
        <v>425679.09444000002</v>
      </c>
      <c r="N422" s="372">
        <v>0.77400000000000002</v>
      </c>
      <c r="O422" s="703">
        <v>16.032874520493113</v>
      </c>
      <c r="P422" s="375" t="s">
        <v>623</v>
      </c>
      <c r="Q422" s="375" t="s">
        <v>623</v>
      </c>
      <c r="R422" s="695">
        <v>20150403</v>
      </c>
      <c r="S422" s="375" t="s">
        <v>3501</v>
      </c>
      <c r="T422" s="696">
        <v>0.23100000000000001</v>
      </c>
      <c r="U422" s="375" t="s">
        <v>3502</v>
      </c>
      <c r="V422" s="722">
        <v>3.6</v>
      </c>
      <c r="W422" s="722">
        <v>1.32</v>
      </c>
      <c r="X422" s="722">
        <v>0.84</v>
      </c>
      <c r="Y422" s="722">
        <v>7.28</v>
      </c>
      <c r="Z422" s="382">
        <v>5.0423162888468154E-2</v>
      </c>
      <c r="AA422" s="372">
        <v>2985.2408546000001</v>
      </c>
      <c r="AB422" s="372">
        <v>4403.0810351</v>
      </c>
      <c r="AC422" s="372">
        <v>6175.1398692000002</v>
      </c>
      <c r="AD422" s="372">
        <v>6851.1103376999999</v>
      </c>
      <c r="AE422" s="372">
        <v>7168.67</v>
      </c>
      <c r="AF422" s="372">
        <v>7825.67</v>
      </c>
      <c r="AG422" s="372">
        <v>8341</v>
      </c>
      <c r="AH422" s="372">
        <v>0</v>
      </c>
    </row>
    <row r="423" spans="1:34">
      <c r="A423" s="372" t="s">
        <v>3503</v>
      </c>
      <c r="B423" s="373" t="s">
        <v>3504</v>
      </c>
      <c r="C423" s="372" t="s">
        <v>3505</v>
      </c>
      <c r="D423" s="374">
        <v>1101110006456</v>
      </c>
      <c r="E423" s="372" t="s">
        <v>3506</v>
      </c>
      <c r="F423" s="375" t="s">
        <v>965</v>
      </c>
      <c r="G423" s="375" t="s">
        <v>966</v>
      </c>
      <c r="H423" s="375" t="s">
        <v>940</v>
      </c>
      <c r="I423" s="375" t="s">
        <v>755</v>
      </c>
      <c r="J423" s="375">
        <v>4876520.1679999996</v>
      </c>
      <c r="K423" s="375">
        <v>306524.36418999999</v>
      </c>
      <c r="L423" s="375">
        <v>307596.04398999998</v>
      </c>
      <c r="M423" s="375">
        <v>3345779.3040999998</v>
      </c>
      <c r="N423" s="372">
        <v>0.67500000000000004</v>
      </c>
      <c r="O423" s="703">
        <v>42.96348683427604</v>
      </c>
      <c r="P423" s="375" t="s">
        <v>623</v>
      </c>
      <c r="Q423" s="372" t="s">
        <v>623</v>
      </c>
      <c r="R423" s="695">
        <v>19750630</v>
      </c>
      <c r="S423" s="372" t="s">
        <v>3507</v>
      </c>
      <c r="T423" s="696">
        <v>0.26400000000000001</v>
      </c>
      <c r="U423" s="372" t="s">
        <v>3508</v>
      </c>
      <c r="V423" s="722">
        <v>0</v>
      </c>
      <c r="W423" s="722">
        <v>0.19</v>
      </c>
      <c r="X423" s="722">
        <v>0.1</v>
      </c>
      <c r="Y423" s="722">
        <v>2.5299999999999998</v>
      </c>
      <c r="Z423" s="382" t="s">
        <v>934</v>
      </c>
      <c r="AA423" s="372">
        <v>59941.806085299999</v>
      </c>
      <c r="AB423" s="372">
        <v>61358.278336099997</v>
      </c>
      <c r="AC423" s="372">
        <v>46717.5444967</v>
      </c>
      <c r="AD423" s="372">
        <v>48765.201679999998</v>
      </c>
      <c r="AE423" s="372">
        <v>0</v>
      </c>
      <c r="AF423" s="372">
        <v>0</v>
      </c>
      <c r="AG423" s="372">
        <v>0</v>
      </c>
      <c r="AH423" s="372">
        <v>0</v>
      </c>
    </row>
    <row r="424" spans="1:34">
      <c r="A424" s="372" t="s">
        <v>3509</v>
      </c>
      <c r="B424" s="373" t="s">
        <v>3510</v>
      </c>
      <c r="C424" s="372" t="s">
        <v>3511</v>
      </c>
      <c r="D424" s="374">
        <v>1101110042492</v>
      </c>
      <c r="E424" s="372" t="s">
        <v>3512</v>
      </c>
      <c r="F424" s="375" t="s">
        <v>1272</v>
      </c>
      <c r="G424" s="375" t="s">
        <v>1273</v>
      </c>
      <c r="H424" s="375" t="s">
        <v>1274</v>
      </c>
      <c r="I424" s="375" t="s">
        <v>755</v>
      </c>
      <c r="J424" s="375">
        <v>509912.489</v>
      </c>
      <c r="K424" s="375">
        <v>129124.92600000001</v>
      </c>
      <c r="L424" s="375">
        <v>91087.562999999995</v>
      </c>
      <c r="M424" s="375">
        <v>1601494.422</v>
      </c>
      <c r="N424" s="372">
        <v>1.0329999999999999</v>
      </c>
      <c r="O424" s="703">
        <v>1525.7988411896263</v>
      </c>
      <c r="P424" s="375" t="s">
        <v>623</v>
      </c>
      <c r="Q424" s="375" t="s">
        <v>623</v>
      </c>
      <c r="R424" s="695">
        <v>19880121</v>
      </c>
      <c r="S424" s="375" t="s">
        <v>3287</v>
      </c>
      <c r="T424" s="696">
        <v>0.23100000000000001</v>
      </c>
      <c r="U424" s="375" t="s">
        <v>3513</v>
      </c>
      <c r="V424" s="722">
        <v>0</v>
      </c>
      <c r="W424" s="722">
        <v>0.33</v>
      </c>
      <c r="X424" s="722">
        <v>0.19</v>
      </c>
      <c r="Y424" s="722">
        <v>8.41</v>
      </c>
      <c r="Z424" s="382" t="s">
        <v>934</v>
      </c>
      <c r="AA424" s="372">
        <v>4919.3649500000001</v>
      </c>
      <c r="AB424" s="372">
        <v>7546.8543399999999</v>
      </c>
      <c r="AC424" s="372">
        <v>3852.7844300000002</v>
      </c>
      <c r="AD424" s="372">
        <v>5099.1248900000001</v>
      </c>
      <c r="AE424" s="372">
        <v>0</v>
      </c>
      <c r="AF424" s="372">
        <v>0</v>
      </c>
      <c r="AG424" s="372">
        <v>0</v>
      </c>
      <c r="AH424" s="372">
        <v>0</v>
      </c>
    </row>
    <row r="425" spans="1:34">
      <c r="A425" s="372" t="s">
        <v>3514</v>
      </c>
      <c r="B425" s="373" t="s">
        <v>3515</v>
      </c>
      <c r="C425" s="372" t="s">
        <v>3516</v>
      </c>
      <c r="D425" s="374">
        <v>1350110042924</v>
      </c>
      <c r="E425" s="372" t="s">
        <v>3517</v>
      </c>
      <c r="F425" s="375" t="s">
        <v>1005</v>
      </c>
      <c r="G425" s="375" t="s">
        <v>1006</v>
      </c>
      <c r="H425" s="375" t="s">
        <v>1388</v>
      </c>
      <c r="I425" s="375" t="s">
        <v>869</v>
      </c>
      <c r="J425" s="375">
        <v>438157.69659000001</v>
      </c>
      <c r="K425" s="375">
        <v>21645.848890000001</v>
      </c>
      <c r="L425" s="375">
        <v>26377.636190000001</v>
      </c>
      <c r="M425" s="375">
        <v>220482.19860999999</v>
      </c>
      <c r="N425" s="372">
        <v>1.014</v>
      </c>
      <c r="O425" s="703">
        <v>0.16873732020003313</v>
      </c>
      <c r="P425" s="375" t="s">
        <v>623</v>
      </c>
      <c r="Q425" s="375" t="s">
        <v>623</v>
      </c>
      <c r="R425" s="695">
        <v>20030120</v>
      </c>
      <c r="S425" s="375" t="s">
        <v>3518</v>
      </c>
      <c r="T425" s="696">
        <v>0.23100000000000001</v>
      </c>
      <c r="U425" s="372" t="s">
        <v>3519</v>
      </c>
      <c r="V425" s="722">
        <v>7.13</v>
      </c>
      <c r="W425" s="722">
        <v>1.1299999999999999</v>
      </c>
      <c r="X425" s="722">
        <v>0.56999999999999995</v>
      </c>
      <c r="Y425" s="722">
        <v>9.08</v>
      </c>
      <c r="Z425" s="382">
        <v>7.5277264171212721E-2</v>
      </c>
      <c r="AA425" s="372">
        <v>3236.9127874999999</v>
      </c>
      <c r="AB425" s="372">
        <v>4469.9549035</v>
      </c>
      <c r="AC425" s="372">
        <v>4427.0995831999999</v>
      </c>
      <c r="AD425" s="372">
        <v>4381.5769658999998</v>
      </c>
      <c r="AE425" s="372">
        <v>5425.5</v>
      </c>
      <c r="AF425" s="372">
        <v>5757.5</v>
      </c>
      <c r="AG425" s="372">
        <v>5857.5</v>
      </c>
      <c r="AH425" s="372">
        <v>0</v>
      </c>
    </row>
    <row r="426" spans="1:34">
      <c r="A426" s="372" t="s">
        <v>3520</v>
      </c>
      <c r="B426" s="373" t="s">
        <v>3521</v>
      </c>
      <c r="C426" s="372" t="s">
        <v>3522</v>
      </c>
      <c r="D426" s="374">
        <v>1101116168614</v>
      </c>
      <c r="E426" s="372" t="s">
        <v>3523</v>
      </c>
      <c r="F426" s="375" t="s">
        <v>1985</v>
      </c>
      <c r="G426" s="375" t="s">
        <v>1985</v>
      </c>
      <c r="H426" s="375" t="s">
        <v>1388</v>
      </c>
      <c r="I426" s="375" t="s">
        <v>869</v>
      </c>
      <c r="J426" s="375">
        <v>100931.22658</v>
      </c>
      <c r="K426" s="375">
        <v>8086.6783400000004</v>
      </c>
      <c r="L426" s="375">
        <v>9260.7282599999999</v>
      </c>
      <c r="M426" s="375">
        <v>86808.779769999994</v>
      </c>
      <c r="N426" s="372">
        <v>1.115</v>
      </c>
      <c r="O426" s="703">
        <v>1.0604689899378297</v>
      </c>
      <c r="P426" s="375" t="s">
        <v>623</v>
      </c>
      <c r="Q426" s="375" t="s">
        <v>623</v>
      </c>
      <c r="R426" s="695">
        <v>20180404</v>
      </c>
      <c r="S426" s="375" t="s">
        <v>3524</v>
      </c>
      <c r="T426" s="696">
        <v>0.20900000000000002</v>
      </c>
      <c r="U426" s="372" t="s">
        <v>3525</v>
      </c>
      <c r="V426" s="722">
        <v>34.770000000000003</v>
      </c>
      <c r="W426" s="722">
        <v>3.7</v>
      </c>
      <c r="X426" s="722">
        <v>3.38</v>
      </c>
      <c r="Y426" s="722">
        <v>41.18</v>
      </c>
      <c r="Z426" s="382" t="s">
        <v>934</v>
      </c>
      <c r="AA426" s="372">
        <v>486.384838</v>
      </c>
      <c r="AB426" s="372">
        <v>371.76448110000001</v>
      </c>
      <c r="AC426" s="372">
        <v>746.73208039999997</v>
      </c>
      <c r="AD426" s="372">
        <v>1009.3122658</v>
      </c>
      <c r="AE426" s="372">
        <v>0</v>
      </c>
      <c r="AF426" s="372">
        <v>0</v>
      </c>
      <c r="AG426" s="372">
        <v>0</v>
      </c>
      <c r="AH426" s="372">
        <v>0</v>
      </c>
    </row>
    <row r="427" spans="1:34">
      <c r="A427" s="372" t="s">
        <v>3526</v>
      </c>
      <c r="B427" s="373" t="s">
        <v>3527</v>
      </c>
      <c r="C427" s="372" t="s">
        <v>3528</v>
      </c>
      <c r="D427" s="374">
        <v>1101113687568</v>
      </c>
      <c r="E427" s="372" t="s">
        <v>3529</v>
      </c>
      <c r="F427" s="372" t="s">
        <v>1013</v>
      </c>
      <c r="G427" s="375" t="s">
        <v>3530</v>
      </c>
      <c r="H427" s="375" t="s">
        <v>1693</v>
      </c>
      <c r="I427" s="375" t="s">
        <v>869</v>
      </c>
      <c r="J427" s="375">
        <v>161143.32874999999</v>
      </c>
      <c r="K427" s="375">
        <v>-47992.774340000004</v>
      </c>
      <c r="L427" s="375">
        <v>-49544.629240000002</v>
      </c>
      <c r="M427" s="375">
        <v>134557.43760999999</v>
      </c>
      <c r="N427" s="372">
        <v>0.96899999999999997</v>
      </c>
      <c r="O427" s="703">
        <v>2.8109098189771431</v>
      </c>
      <c r="P427" s="375" t="s">
        <v>623</v>
      </c>
      <c r="Q427" s="375" t="s">
        <v>623</v>
      </c>
      <c r="R427" s="695">
        <v>20141006</v>
      </c>
      <c r="S427" s="375" t="s">
        <v>3531</v>
      </c>
      <c r="T427" s="696" t="s">
        <v>772</v>
      </c>
      <c r="U427" s="372" t="s">
        <v>3532</v>
      </c>
      <c r="V427" s="722" t="s">
        <v>774</v>
      </c>
      <c r="W427" s="722">
        <v>3.39</v>
      </c>
      <c r="X427" s="722">
        <v>3.59</v>
      </c>
      <c r="Y427" s="722" t="s">
        <v>774</v>
      </c>
      <c r="Z427" s="382">
        <v>0.18903489048751232</v>
      </c>
      <c r="AA427" s="372">
        <v>705.10663669999997</v>
      </c>
      <c r="AB427" s="372">
        <v>3693.2923086999999</v>
      </c>
      <c r="AC427" s="372">
        <v>2144.2395445000002</v>
      </c>
      <c r="AD427" s="372">
        <v>1611.4332875</v>
      </c>
      <c r="AE427" s="372">
        <v>3035</v>
      </c>
      <c r="AF427" s="372">
        <v>3540.67</v>
      </c>
      <c r="AG427" s="372">
        <v>3221</v>
      </c>
      <c r="AH427" s="372">
        <v>0</v>
      </c>
    </row>
    <row r="428" spans="1:34">
      <c r="A428" s="372" t="s">
        <v>3533</v>
      </c>
      <c r="B428" s="373" t="s">
        <v>3534</v>
      </c>
      <c r="C428" s="372" t="s">
        <v>3535</v>
      </c>
      <c r="D428" s="374">
        <v>1101110256788</v>
      </c>
      <c r="E428" s="372" t="s">
        <v>3536</v>
      </c>
      <c r="F428" s="375" t="s">
        <v>3319</v>
      </c>
      <c r="G428" s="375" t="s">
        <v>3319</v>
      </c>
      <c r="H428" s="375">
        <v>0</v>
      </c>
      <c r="I428" s="375" t="s">
        <v>869</v>
      </c>
      <c r="J428" s="375">
        <v>169161.88959000001</v>
      </c>
      <c r="K428" s="375">
        <v>37223.707170000001</v>
      </c>
      <c r="L428" s="375">
        <v>176775.97065</v>
      </c>
      <c r="M428" s="375">
        <v>997222.01430000004</v>
      </c>
      <c r="N428" s="372">
        <v>0.90600000000000003</v>
      </c>
      <c r="O428" s="703">
        <v>182.0092278781182</v>
      </c>
      <c r="P428" s="375" t="s">
        <v>623</v>
      </c>
      <c r="Q428" s="372" t="s">
        <v>623</v>
      </c>
      <c r="R428" s="695">
        <v>19950929</v>
      </c>
      <c r="S428" s="372" t="s">
        <v>3537</v>
      </c>
      <c r="T428" s="696">
        <v>0.23100000000000001</v>
      </c>
      <c r="U428" s="375" t="s">
        <v>3538</v>
      </c>
      <c r="V428" s="722">
        <v>25.9</v>
      </c>
      <c r="W428" s="722">
        <v>0.5</v>
      </c>
      <c r="X428" s="722">
        <v>2.62</v>
      </c>
      <c r="Y428" s="722">
        <v>3.2</v>
      </c>
      <c r="Z428" s="382">
        <v>0.33424572471412595</v>
      </c>
      <c r="AA428" s="372">
        <v>847.57128520000003</v>
      </c>
      <c r="AB428" s="372">
        <v>967.32675310000002</v>
      </c>
      <c r="AC428" s="372">
        <v>1352.8100182000001</v>
      </c>
      <c r="AD428" s="372">
        <v>1691.6188959000001</v>
      </c>
      <c r="AE428" s="372">
        <v>1887.5</v>
      </c>
      <c r="AF428" s="372">
        <v>2684</v>
      </c>
      <c r="AG428" s="372">
        <v>5361</v>
      </c>
      <c r="AH428" s="372">
        <v>0</v>
      </c>
    </row>
    <row r="429" spans="1:34">
      <c r="A429" s="372" t="s">
        <v>3539</v>
      </c>
      <c r="B429" s="373" t="s">
        <v>3540</v>
      </c>
      <c r="C429" s="372" t="s">
        <v>3541</v>
      </c>
      <c r="D429" s="374">
        <v>1101111673816</v>
      </c>
      <c r="E429" s="372" t="s">
        <v>3542</v>
      </c>
      <c r="F429" s="375" t="s">
        <v>1814</v>
      </c>
      <c r="G429" s="375" t="s">
        <v>1814</v>
      </c>
      <c r="H429" s="375" t="s">
        <v>1693</v>
      </c>
      <c r="I429" s="375" t="s">
        <v>869</v>
      </c>
      <c r="J429" s="375">
        <v>53011.546840000003</v>
      </c>
      <c r="K429" s="375">
        <v>4086.69634</v>
      </c>
      <c r="L429" s="375">
        <v>-610.91108999999994</v>
      </c>
      <c r="M429" s="375">
        <v>168519.45851999999</v>
      </c>
      <c r="N429" s="372">
        <v>1.032</v>
      </c>
      <c r="O429" s="703">
        <v>2.5684582167966079</v>
      </c>
      <c r="P429" s="375" t="s">
        <v>623</v>
      </c>
      <c r="Q429" s="375" t="s">
        <v>623</v>
      </c>
      <c r="R429" s="695">
        <v>20091210</v>
      </c>
      <c r="S429" s="375" t="s">
        <v>3543</v>
      </c>
      <c r="T429" s="696" t="s">
        <v>772</v>
      </c>
      <c r="U429" s="375" t="s">
        <v>3544</v>
      </c>
      <c r="V429" s="722">
        <v>89.29</v>
      </c>
      <c r="W429" s="722">
        <v>4.04</v>
      </c>
      <c r="X429" s="722">
        <v>9.39</v>
      </c>
      <c r="Y429" s="722" t="s">
        <v>774</v>
      </c>
      <c r="Z429" s="382" t="s">
        <v>934</v>
      </c>
      <c r="AA429" s="372">
        <v>347.90558629999998</v>
      </c>
      <c r="AB429" s="372">
        <v>485.7832191</v>
      </c>
      <c r="AC429" s="372">
        <v>508.69207970000002</v>
      </c>
      <c r="AD429" s="372">
        <v>530.11546840000005</v>
      </c>
      <c r="AE429" s="372">
        <v>1483.5</v>
      </c>
      <c r="AF429" s="372">
        <v>1755</v>
      </c>
      <c r="AG429" s="372">
        <v>0</v>
      </c>
      <c r="AH429" s="372">
        <v>0</v>
      </c>
    </row>
    <row r="430" spans="1:34">
      <c r="A430" s="372" t="s">
        <v>3545</v>
      </c>
      <c r="B430" s="373" t="s">
        <v>3546</v>
      </c>
      <c r="C430" s="372" t="s">
        <v>3547</v>
      </c>
      <c r="D430" s="374">
        <v>0</v>
      </c>
      <c r="E430" s="372" t="s">
        <v>3548</v>
      </c>
      <c r="F430" s="372" t="s">
        <v>1124</v>
      </c>
      <c r="G430" s="375" t="s">
        <v>1347</v>
      </c>
      <c r="H430" s="375">
        <v>0</v>
      </c>
      <c r="I430" s="375" t="s">
        <v>755</v>
      </c>
      <c r="J430" s="375">
        <v>161.84100000000001</v>
      </c>
      <c r="K430" s="375">
        <v>-69572.692999999999</v>
      </c>
      <c r="L430" s="375">
        <v>-2095.4870000000001</v>
      </c>
      <c r="M430" s="375">
        <v>546234.79599999997</v>
      </c>
      <c r="N430" s="372">
        <v>1.0009999999999999</v>
      </c>
      <c r="O430" s="703">
        <v>17.41901819458711</v>
      </c>
      <c r="P430" s="375" t="s">
        <v>623</v>
      </c>
      <c r="Q430" s="375" t="s">
        <v>623</v>
      </c>
      <c r="R430" s="695">
        <v>20210205</v>
      </c>
      <c r="S430" s="375" t="s">
        <v>3549</v>
      </c>
      <c r="T430" s="696" t="s">
        <v>772</v>
      </c>
      <c r="U430" s="372" t="s">
        <v>3550</v>
      </c>
      <c r="V430" s="722" t="s">
        <v>774</v>
      </c>
      <c r="W430" s="722">
        <v>1.26</v>
      </c>
      <c r="X430" s="722">
        <v>3509.05</v>
      </c>
      <c r="Y430" s="722">
        <v>32.32</v>
      </c>
      <c r="Z430" s="382" t="s">
        <v>934</v>
      </c>
      <c r="AA430" s="372">
        <v>0</v>
      </c>
      <c r="AB430" s="372">
        <v>0</v>
      </c>
      <c r="AC430" s="372">
        <v>0</v>
      </c>
      <c r="AD430" s="372">
        <v>1.6184099999999999</v>
      </c>
      <c r="AE430" s="372">
        <v>0</v>
      </c>
      <c r="AF430" s="372">
        <v>0</v>
      </c>
      <c r="AG430" s="372">
        <v>0</v>
      </c>
      <c r="AH430" s="372">
        <v>0</v>
      </c>
    </row>
    <row r="431" spans="1:34">
      <c r="A431" s="372" t="s">
        <v>3551</v>
      </c>
      <c r="B431" s="373" t="s">
        <v>3552</v>
      </c>
      <c r="C431" s="372" t="s">
        <v>16146</v>
      </c>
      <c r="D431" s="374">
        <v>1101115869346</v>
      </c>
      <c r="E431" s="372" t="s">
        <v>16147</v>
      </c>
      <c r="F431" s="375" t="s">
        <v>1985</v>
      </c>
      <c r="G431" s="375" t="s">
        <v>1985</v>
      </c>
      <c r="H431" s="375" t="s">
        <v>1388</v>
      </c>
      <c r="I431" s="375" t="s">
        <v>869</v>
      </c>
      <c r="J431" s="375">
        <v>255182.30618000001</v>
      </c>
      <c r="K431" s="375">
        <v>8571.5789100000002</v>
      </c>
      <c r="L431" s="375">
        <v>16662.884689999999</v>
      </c>
      <c r="M431" s="375">
        <v>365804.44851999998</v>
      </c>
      <c r="N431" s="372">
        <v>0.85499999999999998</v>
      </c>
      <c r="O431" s="703">
        <v>7.6244983844918597</v>
      </c>
      <c r="P431" s="375" t="s">
        <v>623</v>
      </c>
      <c r="Q431" s="375" t="s">
        <v>623</v>
      </c>
      <c r="R431" s="695">
        <v>20151224</v>
      </c>
      <c r="S431" s="375" t="s">
        <v>3553</v>
      </c>
      <c r="T431" s="696">
        <v>0.20900000000000002</v>
      </c>
      <c r="U431" s="372" t="s">
        <v>3554</v>
      </c>
      <c r="V431" s="722">
        <v>33.81</v>
      </c>
      <c r="W431" s="722">
        <v>1.32</v>
      </c>
      <c r="X431" s="722">
        <v>1.6</v>
      </c>
      <c r="Y431" s="722">
        <v>30.23</v>
      </c>
      <c r="Z431" s="382" t="s">
        <v>934</v>
      </c>
      <c r="AA431" s="372">
        <v>1719.380827</v>
      </c>
      <c r="AB431" s="372">
        <v>3112.7037188999998</v>
      </c>
      <c r="AC431" s="372">
        <v>2852.6775968000002</v>
      </c>
      <c r="AD431" s="372">
        <v>2551.8230617999998</v>
      </c>
      <c r="AE431" s="372">
        <v>0</v>
      </c>
      <c r="AF431" s="372">
        <v>0</v>
      </c>
      <c r="AG431" s="372">
        <v>0</v>
      </c>
      <c r="AH431" s="372">
        <v>0</v>
      </c>
    </row>
    <row r="432" spans="1:34">
      <c r="A432" s="372" t="s">
        <v>3555</v>
      </c>
      <c r="B432" s="373" t="s">
        <v>3556</v>
      </c>
      <c r="C432" s="372" t="s">
        <v>3557</v>
      </c>
      <c r="D432" s="374">
        <v>1615110017818</v>
      </c>
      <c r="E432" s="372" t="s">
        <v>3558</v>
      </c>
      <c r="F432" s="375" t="s">
        <v>2207</v>
      </c>
      <c r="G432" s="375" t="s">
        <v>3559</v>
      </c>
      <c r="H432" s="375" t="s">
        <v>1388</v>
      </c>
      <c r="I432" s="375" t="s">
        <v>869</v>
      </c>
      <c r="J432" s="375">
        <v>249147.68984000001</v>
      </c>
      <c r="K432" s="375">
        <v>-2380.1222899999998</v>
      </c>
      <c r="L432" s="375">
        <v>-3393.2934599999999</v>
      </c>
      <c r="M432" s="375">
        <v>347823.53758</v>
      </c>
      <c r="N432" s="372">
        <v>1.5489999999999999</v>
      </c>
      <c r="O432" s="703">
        <v>4.6807810621095332</v>
      </c>
      <c r="P432" s="375" t="s">
        <v>623</v>
      </c>
      <c r="Q432" s="375" t="s">
        <v>623</v>
      </c>
      <c r="R432" s="695">
        <v>20110105</v>
      </c>
      <c r="S432" s="375" t="s">
        <v>3560</v>
      </c>
      <c r="T432" s="696" t="s">
        <v>772</v>
      </c>
      <c r="U432" s="375" t="s">
        <v>3561</v>
      </c>
      <c r="V432" s="722">
        <v>25.13</v>
      </c>
      <c r="W432" s="722">
        <v>1.81</v>
      </c>
      <c r="X432" s="722">
        <v>2.2000000000000002</v>
      </c>
      <c r="Y432" s="722">
        <v>4523.9399999999996</v>
      </c>
      <c r="Z432" s="382" t="s">
        <v>934</v>
      </c>
      <c r="AA432" s="372">
        <v>2855.0858536999999</v>
      </c>
      <c r="AB432" s="372">
        <v>3076.6325443000001</v>
      </c>
      <c r="AC432" s="372">
        <v>3392.6416949999998</v>
      </c>
      <c r="AD432" s="372">
        <v>2491.4768984000002</v>
      </c>
      <c r="AE432" s="372">
        <v>2854.33</v>
      </c>
      <c r="AF432" s="372">
        <v>3340</v>
      </c>
      <c r="AG432" s="372">
        <v>0</v>
      </c>
      <c r="AH432" s="372">
        <v>0</v>
      </c>
    </row>
    <row r="433" spans="1:34">
      <c r="A433" s="372" t="s">
        <v>3562</v>
      </c>
      <c r="B433" s="373" t="s">
        <v>3563</v>
      </c>
      <c r="C433" s="372" t="s">
        <v>3564</v>
      </c>
      <c r="D433" s="374">
        <v>1101114720945</v>
      </c>
      <c r="E433" s="372" t="s">
        <v>3565</v>
      </c>
      <c r="F433" s="375" t="s">
        <v>1326</v>
      </c>
      <c r="G433" s="375" t="s">
        <v>1326</v>
      </c>
      <c r="H433" s="375" t="s">
        <v>1327</v>
      </c>
      <c r="I433" s="375" t="s">
        <v>755</v>
      </c>
      <c r="J433" s="375">
        <v>2651439.17135</v>
      </c>
      <c r="K433" s="375">
        <v>113199.75765</v>
      </c>
      <c r="L433" s="375">
        <v>149807.53326</v>
      </c>
      <c r="M433" s="375">
        <v>1712094.5501699999</v>
      </c>
      <c r="N433" s="372">
        <v>0.879</v>
      </c>
      <c r="O433" s="703">
        <v>208.39708462577212</v>
      </c>
      <c r="P433" s="375" t="s">
        <v>623</v>
      </c>
      <c r="Q433" s="375" t="s">
        <v>623</v>
      </c>
      <c r="R433" s="695">
        <v>20111205</v>
      </c>
      <c r="S433" s="375" t="s">
        <v>3566</v>
      </c>
      <c r="T433" s="696">
        <v>0.23100000000000001</v>
      </c>
      <c r="U433" s="372" t="s">
        <v>3567</v>
      </c>
      <c r="V433" s="722">
        <v>6.16</v>
      </c>
      <c r="W433" s="722">
        <v>0.32</v>
      </c>
      <c r="X433" s="722">
        <v>0.18</v>
      </c>
      <c r="Y433" s="722">
        <v>4.46</v>
      </c>
      <c r="Z433" s="382" t="s">
        <v>934</v>
      </c>
      <c r="AA433" s="372">
        <v>20517.668896200001</v>
      </c>
      <c r="AB433" s="372">
        <v>23844.536239699999</v>
      </c>
      <c r="AC433" s="372">
        <v>26524.3853566</v>
      </c>
      <c r="AD433" s="372">
        <v>26514.391713500001</v>
      </c>
      <c r="AE433" s="372">
        <v>0</v>
      </c>
      <c r="AF433" s="372">
        <v>0</v>
      </c>
      <c r="AG433" s="372">
        <v>0</v>
      </c>
      <c r="AH433" s="372">
        <v>0</v>
      </c>
    </row>
    <row r="434" spans="1:34">
      <c r="A434" s="372" t="s">
        <v>3568</v>
      </c>
      <c r="B434" s="373" t="s">
        <v>3569</v>
      </c>
      <c r="C434" s="372" t="s">
        <v>3570</v>
      </c>
      <c r="D434" s="374">
        <v>1101110042880</v>
      </c>
      <c r="E434" s="372" t="s">
        <v>3571</v>
      </c>
      <c r="F434" s="375" t="s">
        <v>2030</v>
      </c>
      <c r="G434" s="375" t="s">
        <v>2030</v>
      </c>
      <c r="H434" s="375" t="s">
        <v>797</v>
      </c>
      <c r="I434" s="375" t="s">
        <v>755</v>
      </c>
      <c r="J434" s="375">
        <v>485954.27333</v>
      </c>
      <c r="K434" s="375">
        <v>41595.970399999998</v>
      </c>
      <c r="L434" s="375">
        <v>58179.930990000001</v>
      </c>
      <c r="M434" s="375">
        <v>700696.57895999996</v>
      </c>
      <c r="N434" s="372">
        <v>0.94099999999999995</v>
      </c>
      <c r="O434" s="703">
        <v>0.2939927846057267</v>
      </c>
      <c r="P434" s="375" t="s">
        <v>623</v>
      </c>
      <c r="Q434" s="375" t="s">
        <v>623</v>
      </c>
      <c r="R434" s="695">
        <v>19760708</v>
      </c>
      <c r="S434" s="375" t="s">
        <v>3572</v>
      </c>
      <c r="T434" s="696">
        <v>0.23100000000000001</v>
      </c>
      <c r="U434" s="375" t="s">
        <v>3573</v>
      </c>
      <c r="V434" s="722">
        <v>9.83</v>
      </c>
      <c r="W434" s="722">
        <v>0.61</v>
      </c>
      <c r="X434" s="722">
        <v>0.99</v>
      </c>
      <c r="Y434" s="722">
        <v>9.67</v>
      </c>
      <c r="Z434" s="382" t="s">
        <v>934</v>
      </c>
      <c r="AA434" s="372">
        <v>3017.5440773999999</v>
      </c>
      <c r="AB434" s="372">
        <v>3359.5401259</v>
      </c>
      <c r="AC434" s="372">
        <v>4080.2469826000001</v>
      </c>
      <c r="AD434" s="372">
        <v>4859.5427332999998</v>
      </c>
      <c r="AE434" s="372">
        <v>5464.5</v>
      </c>
      <c r="AF434" s="372">
        <v>5999</v>
      </c>
      <c r="AG434" s="372">
        <v>0</v>
      </c>
      <c r="AH434" s="372">
        <v>0</v>
      </c>
    </row>
    <row r="435" spans="1:34">
      <c r="A435" s="372" t="s">
        <v>3574</v>
      </c>
      <c r="B435" s="373" t="s">
        <v>3575</v>
      </c>
      <c r="C435" s="372" t="s">
        <v>3576</v>
      </c>
      <c r="D435" s="374">
        <v>1101115695337</v>
      </c>
      <c r="E435" s="372" t="s">
        <v>3577</v>
      </c>
      <c r="F435" s="375" t="s">
        <v>622</v>
      </c>
      <c r="G435" s="375" t="s">
        <v>622</v>
      </c>
      <c r="H435" s="375" t="s">
        <v>868</v>
      </c>
      <c r="I435" s="375" t="s">
        <v>869</v>
      </c>
      <c r="J435" s="375">
        <v>111432.99877000001</v>
      </c>
      <c r="K435" s="375">
        <v>303.02427999999998</v>
      </c>
      <c r="L435" s="375">
        <v>7351.5948099999996</v>
      </c>
      <c r="M435" s="375">
        <v>328275.65239</v>
      </c>
      <c r="N435" s="372">
        <v>1.1879999999999999</v>
      </c>
      <c r="O435" s="703">
        <v>25.525024745908759</v>
      </c>
      <c r="P435" s="375" t="s">
        <v>623</v>
      </c>
      <c r="Q435" s="372" t="s">
        <v>623</v>
      </c>
      <c r="R435" s="695">
        <v>20150630</v>
      </c>
      <c r="S435" s="372" t="s">
        <v>3578</v>
      </c>
      <c r="T435" s="696">
        <v>0.20900000000000002</v>
      </c>
      <c r="U435" s="372" t="s">
        <v>3579</v>
      </c>
      <c r="V435" s="722">
        <v>65.56</v>
      </c>
      <c r="W435" s="722">
        <v>1.58</v>
      </c>
      <c r="X435" s="722">
        <v>4.33</v>
      </c>
      <c r="Y435" s="722">
        <v>27.69</v>
      </c>
      <c r="Z435" s="382">
        <v>0.16815660999814752</v>
      </c>
      <c r="AA435" s="372">
        <v>704.52303689999997</v>
      </c>
      <c r="AB435" s="372">
        <v>1015.6130141</v>
      </c>
      <c r="AC435" s="372">
        <v>1080.328986</v>
      </c>
      <c r="AD435" s="372">
        <v>1114.3299876999999</v>
      </c>
      <c r="AE435" s="372">
        <v>1396.33</v>
      </c>
      <c r="AF435" s="372">
        <v>1729</v>
      </c>
      <c r="AG435" s="372">
        <v>2075</v>
      </c>
      <c r="AH435" s="372">
        <v>0</v>
      </c>
    </row>
    <row r="436" spans="1:34">
      <c r="A436" s="372" t="s">
        <v>3580</v>
      </c>
      <c r="B436" s="373" t="s">
        <v>3581</v>
      </c>
      <c r="C436" s="372" t="s">
        <v>3582</v>
      </c>
      <c r="D436" s="374">
        <v>1101111113929</v>
      </c>
      <c r="E436" s="372" t="s">
        <v>3583</v>
      </c>
      <c r="F436" s="375" t="s">
        <v>5525</v>
      </c>
      <c r="G436" s="375" t="s">
        <v>5525</v>
      </c>
      <c r="H436" s="375" t="s">
        <v>1693</v>
      </c>
      <c r="I436" s="375" t="s">
        <v>869</v>
      </c>
      <c r="J436" s="375">
        <v>972016.22245999996</v>
      </c>
      <c r="K436" s="375">
        <v>41958.924939999997</v>
      </c>
      <c r="L436" s="375">
        <v>45601.10166</v>
      </c>
      <c r="M436" s="375">
        <v>223624.92517999999</v>
      </c>
      <c r="N436" s="372">
        <v>0.84499999999999997</v>
      </c>
      <c r="O436" s="703">
        <v>0.42029415341466531</v>
      </c>
      <c r="P436" s="375" t="s">
        <v>623</v>
      </c>
      <c r="Q436" s="375" t="s">
        <v>623</v>
      </c>
      <c r="R436" s="695">
        <v>20020104</v>
      </c>
      <c r="S436" s="375" t="s">
        <v>3585</v>
      </c>
      <c r="T436" s="696">
        <v>0.23100000000000001</v>
      </c>
      <c r="U436" s="375" t="s">
        <v>3586</v>
      </c>
      <c r="V436" s="722">
        <v>8.8000000000000007</v>
      </c>
      <c r="W436" s="722">
        <v>1.56</v>
      </c>
      <c r="X436" s="722">
        <v>0.42</v>
      </c>
      <c r="Y436" s="722">
        <v>11.7</v>
      </c>
      <c r="Z436" s="382">
        <v>7.9603210895400567E-2</v>
      </c>
      <c r="AA436" s="372">
        <v>6248.4009462000004</v>
      </c>
      <c r="AB436" s="372">
        <v>7454.1820805999996</v>
      </c>
      <c r="AC436" s="372">
        <v>8227.6311282999995</v>
      </c>
      <c r="AD436" s="372">
        <v>9720.1622246000006</v>
      </c>
      <c r="AE436" s="372">
        <v>10984</v>
      </c>
      <c r="AF436" s="372">
        <v>12145.43</v>
      </c>
      <c r="AG436" s="372">
        <v>13204.75</v>
      </c>
      <c r="AH436" s="372">
        <v>0</v>
      </c>
    </row>
    <row r="437" spans="1:34">
      <c r="A437" s="372" t="s">
        <v>3587</v>
      </c>
      <c r="B437" s="373" t="s">
        <v>3588</v>
      </c>
      <c r="C437" s="372" t="s">
        <v>3589</v>
      </c>
      <c r="D437" s="374">
        <v>1101112425448</v>
      </c>
      <c r="E437" s="372" t="s">
        <v>3590</v>
      </c>
      <c r="F437" s="375" t="s">
        <v>1761</v>
      </c>
      <c r="G437" s="375" t="s">
        <v>1761</v>
      </c>
      <c r="H437" s="375" t="s">
        <v>3127</v>
      </c>
      <c r="I437" s="375" t="s">
        <v>869</v>
      </c>
      <c r="J437" s="375">
        <v>342860.99793999997</v>
      </c>
      <c r="K437" s="375">
        <v>47809.34347</v>
      </c>
      <c r="L437" s="375">
        <v>48123.416299999997</v>
      </c>
      <c r="M437" s="375">
        <v>134951.93617999999</v>
      </c>
      <c r="N437" s="372">
        <v>0.35499999999999998</v>
      </c>
      <c r="O437" s="703">
        <v>7.1378193521730733</v>
      </c>
      <c r="P437" s="375" t="s">
        <v>623</v>
      </c>
      <c r="Q437" s="372" t="s">
        <v>623</v>
      </c>
      <c r="R437" s="695">
        <v>20210929</v>
      </c>
      <c r="S437" s="372" t="s">
        <v>3591</v>
      </c>
      <c r="T437" s="696">
        <v>0.23100000000000001</v>
      </c>
      <c r="U437" s="372" t="s">
        <v>3592</v>
      </c>
      <c r="V437" s="722">
        <v>9.65</v>
      </c>
      <c r="W437" s="722">
        <v>3.45</v>
      </c>
      <c r="X437" s="722">
        <v>1.36</v>
      </c>
      <c r="Y437" s="722">
        <v>12.23</v>
      </c>
      <c r="Z437" s="382">
        <v>0.47582205309424075</v>
      </c>
      <c r="AA437" s="372">
        <v>993.98346289999995</v>
      </c>
      <c r="AB437" s="372">
        <v>1310.0197274</v>
      </c>
      <c r="AC437" s="372">
        <v>1652.7216453999999</v>
      </c>
      <c r="AD437" s="372">
        <v>3428.6099794000002</v>
      </c>
      <c r="AE437" s="372">
        <v>7075</v>
      </c>
      <c r="AF437" s="372">
        <v>10970</v>
      </c>
      <c r="AG437" s="372">
        <v>16265</v>
      </c>
      <c r="AH437" s="372">
        <v>0</v>
      </c>
    </row>
    <row r="438" spans="1:34">
      <c r="A438" s="372" t="s">
        <v>3593</v>
      </c>
      <c r="B438" s="373" t="s">
        <v>3594</v>
      </c>
      <c r="C438" s="372" t="s">
        <v>3595</v>
      </c>
      <c r="D438" s="374">
        <v>1101110505614</v>
      </c>
      <c r="E438" s="372" t="s">
        <v>3596</v>
      </c>
      <c r="F438" s="375" t="s">
        <v>2649</v>
      </c>
      <c r="G438" s="375" t="s">
        <v>2650</v>
      </c>
      <c r="H438" s="375" t="s">
        <v>823</v>
      </c>
      <c r="I438" s="375" t="s">
        <v>755</v>
      </c>
      <c r="J438" s="375">
        <v>2818916.7824499998</v>
      </c>
      <c r="K438" s="375">
        <v>96985.264989999996</v>
      </c>
      <c r="L438" s="375">
        <v>44709.035190000002</v>
      </c>
      <c r="M438" s="375">
        <v>1317521.69576</v>
      </c>
      <c r="N438" s="372">
        <v>0.56100000000000005</v>
      </c>
      <c r="O438" s="703">
        <v>209.43941190037668</v>
      </c>
      <c r="P438" s="375" t="s">
        <v>623</v>
      </c>
      <c r="Q438" s="375" t="s">
        <v>623</v>
      </c>
      <c r="R438" s="695">
        <v>20040204</v>
      </c>
      <c r="S438" s="375" t="s">
        <v>3597</v>
      </c>
      <c r="T438" s="696">
        <v>0.23100000000000001</v>
      </c>
      <c r="U438" s="375" t="s">
        <v>3598</v>
      </c>
      <c r="V438" s="722">
        <v>3.76</v>
      </c>
      <c r="W438" s="722">
        <v>0.63</v>
      </c>
      <c r="X438" s="722">
        <v>0.18</v>
      </c>
      <c r="Y438" s="722">
        <v>128.49</v>
      </c>
      <c r="Z438" s="382" t="s">
        <v>934</v>
      </c>
      <c r="AA438" s="372">
        <v>20555.1409781</v>
      </c>
      <c r="AB438" s="372">
        <v>24498.6653233</v>
      </c>
      <c r="AC438" s="372">
        <v>27529.220791600001</v>
      </c>
      <c r="AD438" s="372">
        <v>28189.1678245</v>
      </c>
      <c r="AE438" s="372">
        <v>34760</v>
      </c>
      <c r="AF438" s="372">
        <v>0</v>
      </c>
      <c r="AG438" s="372">
        <v>0</v>
      </c>
      <c r="AH438" s="372">
        <v>0</v>
      </c>
    </row>
    <row r="439" spans="1:34">
      <c r="A439" s="372" t="s">
        <v>3599</v>
      </c>
      <c r="B439" s="373" t="s">
        <v>3600</v>
      </c>
      <c r="C439" s="372" t="s">
        <v>3601</v>
      </c>
      <c r="D439" s="374">
        <v>1101115399517</v>
      </c>
      <c r="E439" s="372" t="s">
        <v>3602</v>
      </c>
      <c r="F439" s="375" t="s">
        <v>786</v>
      </c>
      <c r="G439" s="375" t="s">
        <v>786</v>
      </c>
      <c r="H439" s="375" t="s">
        <v>868</v>
      </c>
      <c r="I439" s="375" t="s">
        <v>869</v>
      </c>
      <c r="J439" s="375">
        <v>579551.53801999998</v>
      </c>
      <c r="K439" s="375">
        <v>30255.89544</v>
      </c>
      <c r="L439" s="375">
        <v>25986.210950000001</v>
      </c>
      <c r="M439" s="375">
        <v>396302.27752</v>
      </c>
      <c r="N439" s="372">
        <v>0.73899999999999999</v>
      </c>
      <c r="O439" s="703">
        <v>44.954872455601446</v>
      </c>
      <c r="P439" s="375" t="s">
        <v>623</v>
      </c>
      <c r="Q439" s="372" t="s">
        <v>623</v>
      </c>
      <c r="R439" s="695">
        <v>20140723</v>
      </c>
      <c r="S439" s="372" t="s">
        <v>3603</v>
      </c>
      <c r="T439" s="696">
        <v>0.23100000000000001</v>
      </c>
      <c r="U439" s="375" t="s">
        <v>3604</v>
      </c>
      <c r="V439" s="722">
        <v>13.83</v>
      </c>
      <c r="W439" s="722">
        <v>1.3</v>
      </c>
      <c r="X439" s="722">
        <v>0.91</v>
      </c>
      <c r="Y439" s="722">
        <v>26.89</v>
      </c>
      <c r="Z439" s="382" t="s">
        <v>934</v>
      </c>
      <c r="AA439" s="372">
        <v>6068.9155115000003</v>
      </c>
      <c r="AB439" s="372">
        <v>5930.8073189999996</v>
      </c>
      <c r="AC439" s="372">
        <v>5759.0299404999996</v>
      </c>
      <c r="AD439" s="372">
        <v>5795.5153802000004</v>
      </c>
      <c r="AE439" s="372">
        <v>6524</v>
      </c>
      <c r="AF439" s="372">
        <v>7024</v>
      </c>
      <c r="AG439" s="372">
        <v>0</v>
      </c>
      <c r="AH439" s="372">
        <v>0</v>
      </c>
    </row>
    <row r="440" spans="1:34">
      <c r="A440" s="372" t="s">
        <v>3605</v>
      </c>
      <c r="B440" s="373" t="s">
        <v>3606</v>
      </c>
      <c r="C440" s="372" t="s">
        <v>3607</v>
      </c>
      <c r="D440" s="374">
        <v>1101110030405</v>
      </c>
      <c r="E440" s="372" t="s">
        <v>3608</v>
      </c>
      <c r="F440" s="375" t="s">
        <v>1334</v>
      </c>
      <c r="G440" s="375" t="s">
        <v>1334</v>
      </c>
      <c r="H440" s="375" t="s">
        <v>788</v>
      </c>
      <c r="I440" s="375" t="s">
        <v>755</v>
      </c>
      <c r="J440" s="375">
        <v>125928.24077</v>
      </c>
      <c r="K440" s="375">
        <v>-37496.76</v>
      </c>
      <c r="L440" s="375">
        <v>-39569.385990000002</v>
      </c>
      <c r="M440" s="375">
        <v>234264.67224000001</v>
      </c>
      <c r="N440" s="372">
        <v>0.78900000000000003</v>
      </c>
      <c r="O440" s="703">
        <v>18.23428077238102</v>
      </c>
      <c r="P440" s="375" t="s">
        <v>623</v>
      </c>
      <c r="Q440" s="372" t="s">
        <v>623</v>
      </c>
      <c r="R440" s="695">
        <v>19880805</v>
      </c>
      <c r="S440" s="372" t="s">
        <v>3609</v>
      </c>
      <c r="T440" s="696" t="s">
        <v>772</v>
      </c>
      <c r="U440" s="375" t="s">
        <v>3610</v>
      </c>
      <c r="V440" s="722" t="s">
        <v>774</v>
      </c>
      <c r="W440" s="722">
        <v>1.56</v>
      </c>
      <c r="X440" s="722">
        <v>3.44</v>
      </c>
      <c r="Y440" s="722" t="s">
        <v>774</v>
      </c>
      <c r="Z440" s="382" t="s">
        <v>934</v>
      </c>
      <c r="AA440" s="372">
        <v>1696.5975351</v>
      </c>
      <c r="AB440" s="372">
        <v>1824.9122146</v>
      </c>
      <c r="AC440" s="372">
        <v>1909.0936452999999</v>
      </c>
      <c r="AD440" s="372">
        <v>1259.2824077</v>
      </c>
      <c r="AE440" s="372">
        <v>0</v>
      </c>
      <c r="AF440" s="372">
        <v>0</v>
      </c>
      <c r="AG440" s="372">
        <v>0</v>
      </c>
      <c r="AH440" s="372">
        <v>0</v>
      </c>
    </row>
    <row r="441" spans="1:34">
      <c r="A441" s="372" t="s">
        <v>3611</v>
      </c>
      <c r="B441" s="373" t="s">
        <v>3612</v>
      </c>
      <c r="C441" s="372" t="s">
        <v>3613</v>
      </c>
      <c r="D441" s="374">
        <v>1349110012243</v>
      </c>
      <c r="E441" s="372" t="s">
        <v>3614</v>
      </c>
      <c r="F441" s="375" t="s">
        <v>1195</v>
      </c>
      <c r="G441" s="375" t="s">
        <v>1196</v>
      </c>
      <c r="H441" s="375" t="s">
        <v>1388</v>
      </c>
      <c r="I441" s="375" t="s">
        <v>869</v>
      </c>
      <c r="J441" s="375">
        <v>156071.19915</v>
      </c>
      <c r="K441" s="375">
        <v>17432.961859999999</v>
      </c>
      <c r="L441" s="375">
        <v>22026.318190000002</v>
      </c>
      <c r="M441" s="375">
        <v>314401.68592999998</v>
      </c>
      <c r="N441" s="372">
        <v>1.1850000000000001</v>
      </c>
      <c r="O441" s="703">
        <v>5.9700918765115958</v>
      </c>
      <c r="P441" s="375" t="s">
        <v>623</v>
      </c>
      <c r="Q441" s="375" t="s">
        <v>623</v>
      </c>
      <c r="R441" s="695">
        <v>20010814</v>
      </c>
      <c r="S441" s="375" t="s">
        <v>3615</v>
      </c>
      <c r="T441" s="696">
        <v>0.23100000000000001</v>
      </c>
      <c r="U441" s="372" t="s">
        <v>3616</v>
      </c>
      <c r="V441" s="722">
        <v>21.21</v>
      </c>
      <c r="W441" s="722">
        <v>1.58</v>
      </c>
      <c r="X441" s="722">
        <v>3.22</v>
      </c>
      <c r="Y441" s="722">
        <v>24.36</v>
      </c>
      <c r="Z441" s="382" t="s">
        <v>934</v>
      </c>
      <c r="AA441" s="372">
        <v>865.03551330000005</v>
      </c>
      <c r="AB441" s="372">
        <v>1739.9681008</v>
      </c>
      <c r="AC441" s="372">
        <v>1987.7241509999999</v>
      </c>
      <c r="AD441" s="372">
        <v>1560.7119915000001</v>
      </c>
      <c r="AE441" s="372">
        <v>2275.5</v>
      </c>
      <c r="AF441" s="372">
        <v>2636</v>
      </c>
      <c r="AG441" s="372">
        <v>0</v>
      </c>
      <c r="AH441" s="372">
        <v>0</v>
      </c>
    </row>
    <row r="442" spans="1:34">
      <c r="A442" s="372" t="s">
        <v>3617</v>
      </c>
      <c r="B442" s="373" t="s">
        <v>3618</v>
      </c>
      <c r="C442" s="372" t="s">
        <v>3619</v>
      </c>
      <c r="D442" s="374">
        <v>1101110546006</v>
      </c>
      <c r="E442" s="372" t="s">
        <v>3620</v>
      </c>
      <c r="F442" s="375" t="s">
        <v>1286</v>
      </c>
      <c r="G442" s="375" t="s">
        <v>1465</v>
      </c>
      <c r="H442" s="375" t="s">
        <v>1388</v>
      </c>
      <c r="I442" s="375" t="s">
        <v>869</v>
      </c>
      <c r="J442" s="375">
        <v>197608.61926000001</v>
      </c>
      <c r="K442" s="375">
        <v>-10782.402889999999</v>
      </c>
      <c r="L442" s="375">
        <v>-19942.756979999998</v>
      </c>
      <c r="M442" s="375">
        <v>239774.50425999999</v>
      </c>
      <c r="N442" s="372">
        <v>1.5389999999999999</v>
      </c>
      <c r="O442" s="703">
        <v>20.064756024755251</v>
      </c>
      <c r="P442" s="375" t="s">
        <v>623</v>
      </c>
      <c r="Q442" s="372" t="s">
        <v>623</v>
      </c>
      <c r="R442" s="695">
        <v>20000114</v>
      </c>
      <c r="S442" s="372" t="s">
        <v>3621</v>
      </c>
      <c r="T442" s="696" t="s">
        <v>772</v>
      </c>
      <c r="U442" s="372" t="s">
        <v>3622</v>
      </c>
      <c r="V442" s="722">
        <v>89.14</v>
      </c>
      <c r="W442" s="722">
        <v>2.1800000000000002</v>
      </c>
      <c r="X442" s="722">
        <v>2.71</v>
      </c>
      <c r="Y442" s="722" t="s">
        <v>774</v>
      </c>
      <c r="Z442" s="382" t="s">
        <v>934</v>
      </c>
      <c r="AA442" s="372">
        <v>1661.5784272000001</v>
      </c>
      <c r="AB442" s="372">
        <v>2136.5826499999998</v>
      </c>
      <c r="AC442" s="372">
        <v>2196.2417303000002</v>
      </c>
      <c r="AD442" s="372">
        <v>1976.0861926</v>
      </c>
      <c r="AE442" s="372">
        <v>0</v>
      </c>
      <c r="AF442" s="372">
        <v>0</v>
      </c>
      <c r="AG442" s="372">
        <v>0</v>
      </c>
      <c r="AH442" s="372">
        <v>0</v>
      </c>
    </row>
    <row r="443" spans="1:34">
      <c r="A443" s="372" t="s">
        <v>3623</v>
      </c>
      <c r="B443" s="373" t="s">
        <v>3624</v>
      </c>
      <c r="C443" s="372" t="s">
        <v>3625</v>
      </c>
      <c r="D443" s="374">
        <v>1101113136383</v>
      </c>
      <c r="E443" s="372" t="s">
        <v>3626</v>
      </c>
      <c r="F443" s="372" t="s">
        <v>3627</v>
      </c>
      <c r="G443" s="375" t="s">
        <v>3628</v>
      </c>
      <c r="H443" s="375" t="s">
        <v>754</v>
      </c>
      <c r="I443" s="375" t="s">
        <v>755</v>
      </c>
      <c r="J443" s="375">
        <v>932490.11074999999</v>
      </c>
      <c r="K443" s="375">
        <v>18224.255539999998</v>
      </c>
      <c r="L443" s="375">
        <v>27811.72868</v>
      </c>
      <c r="M443" s="375">
        <v>323612.70249</v>
      </c>
      <c r="N443" s="372">
        <v>0.91</v>
      </c>
      <c r="O443" s="703">
        <v>10.886636565212594</v>
      </c>
      <c r="P443" s="375" t="s">
        <v>623</v>
      </c>
      <c r="Q443" s="375" t="s">
        <v>623</v>
      </c>
      <c r="R443" s="695">
        <v>20120725</v>
      </c>
      <c r="S443" s="375" t="s">
        <v>3629</v>
      </c>
      <c r="T443" s="696">
        <v>0.23100000000000001</v>
      </c>
      <c r="U443" s="372" t="s">
        <v>3630</v>
      </c>
      <c r="V443" s="722">
        <v>8.2200000000000006</v>
      </c>
      <c r="W443" s="722">
        <v>1.63</v>
      </c>
      <c r="X443" s="722">
        <v>0.57999999999999996</v>
      </c>
      <c r="Y443" s="722">
        <v>19.48</v>
      </c>
      <c r="Z443" s="382">
        <v>8.9157294594800041E-2</v>
      </c>
      <c r="AA443" s="372">
        <v>13113.4273815</v>
      </c>
      <c r="AB443" s="372">
        <v>10092.736399900001</v>
      </c>
      <c r="AC443" s="372">
        <v>11086.3795032</v>
      </c>
      <c r="AD443" s="372">
        <v>9324.9011074999999</v>
      </c>
      <c r="AE443" s="372">
        <v>10508.57</v>
      </c>
      <c r="AF443" s="372">
        <v>11713.14</v>
      </c>
      <c r="AG443" s="372">
        <v>13122.2</v>
      </c>
      <c r="AH443" s="372">
        <v>0</v>
      </c>
    </row>
    <row r="444" spans="1:34">
      <c r="A444" s="372" t="s">
        <v>3631</v>
      </c>
      <c r="B444" s="373" t="s">
        <v>3632</v>
      </c>
      <c r="C444" s="372" t="s">
        <v>3633</v>
      </c>
      <c r="D444" s="374">
        <v>1101115891943</v>
      </c>
      <c r="E444" s="372" t="s">
        <v>3634</v>
      </c>
      <c r="F444" s="375" t="s">
        <v>3635</v>
      </c>
      <c r="G444" s="375" t="s">
        <v>3636</v>
      </c>
      <c r="H444" s="375" t="s">
        <v>975</v>
      </c>
      <c r="I444" s="375" t="s">
        <v>755</v>
      </c>
      <c r="J444" s="375">
        <v>1213831.9372400001</v>
      </c>
      <c r="K444" s="375">
        <v>12961.78197</v>
      </c>
      <c r="L444" s="375">
        <v>-18642.577079999999</v>
      </c>
      <c r="M444" s="375">
        <v>559383.89037000004</v>
      </c>
      <c r="N444" s="372">
        <v>0.77</v>
      </c>
      <c r="O444" s="703">
        <v>104.12069510710471</v>
      </c>
      <c r="P444" s="375" t="s">
        <v>623</v>
      </c>
      <c r="Q444" s="372" t="s">
        <v>623</v>
      </c>
      <c r="R444" s="695">
        <v>20161004</v>
      </c>
      <c r="S444" s="375">
        <v>0</v>
      </c>
      <c r="T444" s="696" t="s">
        <v>772</v>
      </c>
      <c r="U444" s="375" t="s">
        <v>3637</v>
      </c>
      <c r="V444" s="722">
        <v>11.15</v>
      </c>
      <c r="W444" s="722">
        <v>1</v>
      </c>
      <c r="X444" s="722">
        <v>0.42</v>
      </c>
      <c r="Y444" s="722" t="s">
        <v>774</v>
      </c>
      <c r="Z444" s="382">
        <v>0.10994542813769037</v>
      </c>
      <c r="AA444" s="372">
        <v>11157.5645102</v>
      </c>
      <c r="AB444" s="372">
        <v>11385.751579399999</v>
      </c>
      <c r="AC444" s="372">
        <v>16540.2958244</v>
      </c>
      <c r="AD444" s="372">
        <v>12138.319372399999</v>
      </c>
      <c r="AE444" s="372">
        <v>15010.25</v>
      </c>
      <c r="AF444" s="372">
        <v>16660.88</v>
      </c>
      <c r="AG444" s="372">
        <v>18423.2</v>
      </c>
      <c r="AH444" s="372">
        <v>0</v>
      </c>
    </row>
    <row r="445" spans="1:34">
      <c r="A445" s="372" t="s">
        <v>3638</v>
      </c>
      <c r="B445" s="373" t="s">
        <v>3639</v>
      </c>
      <c r="C445" s="372" t="s">
        <v>3640</v>
      </c>
      <c r="D445" s="374">
        <v>1358110090117</v>
      </c>
      <c r="E445" s="372" t="s">
        <v>3641</v>
      </c>
      <c r="F445" s="375" t="s">
        <v>1286</v>
      </c>
      <c r="G445" s="375" t="s">
        <v>1465</v>
      </c>
      <c r="H445" s="375" t="s">
        <v>1388</v>
      </c>
      <c r="I445" s="375" t="s">
        <v>869</v>
      </c>
      <c r="J445" s="375">
        <v>1172405.32078</v>
      </c>
      <c r="K445" s="375">
        <v>41681.019119999997</v>
      </c>
      <c r="L445" s="375">
        <v>43571.118090000004</v>
      </c>
      <c r="M445" s="375">
        <v>505688.77071000001</v>
      </c>
      <c r="N445" s="372">
        <v>0.85199999999999998</v>
      </c>
      <c r="O445" s="703">
        <v>6.5367715524368899</v>
      </c>
      <c r="P445" s="375" t="s">
        <v>623</v>
      </c>
      <c r="Q445" s="375" t="s">
        <v>623</v>
      </c>
      <c r="R445" s="695">
        <v>20061213</v>
      </c>
      <c r="S445" s="375" t="s">
        <v>3642</v>
      </c>
      <c r="T445" s="696">
        <v>0.23100000000000001</v>
      </c>
      <c r="U445" s="375" t="s">
        <v>3643</v>
      </c>
      <c r="V445" s="722">
        <v>5.34</v>
      </c>
      <c r="W445" s="722">
        <v>0.92</v>
      </c>
      <c r="X445" s="722">
        <v>0.41</v>
      </c>
      <c r="Y445" s="722">
        <v>16.63</v>
      </c>
      <c r="Z445" s="382">
        <v>8.4367040155860717E-2</v>
      </c>
      <c r="AA445" s="372">
        <v>11792.7898226</v>
      </c>
      <c r="AB445" s="372">
        <v>13126.5812881</v>
      </c>
      <c r="AC445" s="372">
        <v>12219.1078696</v>
      </c>
      <c r="AD445" s="372">
        <v>11724.0532078</v>
      </c>
      <c r="AE445" s="372">
        <v>13841.75</v>
      </c>
      <c r="AF445" s="372">
        <v>14652.25</v>
      </c>
      <c r="AG445" s="372">
        <v>16210</v>
      </c>
      <c r="AH445" s="372">
        <v>0</v>
      </c>
    </row>
    <row r="446" spans="1:34">
      <c r="A446" s="372" t="s">
        <v>3644</v>
      </c>
      <c r="B446" s="373" t="s">
        <v>3645</v>
      </c>
      <c r="C446" s="372" t="s">
        <v>3646</v>
      </c>
      <c r="D446" s="374">
        <v>1341110036348</v>
      </c>
      <c r="E446" s="372" t="s">
        <v>3647</v>
      </c>
      <c r="F446" s="375" t="s">
        <v>1768</v>
      </c>
      <c r="G446" s="375" t="s">
        <v>1768</v>
      </c>
      <c r="H446" s="375" t="s">
        <v>868</v>
      </c>
      <c r="I446" s="375" t="s">
        <v>869</v>
      </c>
      <c r="J446" s="375">
        <v>384945.11981</v>
      </c>
      <c r="K446" s="375">
        <v>64041.66833</v>
      </c>
      <c r="L446" s="375">
        <v>66736.577489999996</v>
      </c>
      <c r="M446" s="375">
        <v>414191.68910999998</v>
      </c>
      <c r="N446" s="372">
        <v>0.999</v>
      </c>
      <c r="O446" s="703">
        <v>8.265751693037668</v>
      </c>
      <c r="P446" s="375" t="s">
        <v>623</v>
      </c>
      <c r="Q446" s="375" t="s">
        <v>623</v>
      </c>
      <c r="R446" s="695">
        <v>20060929</v>
      </c>
      <c r="S446" s="375" t="s">
        <v>3648</v>
      </c>
      <c r="T446" s="696">
        <v>0.23100000000000001</v>
      </c>
      <c r="U446" s="375" t="s">
        <v>3649</v>
      </c>
      <c r="V446" s="722">
        <v>6.48</v>
      </c>
      <c r="W446" s="722">
        <v>1.24</v>
      </c>
      <c r="X446" s="722">
        <v>1.28</v>
      </c>
      <c r="Y446" s="722">
        <v>9.5500000000000007</v>
      </c>
      <c r="Z446" s="382">
        <v>5.9517450682750717E-2</v>
      </c>
      <c r="AA446" s="372">
        <v>2443.1206440000001</v>
      </c>
      <c r="AB446" s="372">
        <v>3389.8036224000002</v>
      </c>
      <c r="AC446" s="372">
        <v>3950.559945</v>
      </c>
      <c r="AD446" s="372">
        <v>3849.4511981000001</v>
      </c>
      <c r="AE446" s="372">
        <v>4179.8599999999997</v>
      </c>
      <c r="AF446" s="372">
        <v>4529.71</v>
      </c>
      <c r="AG446" s="372">
        <v>4851</v>
      </c>
      <c r="AH446" s="372">
        <v>0</v>
      </c>
    </row>
    <row r="447" spans="1:34">
      <c r="A447" s="372" t="s">
        <v>3650</v>
      </c>
      <c r="B447" s="373" t="s">
        <v>3651</v>
      </c>
      <c r="C447" s="372" t="s">
        <v>3652</v>
      </c>
      <c r="D447" s="374">
        <v>1243110005721</v>
      </c>
      <c r="E447" s="372" t="s">
        <v>3653</v>
      </c>
      <c r="F447" s="375" t="s">
        <v>786</v>
      </c>
      <c r="G447" s="375" t="s">
        <v>786</v>
      </c>
      <c r="H447" s="375" t="s">
        <v>868</v>
      </c>
      <c r="I447" s="375" t="s">
        <v>869</v>
      </c>
      <c r="J447" s="375">
        <v>19350.887019999998</v>
      </c>
      <c r="K447" s="375">
        <v>-10272.984979999999</v>
      </c>
      <c r="L447" s="375">
        <v>-11570.72365</v>
      </c>
      <c r="M447" s="375">
        <v>61419.188329999997</v>
      </c>
      <c r="N447" s="372">
        <v>1.325</v>
      </c>
      <c r="O447" s="703">
        <v>0.39958750330455078</v>
      </c>
      <c r="P447" s="375" t="s">
        <v>623</v>
      </c>
      <c r="Q447" s="375" t="s">
        <v>623</v>
      </c>
      <c r="R447" s="695">
        <v>19921123</v>
      </c>
      <c r="S447" s="375" t="s">
        <v>3654</v>
      </c>
      <c r="T447" s="696" t="s">
        <v>772</v>
      </c>
      <c r="U447" s="375" t="s">
        <v>3655</v>
      </c>
      <c r="V447" s="722" t="s">
        <v>774</v>
      </c>
      <c r="W447" s="722">
        <v>8.35</v>
      </c>
      <c r="X447" s="722">
        <v>26.24</v>
      </c>
      <c r="Y447" s="722" t="s">
        <v>774</v>
      </c>
      <c r="Z447" s="382" t="s">
        <v>934</v>
      </c>
      <c r="AA447" s="372">
        <v>167.19797399999999</v>
      </c>
      <c r="AB447" s="372">
        <v>203.54393659999999</v>
      </c>
      <c r="AC447" s="372">
        <v>212.52018169999999</v>
      </c>
      <c r="AD447" s="372">
        <v>193.50887019999999</v>
      </c>
      <c r="AE447" s="372">
        <v>0</v>
      </c>
      <c r="AF447" s="372">
        <v>0</v>
      </c>
      <c r="AG447" s="372">
        <v>0</v>
      </c>
      <c r="AH447" s="372">
        <v>0</v>
      </c>
    </row>
    <row r="448" spans="1:34">
      <c r="A448" s="372" t="s">
        <v>3656</v>
      </c>
      <c r="B448" s="373" t="s">
        <v>3657</v>
      </c>
      <c r="C448" s="372" t="s">
        <v>3658</v>
      </c>
      <c r="D448" s="374">
        <v>1355110319406</v>
      </c>
      <c r="E448" s="372" t="s">
        <v>3659</v>
      </c>
      <c r="F448" s="375" t="s">
        <v>3660</v>
      </c>
      <c r="G448" s="375" t="s">
        <v>3660</v>
      </c>
      <c r="H448" s="375" t="s">
        <v>823</v>
      </c>
      <c r="I448" s="375" t="s">
        <v>755</v>
      </c>
      <c r="J448" s="375">
        <v>954551.72418999998</v>
      </c>
      <c r="K448" s="375">
        <v>144873.00836000001</v>
      </c>
      <c r="L448" s="375">
        <v>170466.53954999999</v>
      </c>
      <c r="M448" s="375">
        <v>899281.77561000001</v>
      </c>
      <c r="N448" s="372">
        <v>0.84799999999999998</v>
      </c>
      <c r="O448" s="703">
        <v>5.4406781580226147</v>
      </c>
      <c r="P448" s="375" t="s">
        <v>623</v>
      </c>
      <c r="Q448" s="375" t="s">
        <v>623</v>
      </c>
      <c r="R448" s="695">
        <v>20180111</v>
      </c>
      <c r="S448" s="375" t="s">
        <v>3661</v>
      </c>
      <c r="T448" s="696">
        <v>0.23100000000000001</v>
      </c>
      <c r="U448" s="375" t="s">
        <v>3300</v>
      </c>
      <c r="V448" s="722">
        <v>2.71</v>
      </c>
      <c r="W448" s="722">
        <v>0.6</v>
      </c>
      <c r="X448" s="722">
        <v>0.5</v>
      </c>
      <c r="Y448" s="722">
        <v>4.3</v>
      </c>
      <c r="Z448" s="382" t="s">
        <v>934</v>
      </c>
      <c r="AA448" s="372">
        <v>7866.3546643999998</v>
      </c>
      <c r="AB448" s="372">
        <v>8442.8450589000004</v>
      </c>
      <c r="AC448" s="372">
        <v>9380.7266997999996</v>
      </c>
      <c r="AD448" s="372">
        <v>9545.5172418999991</v>
      </c>
      <c r="AE448" s="372">
        <v>0</v>
      </c>
      <c r="AF448" s="372">
        <v>0</v>
      </c>
      <c r="AG448" s="372">
        <v>0</v>
      </c>
      <c r="AH448" s="372">
        <v>0</v>
      </c>
    </row>
    <row r="449" spans="1:34">
      <c r="A449" s="372" t="s">
        <v>3662</v>
      </c>
      <c r="B449" s="373" t="s">
        <v>3663</v>
      </c>
      <c r="C449" s="372" t="s">
        <v>3664</v>
      </c>
      <c r="D449" s="374">
        <v>1346110009460</v>
      </c>
      <c r="E449" s="372" t="s">
        <v>3665</v>
      </c>
      <c r="F449" s="375" t="s">
        <v>1195</v>
      </c>
      <c r="G449" s="375" t="s">
        <v>1196</v>
      </c>
      <c r="H449" s="375" t="s">
        <v>1388</v>
      </c>
      <c r="I449" s="375" t="s">
        <v>869</v>
      </c>
      <c r="J449" s="375">
        <v>319462.56477</v>
      </c>
      <c r="K449" s="375">
        <v>23946.351569999999</v>
      </c>
      <c r="L449" s="375">
        <v>28257.631399999998</v>
      </c>
      <c r="M449" s="375">
        <v>237680.50701999999</v>
      </c>
      <c r="N449" s="372">
        <v>1.3169999999999999</v>
      </c>
      <c r="O449" s="703">
        <v>0.21616066099875067</v>
      </c>
      <c r="P449" s="375" t="s">
        <v>623</v>
      </c>
      <c r="Q449" s="375" t="s">
        <v>623</v>
      </c>
      <c r="R449" s="695">
        <v>20020226</v>
      </c>
      <c r="S449" s="375" t="s">
        <v>3666</v>
      </c>
      <c r="T449" s="696">
        <v>0.23100000000000001</v>
      </c>
      <c r="U449" s="375" t="s">
        <v>16008</v>
      </c>
      <c r="V449" s="722">
        <v>16.690000000000001</v>
      </c>
      <c r="W449" s="722">
        <v>1.85</v>
      </c>
      <c r="X449" s="722">
        <v>1.46</v>
      </c>
      <c r="Y449" s="722">
        <v>19.43</v>
      </c>
      <c r="Z449" s="382">
        <v>0.20100069512049767</v>
      </c>
      <c r="AA449" s="372">
        <v>2691.0140209000001</v>
      </c>
      <c r="AB449" s="372">
        <v>3195.1398356999998</v>
      </c>
      <c r="AC449" s="372">
        <v>4224.1875393999999</v>
      </c>
      <c r="AD449" s="372">
        <v>3194.6256477000002</v>
      </c>
      <c r="AE449" s="372">
        <v>4639.67</v>
      </c>
      <c r="AF449" s="372">
        <v>5786</v>
      </c>
      <c r="AG449" s="372">
        <v>6646.5</v>
      </c>
      <c r="AH449" s="372">
        <v>6450</v>
      </c>
    </row>
    <row r="450" spans="1:34">
      <c r="A450" s="372" t="s">
        <v>3667</v>
      </c>
      <c r="B450" s="373" t="s">
        <v>3668</v>
      </c>
      <c r="C450" s="372" t="s">
        <v>3669</v>
      </c>
      <c r="D450" s="374">
        <v>1101112276809</v>
      </c>
      <c r="E450" s="372" t="s">
        <v>3670</v>
      </c>
      <c r="F450" s="375" t="s">
        <v>3248</v>
      </c>
      <c r="G450" s="375" t="s">
        <v>3248</v>
      </c>
      <c r="H450" s="375" t="s">
        <v>817</v>
      </c>
      <c r="I450" s="375" t="s">
        <v>755</v>
      </c>
      <c r="J450" s="375">
        <v>6419203.6030200003</v>
      </c>
      <c r="K450" s="375">
        <v>200772.10477000001</v>
      </c>
      <c r="L450" s="375">
        <v>172857.10128999999</v>
      </c>
      <c r="M450" s="375">
        <v>3107732.9259700002</v>
      </c>
      <c r="N450" s="372">
        <v>0.72899999999999998</v>
      </c>
      <c r="O450" s="703">
        <v>383.50462008624311</v>
      </c>
      <c r="P450" s="375" t="s">
        <v>623</v>
      </c>
      <c r="Q450" s="375" t="s">
        <v>623</v>
      </c>
      <c r="R450" s="695">
        <v>20010730</v>
      </c>
      <c r="S450" s="375" t="s">
        <v>3671</v>
      </c>
      <c r="T450" s="696">
        <v>0.23100000000000001</v>
      </c>
      <c r="U450" s="372" t="s">
        <v>3672</v>
      </c>
      <c r="V450" s="722">
        <v>8.17</v>
      </c>
      <c r="W450" s="722">
        <v>0.2</v>
      </c>
      <c r="X450" s="722">
        <v>7.0000000000000007E-2</v>
      </c>
      <c r="Y450" s="722">
        <v>5.27</v>
      </c>
      <c r="Z450" s="382" t="s">
        <v>934</v>
      </c>
      <c r="AA450" s="372">
        <v>42573.547419399998</v>
      </c>
      <c r="AB450" s="372">
        <v>60055.221838799996</v>
      </c>
      <c r="AC450" s="372">
        <v>67458.014948900003</v>
      </c>
      <c r="AD450" s="372">
        <v>64192.036030199997</v>
      </c>
      <c r="AE450" s="372">
        <v>0</v>
      </c>
      <c r="AF450" s="372">
        <v>0</v>
      </c>
      <c r="AG450" s="372">
        <v>0</v>
      </c>
      <c r="AH450" s="372">
        <v>0</v>
      </c>
    </row>
    <row r="451" spans="1:34">
      <c r="A451" s="372" t="s">
        <v>3673</v>
      </c>
      <c r="B451" s="373" t="s">
        <v>3674</v>
      </c>
      <c r="C451" s="372" t="s">
        <v>3675</v>
      </c>
      <c r="D451" s="374">
        <v>1101110531578</v>
      </c>
      <c r="E451" s="372" t="s">
        <v>3676</v>
      </c>
      <c r="F451" s="375" t="s">
        <v>1553</v>
      </c>
      <c r="G451" s="375" t="s">
        <v>3677</v>
      </c>
      <c r="H451" s="375" t="s">
        <v>1555</v>
      </c>
      <c r="I451" s="375" t="s">
        <v>755</v>
      </c>
      <c r="J451" s="375">
        <v>1528640.72924</v>
      </c>
      <c r="K451" s="375">
        <v>100482.85428</v>
      </c>
      <c r="L451" s="375">
        <v>100627.61764</v>
      </c>
      <c r="M451" s="375">
        <v>1394339.1280400001</v>
      </c>
      <c r="N451" s="372">
        <v>0.79300000000000004</v>
      </c>
      <c r="O451" s="703">
        <v>12.561607478707712</v>
      </c>
      <c r="P451" s="375" t="s">
        <v>623</v>
      </c>
      <c r="Q451" s="375" t="s">
        <v>623</v>
      </c>
      <c r="R451" s="695">
        <v>19960703</v>
      </c>
      <c r="S451" s="375" t="s">
        <v>3678</v>
      </c>
      <c r="T451" s="696">
        <v>0.23100000000000001</v>
      </c>
      <c r="U451" s="375" t="s">
        <v>3679</v>
      </c>
      <c r="V451" s="722">
        <v>2.8</v>
      </c>
      <c r="W451" s="722">
        <v>0.33</v>
      </c>
      <c r="X451" s="722">
        <v>0.31</v>
      </c>
      <c r="Y451" s="722">
        <v>5.62</v>
      </c>
      <c r="Z451" s="382">
        <v>2.1795750290068527E-2</v>
      </c>
      <c r="AA451" s="372">
        <v>11958.9964031</v>
      </c>
      <c r="AB451" s="372">
        <v>13874.016606699999</v>
      </c>
      <c r="AC451" s="372">
        <v>15422.2168342</v>
      </c>
      <c r="AD451" s="372">
        <v>15286.407292399999</v>
      </c>
      <c r="AE451" s="372">
        <v>15583.89</v>
      </c>
      <c r="AF451" s="372">
        <v>16348.33</v>
      </c>
      <c r="AG451" s="372">
        <v>16663.330000000002</v>
      </c>
      <c r="AH451" s="372">
        <v>0</v>
      </c>
    </row>
    <row r="452" spans="1:34">
      <c r="A452" s="372" t="s">
        <v>3680</v>
      </c>
      <c r="B452" s="373" t="s">
        <v>3681</v>
      </c>
      <c r="C452" s="372" t="s">
        <v>3682</v>
      </c>
      <c r="D452" s="374">
        <v>1348110324294</v>
      </c>
      <c r="E452" s="372" t="s">
        <v>3683</v>
      </c>
      <c r="F452" s="375" t="s">
        <v>1062</v>
      </c>
      <c r="G452" s="375" t="s">
        <v>1062</v>
      </c>
      <c r="H452" s="375" t="s">
        <v>788</v>
      </c>
      <c r="I452" s="375" t="s">
        <v>755</v>
      </c>
      <c r="J452" s="375">
        <v>90080.965580000004</v>
      </c>
      <c r="K452" s="375">
        <v>-47041.10151</v>
      </c>
      <c r="L452" s="375">
        <v>-109490.60395999999</v>
      </c>
      <c r="M452" s="375">
        <v>1556575.9130500001</v>
      </c>
      <c r="N452" s="372" t="s">
        <v>1033</v>
      </c>
      <c r="O452" s="703">
        <v>1.1734967636735478</v>
      </c>
      <c r="P452" s="375" t="s">
        <v>623</v>
      </c>
      <c r="Q452" s="375" t="s">
        <v>623</v>
      </c>
      <c r="R452" s="695">
        <v>20221222</v>
      </c>
      <c r="S452" s="375" t="s">
        <v>3684</v>
      </c>
      <c r="T452" s="696" t="s">
        <v>772</v>
      </c>
      <c r="U452" s="375" t="s">
        <v>3685</v>
      </c>
      <c r="V452" s="722" t="s">
        <v>774</v>
      </c>
      <c r="W452" s="722">
        <v>0.28000000000000003</v>
      </c>
      <c r="X452" s="722">
        <v>4.8099999999999996</v>
      </c>
      <c r="Y452" s="722" t="s">
        <v>774</v>
      </c>
      <c r="Z452" s="382" t="s">
        <v>934</v>
      </c>
      <c r="AA452" s="372">
        <v>6315.0454479999999</v>
      </c>
      <c r="AB452" s="372">
        <v>6223.5516442999997</v>
      </c>
      <c r="AC452" s="372">
        <v>4796.5708980999998</v>
      </c>
      <c r="AD452" s="372">
        <v>900.80965579999997</v>
      </c>
      <c r="AE452" s="372">
        <v>1299</v>
      </c>
      <c r="AF452" s="372">
        <v>1685</v>
      </c>
      <c r="AG452" s="372">
        <v>0</v>
      </c>
      <c r="AH452" s="372">
        <v>0</v>
      </c>
    </row>
    <row r="453" spans="1:34">
      <c r="A453" s="372" t="s">
        <v>3686</v>
      </c>
      <c r="B453" s="373" t="s">
        <v>3687</v>
      </c>
      <c r="C453" s="372" t="s">
        <v>3688</v>
      </c>
      <c r="D453" s="374">
        <v>1301110026749</v>
      </c>
      <c r="E453" s="372" t="s">
        <v>3689</v>
      </c>
      <c r="F453" s="372" t="s">
        <v>1005</v>
      </c>
      <c r="G453" s="375" t="s">
        <v>1006</v>
      </c>
      <c r="H453" s="375" t="s">
        <v>754</v>
      </c>
      <c r="I453" s="375" t="s">
        <v>755</v>
      </c>
      <c r="J453" s="375">
        <v>1332234.4442400001</v>
      </c>
      <c r="K453" s="375">
        <v>-32101.22478</v>
      </c>
      <c r="L453" s="375">
        <v>-26450.172500000001</v>
      </c>
      <c r="M453" s="375">
        <v>709890.31596000004</v>
      </c>
      <c r="N453" s="372">
        <v>1.3520000000000001</v>
      </c>
      <c r="O453" s="703">
        <v>68.598510255648776</v>
      </c>
      <c r="P453" s="375" t="s">
        <v>623</v>
      </c>
      <c r="Q453" s="375" t="s">
        <v>623</v>
      </c>
      <c r="R453" s="695">
        <v>19850909</v>
      </c>
      <c r="S453" s="375" t="s">
        <v>3690</v>
      </c>
      <c r="T453" s="696" t="s">
        <v>772</v>
      </c>
      <c r="U453" s="375" t="s">
        <v>3691</v>
      </c>
      <c r="V453" s="722">
        <v>13.97</v>
      </c>
      <c r="W453" s="722">
        <v>1.27</v>
      </c>
      <c r="X453" s="722">
        <v>0.41</v>
      </c>
      <c r="Y453" s="722" t="s">
        <v>774</v>
      </c>
      <c r="Z453" s="382">
        <v>8.610185381804536E-2</v>
      </c>
      <c r="AA453" s="372">
        <v>9021.2128728999996</v>
      </c>
      <c r="AB453" s="372">
        <v>14241.6850275</v>
      </c>
      <c r="AC453" s="372">
        <v>15968.7515212</v>
      </c>
      <c r="AD453" s="372">
        <v>13322.344442400001</v>
      </c>
      <c r="AE453" s="372">
        <v>15337.67</v>
      </c>
      <c r="AF453" s="372">
        <v>16552.330000000002</v>
      </c>
      <c r="AG453" s="372">
        <v>18538</v>
      </c>
      <c r="AH453" s="372">
        <v>0</v>
      </c>
    </row>
    <row r="454" spans="1:34">
      <c r="A454" s="372" t="s">
        <v>3692</v>
      </c>
      <c r="B454" s="373" t="s">
        <v>3693</v>
      </c>
      <c r="C454" s="372" t="s">
        <v>3694</v>
      </c>
      <c r="D454" s="374">
        <v>1311110501435</v>
      </c>
      <c r="E454" s="372" t="s">
        <v>3695</v>
      </c>
      <c r="F454" s="375" t="s">
        <v>1381</v>
      </c>
      <c r="G454" s="375" t="s">
        <v>1381</v>
      </c>
      <c r="H454" s="375" t="s">
        <v>1693</v>
      </c>
      <c r="I454" s="375" t="s">
        <v>869</v>
      </c>
      <c r="J454" s="375">
        <v>19594.562669999999</v>
      </c>
      <c r="K454" s="375">
        <v>-15863.85873</v>
      </c>
      <c r="L454" s="375">
        <v>-14510.493</v>
      </c>
      <c r="M454" s="375">
        <v>20571.164499999999</v>
      </c>
      <c r="N454" s="372" t="s">
        <v>1033</v>
      </c>
      <c r="O454" s="703">
        <v>3.2206945948810315</v>
      </c>
      <c r="P454" s="375" t="s">
        <v>623</v>
      </c>
      <c r="Q454" s="375" t="s">
        <v>623</v>
      </c>
      <c r="R454" s="695">
        <v>20220926</v>
      </c>
      <c r="S454" s="375" t="s">
        <v>3696</v>
      </c>
      <c r="T454" s="696" t="s">
        <v>772</v>
      </c>
      <c r="U454" s="375" t="s">
        <v>3697</v>
      </c>
      <c r="V454" s="722" t="s">
        <v>774</v>
      </c>
      <c r="W454" s="722">
        <v>26.76</v>
      </c>
      <c r="X454" s="722">
        <v>27.91</v>
      </c>
      <c r="Y454" s="722" t="s">
        <v>774</v>
      </c>
      <c r="Z454" s="382">
        <v>0.51783457369089159</v>
      </c>
      <c r="AA454" s="372">
        <v>10.886423199999999</v>
      </c>
      <c r="AB454" s="372">
        <v>51.858677800000002</v>
      </c>
      <c r="AC454" s="372">
        <v>100.1168756</v>
      </c>
      <c r="AD454" s="372">
        <v>195.94562669999999</v>
      </c>
      <c r="AE454" s="372">
        <v>358</v>
      </c>
      <c r="AF454" s="372">
        <v>635</v>
      </c>
      <c r="AG454" s="372">
        <v>1040</v>
      </c>
      <c r="AH454" s="372">
        <v>0</v>
      </c>
    </row>
    <row r="455" spans="1:34">
      <c r="A455" s="372" t="s">
        <v>3698</v>
      </c>
      <c r="B455" s="373" t="s">
        <v>3699</v>
      </c>
      <c r="C455" s="372" t="s">
        <v>3700</v>
      </c>
      <c r="D455" s="374">
        <v>1101117221677</v>
      </c>
      <c r="E455" s="372" t="s">
        <v>3701</v>
      </c>
      <c r="F455" s="375" t="s">
        <v>1768</v>
      </c>
      <c r="G455" s="375" t="s">
        <v>1768</v>
      </c>
      <c r="H455" s="375" t="s">
        <v>868</v>
      </c>
      <c r="I455" s="375" t="s">
        <v>869</v>
      </c>
      <c r="J455" s="375">
        <v>42520.500090000001</v>
      </c>
      <c r="K455" s="375">
        <v>22312.70823</v>
      </c>
      <c r="L455" s="375">
        <v>26073.61836</v>
      </c>
      <c r="M455" s="375">
        <v>57124.074789999999</v>
      </c>
      <c r="N455" s="372">
        <v>0.86799999999999999</v>
      </c>
      <c r="O455" s="703">
        <v>0.11248396361364284</v>
      </c>
      <c r="P455" s="375" t="s">
        <v>623</v>
      </c>
      <c r="Q455" s="372" t="s">
        <v>623</v>
      </c>
      <c r="R455" s="695">
        <v>20191203</v>
      </c>
      <c r="S455" s="375" t="s">
        <v>3702</v>
      </c>
      <c r="T455" s="696">
        <v>0.23100000000000001</v>
      </c>
      <c r="U455" s="375" t="s">
        <v>3703</v>
      </c>
      <c r="V455" s="722">
        <v>0</v>
      </c>
      <c r="W455" s="722">
        <v>8.25</v>
      </c>
      <c r="X455" s="722">
        <v>0</v>
      </c>
      <c r="Y455" s="722">
        <v>0</v>
      </c>
      <c r="Z455" s="382" t="s">
        <v>934</v>
      </c>
      <c r="AA455" s="372">
        <v>121.5432766</v>
      </c>
      <c r="AB455" s="372">
        <v>183.7272294</v>
      </c>
      <c r="AC455" s="372">
        <v>311.08305469999999</v>
      </c>
      <c r="AD455" s="372">
        <v>425.20500090000002</v>
      </c>
      <c r="AE455" s="372">
        <v>700</v>
      </c>
      <c r="AF455" s="372">
        <v>959</v>
      </c>
      <c r="AG455" s="372">
        <v>0</v>
      </c>
      <c r="AH455" s="372">
        <v>0</v>
      </c>
    </row>
    <row r="456" spans="1:34">
      <c r="A456" s="372" t="s">
        <v>3704</v>
      </c>
      <c r="B456" s="373" t="s">
        <v>3705</v>
      </c>
      <c r="C456" s="372" t="s">
        <v>3706</v>
      </c>
      <c r="D456" s="374">
        <v>1601110105498</v>
      </c>
      <c r="E456" s="372" t="s">
        <v>3707</v>
      </c>
      <c r="F456" s="372" t="s">
        <v>3708</v>
      </c>
      <c r="G456" s="375" t="s">
        <v>3708</v>
      </c>
      <c r="H456" s="375" t="s">
        <v>1348</v>
      </c>
      <c r="I456" s="375" t="s">
        <v>869</v>
      </c>
      <c r="J456" s="375">
        <v>3418.0093700000002</v>
      </c>
      <c r="K456" s="375">
        <v>-17303.489580000001</v>
      </c>
      <c r="L456" s="375">
        <v>-9503.3353999999999</v>
      </c>
      <c r="M456" s="375">
        <v>125031.77686</v>
      </c>
      <c r="N456" s="372">
        <v>0.65200000000000002</v>
      </c>
      <c r="O456" s="703">
        <v>0.35128766434095787</v>
      </c>
      <c r="P456" s="375" t="s">
        <v>623</v>
      </c>
      <c r="Q456" s="375" t="s">
        <v>623</v>
      </c>
      <c r="R456" s="695">
        <v>20160719</v>
      </c>
      <c r="S456" s="375" t="s">
        <v>3709</v>
      </c>
      <c r="T456" s="696" t="s">
        <v>772</v>
      </c>
      <c r="U456" s="372" t="s">
        <v>3710</v>
      </c>
      <c r="V456" s="722" t="s">
        <v>774</v>
      </c>
      <c r="W456" s="722">
        <v>3.81</v>
      </c>
      <c r="X456" s="722">
        <v>144.44999999999999</v>
      </c>
      <c r="Y456" s="722" t="s">
        <v>774</v>
      </c>
      <c r="Z456" s="382" t="s">
        <v>934</v>
      </c>
      <c r="AA456" s="372">
        <v>12.388508</v>
      </c>
      <c r="AB456" s="372">
        <v>51.3961507</v>
      </c>
      <c r="AC456" s="372">
        <v>298.656747</v>
      </c>
      <c r="AD456" s="372">
        <v>34.1800937</v>
      </c>
      <c r="AE456" s="372">
        <v>55</v>
      </c>
      <c r="AF456" s="372">
        <v>195</v>
      </c>
      <c r="AG456" s="372">
        <v>0</v>
      </c>
      <c r="AH456" s="372">
        <v>0</v>
      </c>
    </row>
    <row r="457" spans="1:34">
      <c r="A457" s="372" t="s">
        <v>3711</v>
      </c>
      <c r="B457" s="373" t="s">
        <v>3712</v>
      </c>
      <c r="C457" s="372" t="s">
        <v>3713</v>
      </c>
      <c r="D457" s="374">
        <v>1101115455476</v>
      </c>
      <c r="E457" s="372" t="s">
        <v>3714</v>
      </c>
      <c r="F457" s="375" t="s">
        <v>3020</v>
      </c>
      <c r="G457" s="375" t="s">
        <v>3020</v>
      </c>
      <c r="H457" s="375" t="s">
        <v>797</v>
      </c>
      <c r="I457" s="375" t="s">
        <v>755</v>
      </c>
      <c r="J457" s="375">
        <v>3574265.5600299998</v>
      </c>
      <c r="K457" s="375">
        <v>193109.88789000001</v>
      </c>
      <c r="L457" s="375">
        <v>194996.91506</v>
      </c>
      <c r="M457" s="375">
        <v>925584.96415000001</v>
      </c>
      <c r="N457" s="372">
        <v>1.464</v>
      </c>
      <c r="O457" s="703">
        <v>109.75278728712834</v>
      </c>
      <c r="P457" s="375" t="s">
        <v>623</v>
      </c>
      <c r="Q457" s="372" t="s">
        <v>623</v>
      </c>
      <c r="R457" s="695">
        <v>20140808</v>
      </c>
      <c r="S457" s="372" t="s">
        <v>3715</v>
      </c>
      <c r="T457" s="696">
        <v>0.23100000000000001</v>
      </c>
      <c r="U457" s="372" t="s">
        <v>3716</v>
      </c>
      <c r="V457" s="722">
        <v>2.85</v>
      </c>
      <c r="W457" s="722">
        <v>0.59</v>
      </c>
      <c r="X457" s="722">
        <v>0.15</v>
      </c>
      <c r="Y457" s="722">
        <v>3.29</v>
      </c>
      <c r="Z457" s="382" t="s">
        <v>934</v>
      </c>
      <c r="AA457" s="372">
        <v>19623.845932699998</v>
      </c>
      <c r="AB457" s="372">
        <v>21800.658987499999</v>
      </c>
      <c r="AC457" s="372">
        <v>28452.5336995</v>
      </c>
      <c r="AD457" s="372">
        <v>35742.655600300001</v>
      </c>
      <c r="AE457" s="372">
        <v>38400</v>
      </c>
      <c r="AF457" s="372">
        <v>42620</v>
      </c>
      <c r="AG457" s="372">
        <v>0</v>
      </c>
      <c r="AH457" s="372">
        <v>0</v>
      </c>
    </row>
    <row r="458" spans="1:34">
      <c r="A458" s="372" t="s">
        <v>3717</v>
      </c>
      <c r="B458" s="373" t="s">
        <v>3718</v>
      </c>
      <c r="C458" s="372" t="s">
        <v>3719</v>
      </c>
      <c r="D458" s="374">
        <v>1101110731483</v>
      </c>
      <c r="E458" s="372" t="s">
        <v>3720</v>
      </c>
      <c r="F458" s="375" t="s">
        <v>3721</v>
      </c>
      <c r="G458" s="375" t="s">
        <v>3721</v>
      </c>
      <c r="H458" s="375" t="s">
        <v>823</v>
      </c>
      <c r="I458" s="375" t="s">
        <v>755</v>
      </c>
      <c r="J458" s="375">
        <v>996763.61326000001</v>
      </c>
      <c r="K458" s="375">
        <v>58323.294159999998</v>
      </c>
      <c r="L458" s="375">
        <v>61566.918610000001</v>
      </c>
      <c r="M458" s="375">
        <v>881121.43822999997</v>
      </c>
      <c r="N458" s="372">
        <v>0.77600000000000002</v>
      </c>
      <c r="O458" s="703">
        <v>49.140131596378886</v>
      </c>
      <c r="P458" s="375" t="s">
        <v>623</v>
      </c>
      <c r="Q458" s="372" t="s">
        <v>623</v>
      </c>
      <c r="R458" s="695">
        <v>19990512</v>
      </c>
      <c r="S458" s="372" t="s">
        <v>3722</v>
      </c>
      <c r="T458" s="696">
        <v>0.23100000000000001</v>
      </c>
      <c r="U458" s="375" t="s">
        <v>3723</v>
      </c>
      <c r="V458" s="722">
        <v>6.19</v>
      </c>
      <c r="W458" s="722">
        <v>0.62</v>
      </c>
      <c r="X458" s="722">
        <v>0.54</v>
      </c>
      <c r="Y458" s="722">
        <v>11.54</v>
      </c>
      <c r="Z458" s="382">
        <v>1.3171306245774561E-2</v>
      </c>
      <c r="AA458" s="372">
        <v>8603.4311436000007</v>
      </c>
      <c r="AB458" s="372">
        <v>10490.345696</v>
      </c>
      <c r="AC458" s="372">
        <v>11737.815808900001</v>
      </c>
      <c r="AD458" s="372">
        <v>9967.6361326000006</v>
      </c>
      <c r="AE458" s="372">
        <v>10173.14</v>
      </c>
      <c r="AF458" s="372">
        <v>10347.290000000001</v>
      </c>
      <c r="AG458" s="372">
        <v>10503.25</v>
      </c>
      <c r="AH458" s="372">
        <v>0</v>
      </c>
    </row>
    <row r="459" spans="1:34">
      <c r="A459" s="372" t="s">
        <v>3724</v>
      </c>
      <c r="B459" s="373" t="s">
        <v>3725</v>
      </c>
      <c r="C459" s="372" t="s">
        <v>3726</v>
      </c>
      <c r="D459" s="374">
        <v>2052110029832</v>
      </c>
      <c r="E459" s="372" t="s">
        <v>3727</v>
      </c>
      <c r="F459" s="375" t="s">
        <v>1124</v>
      </c>
      <c r="G459" s="375" t="s">
        <v>1347</v>
      </c>
      <c r="H459" s="375" t="s">
        <v>1348</v>
      </c>
      <c r="I459" s="375" t="s">
        <v>869</v>
      </c>
      <c r="J459" s="375">
        <v>13.723319999999999</v>
      </c>
      <c r="K459" s="375">
        <v>-11507.176670000001</v>
      </c>
      <c r="L459" s="375">
        <v>-10274.078939999999</v>
      </c>
      <c r="M459" s="375">
        <v>83493.267970000001</v>
      </c>
      <c r="N459" s="372">
        <v>1.5880000000000001</v>
      </c>
      <c r="O459" s="703">
        <v>9.5852956478514051E-2</v>
      </c>
      <c r="P459" s="375" t="s">
        <v>623</v>
      </c>
      <c r="Q459" s="375" t="s">
        <v>623</v>
      </c>
      <c r="R459" s="695">
        <v>20200922</v>
      </c>
      <c r="S459" s="375" t="s">
        <v>3728</v>
      </c>
      <c r="T459" s="696" t="s">
        <v>772</v>
      </c>
      <c r="U459" s="372" t="s">
        <v>3729</v>
      </c>
      <c r="V459" s="722">
        <v>0</v>
      </c>
      <c r="W459" s="722">
        <v>6.14</v>
      </c>
      <c r="X459" s="722">
        <v>0</v>
      </c>
      <c r="Y459" s="722">
        <v>0</v>
      </c>
      <c r="Z459" s="382" t="s">
        <v>934</v>
      </c>
      <c r="AA459" s="372">
        <v>0</v>
      </c>
      <c r="AB459" s="372">
        <v>0</v>
      </c>
      <c r="AC459" s="372">
        <v>0</v>
      </c>
      <c r="AD459" s="372">
        <v>0.1372332</v>
      </c>
      <c r="AE459" s="372">
        <v>0</v>
      </c>
      <c r="AF459" s="372">
        <v>0</v>
      </c>
      <c r="AG459" s="372">
        <v>0</v>
      </c>
      <c r="AH459" s="372">
        <v>0</v>
      </c>
    </row>
    <row r="460" spans="1:34">
      <c r="A460" s="372" t="s">
        <v>3730</v>
      </c>
      <c r="B460" s="373" t="s">
        <v>3731</v>
      </c>
      <c r="C460" s="372" t="s">
        <v>3732</v>
      </c>
      <c r="D460" s="374">
        <v>1545110002355</v>
      </c>
      <c r="E460" s="372" t="s">
        <v>3733</v>
      </c>
      <c r="F460" s="375" t="s">
        <v>3266</v>
      </c>
      <c r="G460" s="375" t="s">
        <v>3266</v>
      </c>
      <c r="H460" s="375" t="s">
        <v>1388</v>
      </c>
      <c r="I460" s="375" t="s">
        <v>869</v>
      </c>
      <c r="J460" s="375">
        <v>480111.63941</v>
      </c>
      <c r="K460" s="375">
        <v>-70002.734479999999</v>
      </c>
      <c r="L460" s="375">
        <v>-111221.05099</v>
      </c>
      <c r="M460" s="375">
        <v>283166.32017000002</v>
      </c>
      <c r="N460" s="372">
        <v>1.3440000000000001</v>
      </c>
      <c r="O460" s="703">
        <v>150.08654731018612</v>
      </c>
      <c r="P460" s="375" t="s">
        <v>623</v>
      </c>
      <c r="Q460" s="375" t="s">
        <v>623</v>
      </c>
      <c r="R460" s="695">
        <v>19991211</v>
      </c>
      <c r="S460" s="375" t="s">
        <v>3734</v>
      </c>
      <c r="T460" s="696" t="s">
        <v>772</v>
      </c>
      <c r="U460" s="372" t="s">
        <v>3735</v>
      </c>
      <c r="V460" s="722">
        <v>10.98</v>
      </c>
      <c r="W460" s="722">
        <v>2.89</v>
      </c>
      <c r="X460" s="722">
        <v>0.94</v>
      </c>
      <c r="Y460" s="722" t="s">
        <v>774</v>
      </c>
      <c r="Z460" s="382" t="s">
        <v>934</v>
      </c>
      <c r="AA460" s="372">
        <v>3435.5967740000001</v>
      </c>
      <c r="AB460" s="372">
        <v>4183.6653753000001</v>
      </c>
      <c r="AC460" s="372">
        <v>5880.3920995999997</v>
      </c>
      <c r="AD460" s="372">
        <v>4801.1163941000004</v>
      </c>
      <c r="AE460" s="372">
        <v>0</v>
      </c>
      <c r="AF460" s="372">
        <v>0</v>
      </c>
      <c r="AG460" s="372">
        <v>0</v>
      </c>
      <c r="AH460" s="372">
        <v>0</v>
      </c>
    </row>
    <row r="461" spans="1:34">
      <c r="A461" s="372" t="s">
        <v>3736</v>
      </c>
      <c r="B461" s="373" t="s">
        <v>3737</v>
      </c>
      <c r="C461" s="372" t="s">
        <v>3738</v>
      </c>
      <c r="D461" s="374">
        <v>1101110398275</v>
      </c>
      <c r="E461" s="372" t="s">
        <v>3739</v>
      </c>
      <c r="F461" s="372" t="s">
        <v>1104</v>
      </c>
      <c r="G461" s="375" t="s">
        <v>1238</v>
      </c>
      <c r="H461" s="375" t="s">
        <v>832</v>
      </c>
      <c r="I461" s="375" t="s">
        <v>755</v>
      </c>
      <c r="J461" s="375">
        <v>668866.95111999998</v>
      </c>
      <c r="K461" s="375">
        <v>61937.813990000002</v>
      </c>
      <c r="L461" s="375">
        <v>59427.474999999999</v>
      </c>
      <c r="M461" s="375">
        <v>387626.71889999998</v>
      </c>
      <c r="N461" s="372">
        <v>0.78</v>
      </c>
      <c r="O461" s="703">
        <v>0.61447242931930834</v>
      </c>
      <c r="P461" s="375" t="s">
        <v>623</v>
      </c>
      <c r="Q461" s="375" t="s">
        <v>623</v>
      </c>
      <c r="R461" s="695">
        <v>20180322</v>
      </c>
      <c r="S461" s="375" t="s">
        <v>3740</v>
      </c>
      <c r="T461" s="696">
        <v>0.23100000000000001</v>
      </c>
      <c r="U461" s="375" t="s">
        <v>3741</v>
      </c>
      <c r="V461" s="722">
        <v>6.38</v>
      </c>
      <c r="W461" s="722">
        <v>1.22</v>
      </c>
      <c r="X461" s="722">
        <v>0.74</v>
      </c>
      <c r="Y461" s="722">
        <v>10.09</v>
      </c>
      <c r="Z461" s="382">
        <v>7.608623651367119E-2</v>
      </c>
      <c r="AA461" s="372">
        <v>5881.3564651999995</v>
      </c>
      <c r="AB461" s="372">
        <v>5739.2318495999998</v>
      </c>
      <c r="AC461" s="372">
        <v>6104.1075309999997</v>
      </c>
      <c r="AD461" s="372">
        <v>6688.6695111999998</v>
      </c>
      <c r="AE461" s="372">
        <v>7357.6</v>
      </c>
      <c r="AF461" s="372">
        <v>8068.6</v>
      </c>
      <c r="AG461" s="372">
        <v>8968.67</v>
      </c>
      <c r="AH461" s="372">
        <v>0</v>
      </c>
    </row>
    <row r="462" spans="1:34">
      <c r="A462" s="372" t="s">
        <v>3742</v>
      </c>
      <c r="B462" s="373" t="s">
        <v>3743</v>
      </c>
      <c r="C462" s="372" t="s">
        <v>3744</v>
      </c>
      <c r="D462" s="374">
        <v>1101110279433</v>
      </c>
      <c r="E462" s="372" t="s">
        <v>3745</v>
      </c>
      <c r="F462" s="375" t="s">
        <v>2126</v>
      </c>
      <c r="G462" s="375" t="s">
        <v>2126</v>
      </c>
      <c r="H462" s="375" t="s">
        <v>862</v>
      </c>
      <c r="I462" s="375" t="s">
        <v>755</v>
      </c>
      <c r="J462" s="375">
        <v>5908284.6322699999</v>
      </c>
      <c r="K462" s="375">
        <v>312643.25734000001</v>
      </c>
      <c r="L462" s="375">
        <v>344899.19284999999</v>
      </c>
      <c r="M462" s="375">
        <v>5014408.8295700001</v>
      </c>
      <c r="N462" s="372">
        <v>0.88400000000000001</v>
      </c>
      <c r="O462" s="703">
        <v>855.80197259082775</v>
      </c>
      <c r="P462" s="375" t="s">
        <v>623</v>
      </c>
      <c r="Q462" s="375" t="s">
        <v>623</v>
      </c>
      <c r="R462" s="695">
        <v>19961016</v>
      </c>
      <c r="S462" s="375" t="s">
        <v>3746</v>
      </c>
      <c r="T462" s="696">
        <v>0.26400000000000001</v>
      </c>
      <c r="U462" s="375" t="s">
        <v>3747</v>
      </c>
      <c r="V462" s="722">
        <v>12.61</v>
      </c>
      <c r="W462" s="722">
        <v>0.15</v>
      </c>
      <c r="X462" s="722">
        <v>7.0000000000000007E-2</v>
      </c>
      <c r="Y462" s="722">
        <v>3.64</v>
      </c>
      <c r="Z462" s="382" t="s">
        <v>934</v>
      </c>
      <c r="AA462" s="372">
        <v>39518.630020899996</v>
      </c>
      <c r="AB462" s="372">
        <v>47795.863288</v>
      </c>
      <c r="AC462" s="372">
        <v>50449.445316199999</v>
      </c>
      <c r="AD462" s="372">
        <v>59082.846322700003</v>
      </c>
      <c r="AE462" s="372">
        <v>16666</v>
      </c>
      <c r="AF462" s="372">
        <v>0</v>
      </c>
      <c r="AG462" s="372">
        <v>0</v>
      </c>
      <c r="AH462" s="372">
        <v>0</v>
      </c>
    </row>
    <row r="463" spans="1:34">
      <c r="A463" s="372" t="s">
        <v>3748</v>
      </c>
      <c r="B463" s="373" t="s">
        <v>3749</v>
      </c>
      <c r="C463" s="372" t="s">
        <v>3750</v>
      </c>
      <c r="D463" s="374">
        <v>1101116139277</v>
      </c>
      <c r="E463" s="372" t="s">
        <v>3751</v>
      </c>
      <c r="F463" s="375" t="s">
        <v>1334</v>
      </c>
      <c r="G463" s="375" t="s">
        <v>1334</v>
      </c>
      <c r="H463" s="375" t="s">
        <v>788</v>
      </c>
      <c r="I463" s="375" t="s">
        <v>755</v>
      </c>
      <c r="J463" s="375">
        <v>600757.83958999999</v>
      </c>
      <c r="K463" s="375">
        <v>-53943.619729999999</v>
      </c>
      <c r="L463" s="375">
        <v>-94272.733170000007</v>
      </c>
      <c r="M463" s="375">
        <v>174265.57782000001</v>
      </c>
      <c r="N463" s="372">
        <v>0.96899999999999997</v>
      </c>
      <c r="O463" s="703">
        <v>50.017305532795355</v>
      </c>
      <c r="P463" s="375" t="s">
        <v>623</v>
      </c>
      <c r="Q463" s="372" t="s">
        <v>623</v>
      </c>
      <c r="R463" s="695">
        <v>20160831</v>
      </c>
      <c r="S463" s="372" t="s">
        <v>3752</v>
      </c>
      <c r="T463" s="696" t="s">
        <v>772</v>
      </c>
      <c r="U463" s="372" t="s">
        <v>3753</v>
      </c>
      <c r="V463" s="722" t="s">
        <v>774</v>
      </c>
      <c r="W463" s="722">
        <v>2.97</v>
      </c>
      <c r="X463" s="722">
        <v>0.85</v>
      </c>
      <c r="Y463" s="722" t="s">
        <v>774</v>
      </c>
      <c r="Z463" s="382" t="s">
        <v>934</v>
      </c>
      <c r="AA463" s="372">
        <v>5618.4510017000002</v>
      </c>
      <c r="AB463" s="372">
        <v>5601.3162629999997</v>
      </c>
      <c r="AC463" s="372">
        <v>6377.1448981000003</v>
      </c>
      <c r="AD463" s="372">
        <v>6007.5783959</v>
      </c>
      <c r="AE463" s="372">
        <v>7414</v>
      </c>
      <c r="AF463" s="372">
        <v>0</v>
      </c>
      <c r="AG463" s="372">
        <v>0</v>
      </c>
      <c r="AH463" s="372">
        <v>0</v>
      </c>
    </row>
    <row r="464" spans="1:34">
      <c r="A464" s="372" t="s">
        <v>3754</v>
      </c>
      <c r="B464" s="373" t="s">
        <v>3755</v>
      </c>
      <c r="C464" s="372" t="s">
        <v>3756</v>
      </c>
      <c r="D464" s="374">
        <v>1101112577885</v>
      </c>
      <c r="E464" s="372" t="s">
        <v>3757</v>
      </c>
      <c r="F464" s="375" t="s">
        <v>3758</v>
      </c>
      <c r="G464" s="375" t="s">
        <v>3759</v>
      </c>
      <c r="H464" s="375" t="s">
        <v>1388</v>
      </c>
      <c r="I464" s="375" t="s">
        <v>869</v>
      </c>
      <c r="J464" s="375">
        <v>694025.81527999998</v>
      </c>
      <c r="K464" s="375">
        <v>13703.818450000001</v>
      </c>
      <c r="L464" s="375">
        <v>6830.8718399999998</v>
      </c>
      <c r="M464" s="375">
        <v>272425.52591999999</v>
      </c>
      <c r="N464" s="372">
        <v>1.6830000000000001</v>
      </c>
      <c r="O464" s="703">
        <v>46.502701575863526</v>
      </c>
      <c r="P464" s="375" t="s">
        <v>623</v>
      </c>
      <c r="Q464" s="375" t="s">
        <v>623</v>
      </c>
      <c r="R464" s="695">
        <v>20071001</v>
      </c>
      <c r="S464" s="375" t="s">
        <v>3760</v>
      </c>
      <c r="T464" s="696">
        <v>0.20900000000000002</v>
      </c>
      <c r="U464" s="375" t="s">
        <v>3761</v>
      </c>
      <c r="V464" s="722">
        <v>22.67</v>
      </c>
      <c r="W464" s="722">
        <v>2.0699999999999998</v>
      </c>
      <c r="X464" s="722">
        <v>0.79</v>
      </c>
      <c r="Y464" s="722" t="s">
        <v>774</v>
      </c>
      <c r="Z464" s="382" t="s">
        <v>934</v>
      </c>
      <c r="AA464" s="372">
        <v>4035.9887509</v>
      </c>
      <c r="AB464" s="372">
        <v>4582.4437789000003</v>
      </c>
      <c r="AC464" s="372">
        <v>4903.2766343000003</v>
      </c>
      <c r="AD464" s="372">
        <v>6940.2581528000001</v>
      </c>
      <c r="AE464" s="372">
        <v>0</v>
      </c>
      <c r="AF464" s="372">
        <v>0</v>
      </c>
      <c r="AG464" s="372">
        <v>0</v>
      </c>
      <c r="AH464" s="372">
        <v>0</v>
      </c>
    </row>
    <row r="465" spans="1:34">
      <c r="A465" s="372" t="s">
        <v>3762</v>
      </c>
      <c r="B465" s="373" t="s">
        <v>3763</v>
      </c>
      <c r="C465" s="372" t="s">
        <v>3764</v>
      </c>
      <c r="D465" s="374">
        <v>1243110008999</v>
      </c>
      <c r="E465" s="372" t="s">
        <v>3765</v>
      </c>
      <c r="F465" s="375" t="s">
        <v>1313</v>
      </c>
      <c r="G465" s="375" t="s">
        <v>1313</v>
      </c>
      <c r="H465" s="375" t="s">
        <v>832</v>
      </c>
      <c r="I465" s="375" t="s">
        <v>755</v>
      </c>
      <c r="J465" s="375">
        <v>8933057.02355</v>
      </c>
      <c r="K465" s="375">
        <v>442583.70805999998</v>
      </c>
      <c r="L465" s="375">
        <v>443838.30495000002</v>
      </c>
      <c r="M465" s="375">
        <v>3636315.4223099998</v>
      </c>
      <c r="N465" s="372">
        <v>1.0189999999999999</v>
      </c>
      <c r="O465" s="703">
        <v>449.36511421192921</v>
      </c>
      <c r="P465" s="375" t="s">
        <v>623</v>
      </c>
      <c r="Q465" s="375" t="s">
        <v>623</v>
      </c>
      <c r="R465" s="695">
        <v>19890825</v>
      </c>
      <c r="S465" s="375" t="s">
        <v>3766</v>
      </c>
      <c r="T465" s="696">
        <v>0.26400000000000001</v>
      </c>
      <c r="U465" s="372" t="s">
        <v>3767</v>
      </c>
      <c r="V465" s="722">
        <v>5.76</v>
      </c>
      <c r="W465" s="722">
        <v>0.51</v>
      </c>
      <c r="X465" s="722">
        <v>0.05</v>
      </c>
      <c r="Y465" s="722">
        <v>4.93</v>
      </c>
      <c r="Z465" s="382" t="s">
        <v>934</v>
      </c>
      <c r="AA465" s="372">
        <v>36863.503516299999</v>
      </c>
      <c r="AB465" s="372">
        <v>48266.183930500003</v>
      </c>
      <c r="AC465" s="372">
        <v>66073.550888500002</v>
      </c>
      <c r="AD465" s="372">
        <v>89330.570235499996</v>
      </c>
      <c r="AE465" s="372">
        <v>0</v>
      </c>
      <c r="AF465" s="372">
        <v>0</v>
      </c>
      <c r="AG465" s="372">
        <v>0</v>
      </c>
      <c r="AH465" s="372">
        <v>0</v>
      </c>
    </row>
    <row r="466" spans="1:34">
      <c r="A466" s="372" t="s">
        <v>3768</v>
      </c>
      <c r="B466" s="373" t="s">
        <v>3769</v>
      </c>
      <c r="C466" s="372" t="s">
        <v>3770</v>
      </c>
      <c r="D466" s="374">
        <v>1348110080937</v>
      </c>
      <c r="E466" s="372" t="s">
        <v>3771</v>
      </c>
      <c r="F466" s="375" t="s">
        <v>2450</v>
      </c>
      <c r="G466" s="375" t="s">
        <v>2451</v>
      </c>
      <c r="H466" s="375" t="s">
        <v>868</v>
      </c>
      <c r="I466" s="375" t="s">
        <v>869</v>
      </c>
      <c r="J466" s="375">
        <v>119948.03055</v>
      </c>
      <c r="K466" s="375">
        <v>-6314.9958500000002</v>
      </c>
      <c r="L466" s="375">
        <v>-8179.0810300000003</v>
      </c>
      <c r="M466" s="375">
        <v>112666.70230999999</v>
      </c>
      <c r="N466" s="372">
        <v>1.0740000000000001</v>
      </c>
      <c r="O466" s="703">
        <v>18.14384098319092</v>
      </c>
      <c r="P466" s="375" t="s">
        <v>623</v>
      </c>
      <c r="Q466" s="372" t="s">
        <v>623</v>
      </c>
      <c r="R466" s="695">
        <v>20201125</v>
      </c>
      <c r="S466" s="372" t="s">
        <v>3772</v>
      </c>
      <c r="T466" s="696" t="s">
        <v>772</v>
      </c>
      <c r="U466" s="375" t="s">
        <v>3773</v>
      </c>
      <c r="V466" s="722" t="s">
        <v>774</v>
      </c>
      <c r="W466" s="722">
        <v>4.96</v>
      </c>
      <c r="X466" s="722">
        <v>4.68</v>
      </c>
      <c r="Y466" s="722" t="s">
        <v>774</v>
      </c>
      <c r="Z466" s="382" t="s">
        <v>934</v>
      </c>
      <c r="AA466" s="372">
        <v>880.41749949999996</v>
      </c>
      <c r="AB466" s="372">
        <v>1130.0141308</v>
      </c>
      <c r="AC466" s="372">
        <v>1138.5799096000001</v>
      </c>
      <c r="AD466" s="372">
        <v>1199.4803055</v>
      </c>
      <c r="AE466" s="372">
        <v>1541</v>
      </c>
      <c r="AF466" s="372">
        <v>4884</v>
      </c>
      <c r="AG466" s="372">
        <v>0</v>
      </c>
      <c r="AH466" s="372">
        <v>0</v>
      </c>
    </row>
    <row r="467" spans="1:34">
      <c r="A467" s="372" t="s">
        <v>3774</v>
      </c>
      <c r="B467" s="373" t="s">
        <v>3775</v>
      </c>
      <c r="C467" s="372" t="s">
        <v>3776</v>
      </c>
      <c r="D467" s="374">
        <v>1101111799513</v>
      </c>
      <c r="E467" s="372" t="s">
        <v>3777</v>
      </c>
      <c r="F467" s="372" t="s">
        <v>1673</v>
      </c>
      <c r="G467" s="375" t="s">
        <v>1673</v>
      </c>
      <c r="H467" s="375" t="s">
        <v>1388</v>
      </c>
      <c r="I467" s="375" t="s">
        <v>869</v>
      </c>
      <c r="J467" s="375">
        <v>191094.71818</v>
      </c>
      <c r="K467" s="375">
        <v>16777.00145</v>
      </c>
      <c r="L467" s="375">
        <v>64656.421739999998</v>
      </c>
      <c r="M467" s="375">
        <v>246197.06065</v>
      </c>
      <c r="N467" s="372">
        <v>1.143</v>
      </c>
      <c r="O467" s="703">
        <v>21.741239074442746</v>
      </c>
      <c r="P467" s="375" t="s">
        <v>623</v>
      </c>
      <c r="Q467" s="375" t="s">
        <v>623</v>
      </c>
      <c r="R467" s="695">
        <v>20041208</v>
      </c>
      <c r="S467" s="375" t="s">
        <v>3778</v>
      </c>
      <c r="T467" s="696">
        <v>0.23100000000000001</v>
      </c>
      <c r="U467" s="372" t="s">
        <v>3779</v>
      </c>
      <c r="V467" s="722">
        <v>17.420000000000002</v>
      </c>
      <c r="W467" s="722">
        <v>2.0099999999999998</v>
      </c>
      <c r="X467" s="722">
        <v>2.64</v>
      </c>
      <c r="Y467" s="722">
        <v>8.0500000000000007</v>
      </c>
      <c r="Z467" s="382">
        <v>9.3072380136330901E-2</v>
      </c>
      <c r="AA467" s="372">
        <v>1007.2189466999999</v>
      </c>
      <c r="AB467" s="372">
        <v>1364.1249851</v>
      </c>
      <c r="AC467" s="372">
        <v>1504.0431177999999</v>
      </c>
      <c r="AD467" s="372">
        <v>1910.9471818</v>
      </c>
      <c r="AE467" s="372">
        <v>2180.83</v>
      </c>
      <c r="AF467" s="372">
        <v>2565</v>
      </c>
      <c r="AG467" s="372">
        <v>2728</v>
      </c>
      <c r="AH467" s="372">
        <v>0</v>
      </c>
    </row>
    <row r="468" spans="1:34">
      <c r="A468" s="372" t="s">
        <v>3780</v>
      </c>
      <c r="B468" s="373" t="s">
        <v>3781</v>
      </c>
      <c r="C468" s="372" t="s">
        <v>3782</v>
      </c>
      <c r="D468" s="374">
        <v>1545110016091</v>
      </c>
      <c r="E468" s="372" t="s">
        <v>3783</v>
      </c>
      <c r="F468" s="372" t="s">
        <v>1104</v>
      </c>
      <c r="G468" s="375" t="s">
        <v>1105</v>
      </c>
      <c r="H468" s="375" t="s">
        <v>868</v>
      </c>
      <c r="I468" s="375" t="s">
        <v>869</v>
      </c>
      <c r="J468" s="375">
        <v>470719.11128999997</v>
      </c>
      <c r="K468" s="375">
        <v>49154.075510000002</v>
      </c>
      <c r="L468" s="375">
        <v>46102.043189999997</v>
      </c>
      <c r="M468" s="375">
        <v>242169.74158</v>
      </c>
      <c r="N468" s="372">
        <v>0.85499999999999998</v>
      </c>
      <c r="O468" s="703">
        <v>28.555609811893618</v>
      </c>
      <c r="P468" s="375" t="s">
        <v>623</v>
      </c>
      <c r="Q468" s="375" t="s">
        <v>623</v>
      </c>
      <c r="R468" s="695">
        <v>20161028</v>
      </c>
      <c r="S468" s="375" t="s">
        <v>3784</v>
      </c>
      <c r="T468" s="696">
        <v>0.23100000000000001</v>
      </c>
      <c r="U468" s="375" t="s">
        <v>3785</v>
      </c>
      <c r="V468" s="722">
        <v>8.0299999999999994</v>
      </c>
      <c r="W468" s="722">
        <v>2.29</v>
      </c>
      <c r="X468" s="722">
        <v>0.82</v>
      </c>
      <c r="Y468" s="722">
        <v>17.37</v>
      </c>
      <c r="Z468" s="382">
        <v>9.6056487962874249E-2</v>
      </c>
      <c r="AA468" s="372">
        <v>3390.5573390999998</v>
      </c>
      <c r="AB468" s="372">
        <v>3964.6578580999999</v>
      </c>
      <c r="AC468" s="372">
        <v>3993.9923789999998</v>
      </c>
      <c r="AD468" s="372">
        <v>4707.1911129</v>
      </c>
      <c r="AE468" s="372">
        <v>5437.78</v>
      </c>
      <c r="AF468" s="372">
        <v>6076.75</v>
      </c>
      <c r="AG468" s="372">
        <v>6793.5</v>
      </c>
      <c r="AH468" s="372">
        <v>0</v>
      </c>
    </row>
    <row r="469" spans="1:34">
      <c r="A469" s="372" t="s">
        <v>3786</v>
      </c>
      <c r="B469" s="373" t="s">
        <v>3787</v>
      </c>
      <c r="C469" s="372" t="s">
        <v>3788</v>
      </c>
      <c r="D469" s="374">
        <v>1101113487546</v>
      </c>
      <c r="E469" s="372" t="s">
        <v>3789</v>
      </c>
      <c r="F469" s="375" t="s">
        <v>1673</v>
      </c>
      <c r="G469" s="375" t="s">
        <v>1673</v>
      </c>
      <c r="H469" s="375" t="s">
        <v>1388</v>
      </c>
      <c r="I469" s="375" t="s">
        <v>869</v>
      </c>
      <c r="J469" s="375">
        <v>111486.61309</v>
      </c>
      <c r="K469" s="375">
        <v>25107.570800000001</v>
      </c>
      <c r="L469" s="375">
        <v>31426.329030000001</v>
      </c>
      <c r="M469" s="375">
        <v>60711.54724</v>
      </c>
      <c r="N469" s="372">
        <v>0.53200000000000003</v>
      </c>
      <c r="O469" s="703">
        <v>2.2317547509894804</v>
      </c>
      <c r="P469" s="375" t="s">
        <v>623</v>
      </c>
      <c r="Q469" s="375" t="s">
        <v>623</v>
      </c>
      <c r="R469" s="695">
        <v>20150630</v>
      </c>
      <c r="S469" s="375" t="s">
        <v>3790</v>
      </c>
      <c r="T469" s="696">
        <v>0.23100000000000001</v>
      </c>
      <c r="U469" s="375" t="s">
        <v>3791</v>
      </c>
      <c r="V469" s="722">
        <v>0</v>
      </c>
      <c r="W469" s="722">
        <v>6.54</v>
      </c>
      <c r="X469" s="722">
        <v>0</v>
      </c>
      <c r="Y469" s="722">
        <v>0</v>
      </c>
      <c r="Z469" s="382" t="s">
        <v>934</v>
      </c>
      <c r="AA469" s="372">
        <v>707.19105590000004</v>
      </c>
      <c r="AB469" s="372">
        <v>506.61220730000002</v>
      </c>
      <c r="AC469" s="372">
        <v>501.38173069999999</v>
      </c>
      <c r="AD469" s="372">
        <v>1114.8661308999999</v>
      </c>
      <c r="AE469" s="372">
        <v>0</v>
      </c>
      <c r="AF469" s="372">
        <v>0</v>
      </c>
      <c r="AG469" s="372">
        <v>0</v>
      </c>
      <c r="AH469" s="372">
        <v>0</v>
      </c>
    </row>
    <row r="470" spans="1:34">
      <c r="A470" s="372" t="s">
        <v>3792</v>
      </c>
      <c r="B470" s="373" t="s">
        <v>3793</v>
      </c>
      <c r="C470" s="372" t="s">
        <v>3794</v>
      </c>
      <c r="D470" s="374">
        <v>1101111459191</v>
      </c>
      <c r="E470" s="372" t="s">
        <v>3795</v>
      </c>
      <c r="F470" s="375" t="s">
        <v>1774</v>
      </c>
      <c r="G470" s="375" t="s">
        <v>1775</v>
      </c>
      <c r="H470" s="375" t="s">
        <v>1388</v>
      </c>
      <c r="I470" s="375" t="s">
        <v>869</v>
      </c>
      <c r="J470" s="375">
        <v>773181.12402999995</v>
      </c>
      <c r="K470" s="375">
        <v>15579.85375</v>
      </c>
      <c r="L470" s="375">
        <v>18597.97309</v>
      </c>
      <c r="M470" s="375">
        <v>193173.35595</v>
      </c>
      <c r="N470" s="372">
        <v>0.74</v>
      </c>
      <c r="O470" s="703">
        <v>20.848950700580943</v>
      </c>
      <c r="P470" s="375" t="s">
        <v>623</v>
      </c>
      <c r="Q470" s="375" t="s">
        <v>623</v>
      </c>
      <c r="R470" s="695">
        <v>20030723</v>
      </c>
      <c r="S470" s="375" t="s">
        <v>3796</v>
      </c>
      <c r="T470" s="696">
        <v>0.20900000000000002</v>
      </c>
      <c r="U470" s="372" t="s">
        <v>3797</v>
      </c>
      <c r="V470" s="722">
        <v>6.09</v>
      </c>
      <c r="W470" s="722">
        <v>1.25</v>
      </c>
      <c r="X470" s="722">
        <v>0.31</v>
      </c>
      <c r="Y470" s="722">
        <v>14.48</v>
      </c>
      <c r="Z470" s="382" t="s">
        <v>934</v>
      </c>
      <c r="AA470" s="372">
        <v>9272.3598359000007</v>
      </c>
      <c r="AB470" s="372">
        <v>9083.2400990999995</v>
      </c>
      <c r="AC470" s="372">
        <v>7438.7328883999999</v>
      </c>
      <c r="AD470" s="372">
        <v>7731.8112402999996</v>
      </c>
      <c r="AE470" s="372">
        <v>7360</v>
      </c>
      <c r="AF470" s="372">
        <v>7510</v>
      </c>
      <c r="AG470" s="372">
        <v>0</v>
      </c>
      <c r="AH470" s="372">
        <v>0</v>
      </c>
    </row>
    <row r="471" spans="1:34">
      <c r="A471" s="372" t="s">
        <v>3798</v>
      </c>
      <c r="B471" s="373" t="s">
        <v>3799</v>
      </c>
      <c r="C471" s="372" t="s">
        <v>3800</v>
      </c>
      <c r="D471" s="374">
        <v>1101110030710</v>
      </c>
      <c r="E471" s="372" t="s">
        <v>3801</v>
      </c>
      <c r="F471" s="375" t="s">
        <v>2649</v>
      </c>
      <c r="G471" s="375" t="s">
        <v>2650</v>
      </c>
      <c r="H471" s="375" t="s">
        <v>823</v>
      </c>
      <c r="I471" s="375" t="s">
        <v>755</v>
      </c>
      <c r="J471" s="375">
        <v>2115887.3231600001</v>
      </c>
      <c r="K471" s="375">
        <v>240394.99492999999</v>
      </c>
      <c r="L471" s="375">
        <v>219891.80757999999</v>
      </c>
      <c r="M471" s="375">
        <v>1980095.0783500001</v>
      </c>
      <c r="N471" s="372">
        <v>0.74</v>
      </c>
      <c r="O471" s="703">
        <v>188.57611465187705</v>
      </c>
      <c r="P471" s="375" t="s">
        <v>623</v>
      </c>
      <c r="Q471" s="372" t="s">
        <v>623</v>
      </c>
      <c r="R471" s="695">
        <v>19740603</v>
      </c>
      <c r="S471" s="372" t="s">
        <v>3802</v>
      </c>
      <c r="T471" s="696">
        <v>0.23100000000000001</v>
      </c>
      <c r="U471" s="372" t="s">
        <v>3803</v>
      </c>
      <c r="V471" s="722">
        <v>4.6500000000000004</v>
      </c>
      <c r="W471" s="722">
        <v>0.36</v>
      </c>
      <c r="X471" s="722">
        <v>0.19</v>
      </c>
      <c r="Y471" s="722">
        <v>4.33</v>
      </c>
      <c r="Z471" s="382" t="s">
        <v>934</v>
      </c>
      <c r="AA471" s="372">
        <v>15271.4114961</v>
      </c>
      <c r="AB471" s="372">
        <v>18465.037395300002</v>
      </c>
      <c r="AC471" s="372">
        <v>20723.005896400002</v>
      </c>
      <c r="AD471" s="372">
        <v>21158.873231599999</v>
      </c>
      <c r="AE471" s="372">
        <v>0</v>
      </c>
      <c r="AF471" s="372">
        <v>0</v>
      </c>
      <c r="AG471" s="372">
        <v>0</v>
      </c>
      <c r="AH471" s="372">
        <v>0</v>
      </c>
    </row>
    <row r="472" spans="1:34">
      <c r="A472" s="372" t="s">
        <v>3804</v>
      </c>
      <c r="B472" s="373" t="s">
        <v>3805</v>
      </c>
      <c r="C472" s="372" t="s">
        <v>3806</v>
      </c>
      <c r="D472" s="374">
        <v>1101112785355</v>
      </c>
      <c r="E472" s="372" t="s">
        <v>3807</v>
      </c>
      <c r="F472" s="375" t="s">
        <v>786</v>
      </c>
      <c r="G472" s="375" t="s">
        <v>786</v>
      </c>
      <c r="H472" s="375" t="s">
        <v>868</v>
      </c>
      <c r="I472" s="375" t="s">
        <v>869</v>
      </c>
      <c r="J472" s="375">
        <v>65042.901059999997</v>
      </c>
      <c r="K472" s="375">
        <v>28025.617249999999</v>
      </c>
      <c r="L472" s="375">
        <v>32740.376339999999</v>
      </c>
      <c r="M472" s="375">
        <v>138061.39658999999</v>
      </c>
      <c r="N472" s="372">
        <v>0.82899999999999996</v>
      </c>
      <c r="O472" s="703">
        <v>2.5142638857248172</v>
      </c>
      <c r="P472" s="375" t="s">
        <v>623</v>
      </c>
      <c r="Q472" s="375" t="s">
        <v>623</v>
      </c>
      <c r="R472" s="695">
        <v>20210927</v>
      </c>
      <c r="S472" s="375" t="s">
        <v>3808</v>
      </c>
      <c r="T472" s="696">
        <v>0.23100000000000001</v>
      </c>
      <c r="U472" s="375" t="s">
        <v>16009</v>
      </c>
      <c r="V472" s="722">
        <v>13.38</v>
      </c>
      <c r="W472" s="722">
        <v>3.14</v>
      </c>
      <c r="X472" s="722">
        <v>6.41</v>
      </c>
      <c r="Y472" s="722">
        <v>16.3</v>
      </c>
      <c r="Z472" s="382" t="s">
        <v>934</v>
      </c>
      <c r="AA472" s="372">
        <v>243.6660086</v>
      </c>
      <c r="AB472" s="372">
        <v>374.18198210000003</v>
      </c>
      <c r="AC472" s="372">
        <v>567.18818550000003</v>
      </c>
      <c r="AD472" s="372">
        <v>650.42901059999997</v>
      </c>
      <c r="AE472" s="372">
        <v>845</v>
      </c>
      <c r="AF472" s="372">
        <v>1320</v>
      </c>
      <c r="AG472" s="372">
        <v>0</v>
      </c>
      <c r="AH472" s="372">
        <v>0</v>
      </c>
    </row>
    <row r="473" spans="1:34">
      <c r="A473" s="372" t="s">
        <v>3809</v>
      </c>
      <c r="B473" s="373" t="s">
        <v>3810</v>
      </c>
      <c r="C473" s="372" t="s">
        <v>3811</v>
      </c>
      <c r="D473" s="374">
        <v>1101110381387</v>
      </c>
      <c r="E473" s="372" t="s">
        <v>3812</v>
      </c>
      <c r="F473" s="375" t="s">
        <v>2063</v>
      </c>
      <c r="G473" s="375" t="s">
        <v>2064</v>
      </c>
      <c r="H473" s="375" t="s">
        <v>853</v>
      </c>
      <c r="I473" s="375" t="s">
        <v>755</v>
      </c>
      <c r="J473" s="375">
        <v>7827737.0665199999</v>
      </c>
      <c r="K473" s="375">
        <v>93175.065860000002</v>
      </c>
      <c r="L473" s="375">
        <v>282914.79194000002</v>
      </c>
      <c r="M473" s="375">
        <v>1698150.4699200001</v>
      </c>
      <c r="N473" s="372">
        <v>0.75800000000000001</v>
      </c>
      <c r="O473" s="703">
        <v>502.19994738517562</v>
      </c>
      <c r="P473" s="375" t="s">
        <v>623</v>
      </c>
      <c r="Q473" s="375" t="s">
        <v>623</v>
      </c>
      <c r="R473" s="695">
        <v>19970827</v>
      </c>
      <c r="S473" s="375" t="s">
        <v>3813</v>
      </c>
      <c r="T473" s="696">
        <v>0.23100000000000001</v>
      </c>
      <c r="U473" s="372" t="s">
        <v>3814</v>
      </c>
      <c r="V473" s="722">
        <v>9.4</v>
      </c>
      <c r="W473" s="722">
        <v>0.26</v>
      </c>
      <c r="X473" s="722">
        <v>0.05</v>
      </c>
      <c r="Y473" s="722">
        <v>2</v>
      </c>
      <c r="Z473" s="382">
        <v>3.3640321281424024E-2</v>
      </c>
      <c r="AA473" s="372">
        <v>39275.542366200003</v>
      </c>
      <c r="AB473" s="372">
        <v>51523.008974700002</v>
      </c>
      <c r="AC473" s="372">
        <v>79907.6789766</v>
      </c>
      <c r="AD473" s="372">
        <v>78277.370665199996</v>
      </c>
      <c r="AE473" s="372">
        <v>79571</v>
      </c>
      <c r="AF473" s="372">
        <v>84966</v>
      </c>
      <c r="AG473" s="372">
        <v>89354</v>
      </c>
      <c r="AH473" s="372">
        <v>0</v>
      </c>
    </row>
    <row r="474" spans="1:34">
      <c r="A474" s="372" t="s">
        <v>3815</v>
      </c>
      <c r="B474" s="373" t="s">
        <v>3816</v>
      </c>
      <c r="C474" s="372" t="s">
        <v>3817</v>
      </c>
      <c r="D474" s="374">
        <v>1311110446029</v>
      </c>
      <c r="E474" s="372" t="s">
        <v>3818</v>
      </c>
      <c r="F474" s="372" t="s">
        <v>1334</v>
      </c>
      <c r="G474" s="375" t="s">
        <v>1334</v>
      </c>
      <c r="H474" s="375" t="s">
        <v>868</v>
      </c>
      <c r="I474" s="375" t="s">
        <v>869</v>
      </c>
      <c r="J474" s="375">
        <v>552006.50225999998</v>
      </c>
      <c r="K474" s="375">
        <v>56002.319210000001</v>
      </c>
      <c r="L474" s="375">
        <v>63110.009870000002</v>
      </c>
      <c r="M474" s="375">
        <v>330412.26117000001</v>
      </c>
      <c r="N474" s="372">
        <v>0.68799999999999994</v>
      </c>
      <c r="O474" s="703">
        <v>30.419622861372591</v>
      </c>
      <c r="P474" s="375" t="s">
        <v>623</v>
      </c>
      <c r="Q474" s="375" t="s">
        <v>623</v>
      </c>
      <c r="R474" s="695">
        <v>20160603</v>
      </c>
      <c r="S474" s="375" t="s">
        <v>3819</v>
      </c>
      <c r="T474" s="696">
        <v>0.23100000000000001</v>
      </c>
      <c r="U474" s="375" t="s">
        <v>3820</v>
      </c>
      <c r="V474" s="722">
        <v>6.85</v>
      </c>
      <c r="W474" s="722">
        <v>1.38</v>
      </c>
      <c r="X474" s="722">
        <v>0.83</v>
      </c>
      <c r="Y474" s="722">
        <v>9.11</v>
      </c>
      <c r="Z474" s="382">
        <v>7.8775997178317514E-2</v>
      </c>
      <c r="AA474" s="372">
        <v>4066.7788096999998</v>
      </c>
      <c r="AB474" s="372">
        <v>4369.1138891999999</v>
      </c>
      <c r="AC474" s="372">
        <v>4923.8681076000003</v>
      </c>
      <c r="AD474" s="372">
        <v>5520.0650225999998</v>
      </c>
      <c r="AE474" s="372">
        <v>6286</v>
      </c>
      <c r="AF474" s="372">
        <v>6947.2</v>
      </c>
      <c r="AG474" s="372">
        <v>7476</v>
      </c>
      <c r="AH474" s="372">
        <v>0</v>
      </c>
    </row>
    <row r="475" spans="1:34">
      <c r="A475" s="372" t="s">
        <v>3821</v>
      </c>
      <c r="B475" s="373" t="s">
        <v>3822</v>
      </c>
      <c r="C475" s="372" t="s">
        <v>3823</v>
      </c>
      <c r="D475" s="374">
        <v>1342110002769</v>
      </c>
      <c r="E475" s="372" t="s">
        <v>3824</v>
      </c>
      <c r="F475" s="375" t="s">
        <v>1334</v>
      </c>
      <c r="G475" s="375" t="s">
        <v>1334</v>
      </c>
      <c r="H475" s="375" t="s">
        <v>788</v>
      </c>
      <c r="I475" s="375" t="s">
        <v>755</v>
      </c>
      <c r="J475" s="375">
        <v>278943.29681000003</v>
      </c>
      <c r="K475" s="375">
        <v>54949.693220000001</v>
      </c>
      <c r="L475" s="375">
        <v>60083.633950000003</v>
      </c>
      <c r="M475" s="375">
        <v>378681.04424000002</v>
      </c>
      <c r="N475" s="372">
        <v>0.872</v>
      </c>
      <c r="O475" s="703">
        <v>11.101416117496397</v>
      </c>
      <c r="P475" s="375" t="s">
        <v>623</v>
      </c>
      <c r="Q475" s="372" t="s">
        <v>623</v>
      </c>
      <c r="R475" s="695">
        <v>19991109</v>
      </c>
      <c r="S475" s="375" t="s">
        <v>3825</v>
      </c>
      <c r="T475" s="696">
        <v>0.23100000000000001</v>
      </c>
      <c r="U475" s="375" t="s">
        <v>3826</v>
      </c>
      <c r="V475" s="722">
        <v>0</v>
      </c>
      <c r="W475" s="722">
        <v>1.08</v>
      </c>
      <c r="X475" s="722">
        <v>0</v>
      </c>
      <c r="Y475" s="722">
        <v>0</v>
      </c>
      <c r="Z475" s="382" t="s">
        <v>934</v>
      </c>
      <c r="AA475" s="372">
        <v>2159.4955264999999</v>
      </c>
      <c r="AB475" s="372">
        <v>2210.3996290999999</v>
      </c>
      <c r="AC475" s="372">
        <v>2625.2202255000002</v>
      </c>
      <c r="AD475" s="372">
        <v>2789.4329680999999</v>
      </c>
      <c r="AE475" s="372">
        <v>0</v>
      </c>
      <c r="AF475" s="372">
        <v>0</v>
      </c>
      <c r="AG475" s="372">
        <v>0</v>
      </c>
      <c r="AH475" s="372">
        <v>0</v>
      </c>
    </row>
    <row r="476" spans="1:34">
      <c r="A476" s="372" t="s">
        <v>3827</v>
      </c>
      <c r="B476" s="373" t="s">
        <v>3828</v>
      </c>
      <c r="C476" s="372" t="s">
        <v>3829</v>
      </c>
      <c r="D476" s="374">
        <v>1101110041634</v>
      </c>
      <c r="E476" s="372" t="s">
        <v>3830</v>
      </c>
      <c r="F476" s="375" t="s">
        <v>1395</v>
      </c>
      <c r="G476" s="375" t="s">
        <v>1396</v>
      </c>
      <c r="H476" s="375" t="s">
        <v>1397</v>
      </c>
      <c r="I476" s="375" t="s">
        <v>755</v>
      </c>
      <c r="J476" s="375">
        <v>574975.68706999999</v>
      </c>
      <c r="K476" s="375">
        <v>-78151.994179999994</v>
      </c>
      <c r="L476" s="375">
        <v>-110240.54242</v>
      </c>
      <c r="M476" s="375">
        <v>102127.65342</v>
      </c>
      <c r="N476" s="372">
        <v>0.86699999999999999</v>
      </c>
      <c r="O476" s="703">
        <v>63.399243833158302</v>
      </c>
      <c r="P476" s="375" t="s">
        <v>623</v>
      </c>
      <c r="Q476" s="375" t="s">
        <v>623</v>
      </c>
      <c r="R476" s="695">
        <v>19760626</v>
      </c>
      <c r="S476" s="375" t="s">
        <v>3831</v>
      </c>
      <c r="T476" s="696" t="s">
        <v>772</v>
      </c>
      <c r="U476" s="372" t="s">
        <v>3832</v>
      </c>
      <c r="V476" s="722" t="s">
        <v>774</v>
      </c>
      <c r="W476" s="722">
        <v>4.45</v>
      </c>
      <c r="X476" s="722">
        <v>0.8</v>
      </c>
      <c r="Y476" s="722" t="s">
        <v>774</v>
      </c>
      <c r="Z476" s="382" t="s">
        <v>934</v>
      </c>
      <c r="AA476" s="372">
        <v>3793.6224562000002</v>
      </c>
      <c r="AB476" s="372">
        <v>3570.4793960000002</v>
      </c>
      <c r="AC476" s="372">
        <v>4362.9250872000002</v>
      </c>
      <c r="AD476" s="372">
        <v>5749.7568707</v>
      </c>
      <c r="AE476" s="372">
        <v>0</v>
      </c>
      <c r="AF476" s="372">
        <v>0</v>
      </c>
      <c r="AG476" s="372">
        <v>0</v>
      </c>
      <c r="AH476" s="372">
        <v>0</v>
      </c>
    </row>
    <row r="477" spans="1:34">
      <c r="A477" s="372" t="s">
        <v>3833</v>
      </c>
      <c r="B477" s="373" t="s">
        <v>3834</v>
      </c>
      <c r="C477" s="372" t="s">
        <v>3835</v>
      </c>
      <c r="D477" s="374">
        <v>1101115527168</v>
      </c>
      <c r="E477" s="372" t="s">
        <v>3836</v>
      </c>
      <c r="F477" s="375" t="s">
        <v>1062</v>
      </c>
      <c r="G477" s="375" t="s">
        <v>1062</v>
      </c>
      <c r="H477" s="375" t="s">
        <v>868</v>
      </c>
      <c r="I477" s="375" t="s">
        <v>869</v>
      </c>
      <c r="J477" s="375">
        <v>134219.23967000001</v>
      </c>
      <c r="K477" s="375">
        <v>28476.96917</v>
      </c>
      <c r="L477" s="375">
        <v>31567.222880000001</v>
      </c>
      <c r="M477" s="375">
        <v>197416.53224999999</v>
      </c>
      <c r="N477" s="372">
        <v>1.1359999999999999</v>
      </c>
      <c r="O477" s="703">
        <v>3.0253869364380717</v>
      </c>
      <c r="P477" s="375" t="s">
        <v>623</v>
      </c>
      <c r="Q477" s="375" t="s">
        <v>623</v>
      </c>
      <c r="R477" s="695">
        <v>20141229</v>
      </c>
      <c r="S477" s="375" t="s">
        <v>3837</v>
      </c>
      <c r="T477" s="696">
        <v>0.23100000000000001</v>
      </c>
      <c r="U477" s="375" t="s">
        <v>3838</v>
      </c>
      <c r="V477" s="722">
        <v>13.42</v>
      </c>
      <c r="W477" s="722">
        <v>2.3199999999999998</v>
      </c>
      <c r="X477" s="722">
        <v>3.59</v>
      </c>
      <c r="Y477" s="722">
        <v>18.559999999999999</v>
      </c>
      <c r="Z477" s="382" t="s">
        <v>934</v>
      </c>
      <c r="AA477" s="372">
        <v>1441.3104185</v>
      </c>
      <c r="AB477" s="372">
        <v>1577.0796035000001</v>
      </c>
      <c r="AC477" s="372">
        <v>1180.7684253</v>
      </c>
      <c r="AD477" s="372">
        <v>1342.1923967</v>
      </c>
      <c r="AE477" s="372">
        <v>1524.5</v>
      </c>
      <c r="AF477" s="372">
        <v>1739</v>
      </c>
      <c r="AG477" s="372">
        <v>0</v>
      </c>
      <c r="AH477" s="372">
        <v>0</v>
      </c>
    </row>
    <row r="478" spans="1:34">
      <c r="A478" s="372" t="s">
        <v>3839</v>
      </c>
      <c r="B478" s="373" t="s">
        <v>3840</v>
      </c>
      <c r="C478" s="372" t="s">
        <v>3841</v>
      </c>
      <c r="D478" s="374">
        <v>1501110198453</v>
      </c>
      <c r="E478" s="372" t="s">
        <v>3842</v>
      </c>
      <c r="F478" s="375" t="s">
        <v>1614</v>
      </c>
      <c r="G478" s="375" t="s">
        <v>3843</v>
      </c>
      <c r="H478" s="375" t="s">
        <v>1388</v>
      </c>
      <c r="I478" s="375" t="s">
        <v>869</v>
      </c>
      <c r="J478" s="375">
        <v>200782.97239000001</v>
      </c>
      <c r="K478" s="375">
        <v>21119.64185</v>
      </c>
      <c r="L478" s="375">
        <v>26295.826799999999</v>
      </c>
      <c r="M478" s="375">
        <v>266556.58792999998</v>
      </c>
      <c r="N478" s="372" t="s">
        <v>1033</v>
      </c>
      <c r="O478" s="703">
        <v>17.046244989400446</v>
      </c>
      <c r="P478" s="375" t="s">
        <v>623</v>
      </c>
      <c r="Q478" s="375" t="s">
        <v>623</v>
      </c>
      <c r="R478" s="695">
        <v>20230119</v>
      </c>
      <c r="S478" s="375" t="s">
        <v>3844</v>
      </c>
      <c r="T478" s="696">
        <v>0.23100000000000001</v>
      </c>
      <c r="U478" s="372" t="s">
        <v>3845</v>
      </c>
      <c r="V478" s="722">
        <v>22.89</v>
      </c>
      <c r="W478" s="722">
        <v>3.11</v>
      </c>
      <c r="X478" s="722">
        <v>2.71</v>
      </c>
      <c r="Y478" s="722">
        <v>24.01</v>
      </c>
      <c r="Z478" s="382" t="s">
        <v>934</v>
      </c>
      <c r="AA478" s="372">
        <v>683.55735749999997</v>
      </c>
      <c r="AB478" s="372">
        <v>902.09839369999997</v>
      </c>
      <c r="AC478" s="372">
        <v>3517.4013083999998</v>
      </c>
      <c r="AD478" s="372">
        <v>2007.8297239000001</v>
      </c>
      <c r="AE478" s="372">
        <v>3609.5</v>
      </c>
      <c r="AF478" s="372">
        <v>4120</v>
      </c>
      <c r="AG478" s="372">
        <v>0</v>
      </c>
      <c r="AH478" s="372">
        <v>0</v>
      </c>
    </row>
    <row r="479" spans="1:34">
      <c r="A479" s="372" t="s">
        <v>3846</v>
      </c>
      <c r="B479" s="373" t="s">
        <v>3847</v>
      </c>
      <c r="C479" s="372" t="s">
        <v>3848</v>
      </c>
      <c r="D479" s="374">
        <v>1348110319279</v>
      </c>
      <c r="E479" s="372" t="s">
        <v>3849</v>
      </c>
      <c r="F479" s="375" t="s">
        <v>1381</v>
      </c>
      <c r="G479" s="375" t="s">
        <v>1381</v>
      </c>
      <c r="H479" s="375" t="s">
        <v>1693</v>
      </c>
      <c r="I479" s="375" t="s">
        <v>869</v>
      </c>
      <c r="J479" s="375">
        <v>13275.89208</v>
      </c>
      <c r="K479" s="375">
        <v>-15675.80611</v>
      </c>
      <c r="L479" s="375">
        <v>-15626.719880000001</v>
      </c>
      <c r="M479" s="375">
        <v>5019.3685500000001</v>
      </c>
      <c r="N479" s="372">
        <v>1.62</v>
      </c>
      <c r="O479" s="703">
        <v>2.7835070520248975</v>
      </c>
      <c r="P479" s="375" t="s">
        <v>623</v>
      </c>
      <c r="Q479" s="375" t="s">
        <v>623</v>
      </c>
      <c r="R479" s="695">
        <v>20210226</v>
      </c>
      <c r="S479" s="375" t="s">
        <v>3850</v>
      </c>
      <c r="T479" s="696" t="s">
        <v>772</v>
      </c>
      <c r="U479" s="375" t="s">
        <v>3851</v>
      </c>
      <c r="V479" s="722" t="s">
        <v>774</v>
      </c>
      <c r="W479" s="722">
        <v>115.96</v>
      </c>
      <c r="X479" s="722">
        <v>43.76</v>
      </c>
      <c r="Y479" s="722" t="s">
        <v>774</v>
      </c>
      <c r="Z479" s="382">
        <v>0.45316355840072453</v>
      </c>
      <c r="AA479" s="372">
        <v>12.5721873</v>
      </c>
      <c r="AB479" s="372">
        <v>22.478799299999999</v>
      </c>
      <c r="AC479" s="372">
        <v>82.745305700000003</v>
      </c>
      <c r="AD479" s="372">
        <v>132.7589208</v>
      </c>
      <c r="AE479" s="372">
        <v>279.5</v>
      </c>
      <c r="AF479" s="372">
        <v>406.25</v>
      </c>
      <c r="AG479" s="372">
        <v>592</v>
      </c>
      <c r="AH479" s="372">
        <v>0</v>
      </c>
    </row>
    <row r="480" spans="1:34">
      <c r="A480" s="372" t="s">
        <v>3852</v>
      </c>
      <c r="B480" s="373" t="s">
        <v>3853</v>
      </c>
      <c r="C480" s="372" t="s">
        <v>3854</v>
      </c>
      <c r="D480" s="374">
        <v>1101115238096</v>
      </c>
      <c r="E480" s="372" t="s">
        <v>3855</v>
      </c>
      <c r="F480" s="375" t="s">
        <v>1479</v>
      </c>
      <c r="G480" s="375" t="s">
        <v>1480</v>
      </c>
      <c r="H480" s="375" t="s">
        <v>1481</v>
      </c>
      <c r="I480" s="375" t="s">
        <v>755</v>
      </c>
      <c r="J480" s="375">
        <v>1200454.90949</v>
      </c>
      <c r="K480" s="375">
        <v>146886.63078000001</v>
      </c>
      <c r="L480" s="375">
        <v>112633.29395000001</v>
      </c>
      <c r="M480" s="375">
        <v>1049123.493</v>
      </c>
      <c r="N480" s="372">
        <v>0.98299999999999998</v>
      </c>
      <c r="O480" s="703">
        <v>179.52793307768061</v>
      </c>
      <c r="P480" s="375" t="s">
        <v>623</v>
      </c>
      <c r="Q480" s="372" t="s">
        <v>623</v>
      </c>
      <c r="R480" s="695">
        <v>20131106</v>
      </c>
      <c r="S480" s="375" t="s">
        <v>3856</v>
      </c>
      <c r="T480" s="696">
        <v>0.23100000000000001</v>
      </c>
      <c r="U480" s="375" t="s">
        <v>3857</v>
      </c>
      <c r="V480" s="722">
        <v>4.29</v>
      </c>
      <c r="W480" s="722">
        <v>0.39</v>
      </c>
      <c r="X480" s="722">
        <v>0.34</v>
      </c>
      <c r="Y480" s="722">
        <v>4.5599999999999996</v>
      </c>
      <c r="Z480" s="382" t="s">
        <v>934</v>
      </c>
      <c r="AA480" s="372">
        <v>7875.4739554999996</v>
      </c>
      <c r="AB480" s="372">
        <v>8925.6941709000002</v>
      </c>
      <c r="AC480" s="372">
        <v>10401.459061400001</v>
      </c>
      <c r="AD480" s="372">
        <v>12004.5490949</v>
      </c>
      <c r="AE480" s="372">
        <v>12102.05</v>
      </c>
      <c r="AF480" s="372">
        <v>12582</v>
      </c>
      <c r="AG480" s="372">
        <v>0</v>
      </c>
      <c r="AH480" s="372">
        <v>0</v>
      </c>
    </row>
    <row r="481" spans="1:34">
      <c r="A481" s="372" t="s">
        <v>3858</v>
      </c>
      <c r="B481" s="373" t="s">
        <v>3859</v>
      </c>
      <c r="C481" s="372" t="s">
        <v>3860</v>
      </c>
      <c r="D481" s="374">
        <v>1101110092976</v>
      </c>
      <c r="E481" s="372" t="s">
        <v>3861</v>
      </c>
      <c r="F481" s="372" t="s">
        <v>3455</v>
      </c>
      <c r="G481" s="375" t="s">
        <v>3456</v>
      </c>
      <c r="H481" s="375" t="s">
        <v>1327</v>
      </c>
      <c r="I481" s="375" t="s">
        <v>755</v>
      </c>
      <c r="J481" s="375">
        <v>996763.35898000002</v>
      </c>
      <c r="K481" s="375">
        <v>-72354.443620000005</v>
      </c>
      <c r="L481" s="375">
        <v>-68886.152390000003</v>
      </c>
      <c r="M481" s="375">
        <v>678230.95828000002</v>
      </c>
      <c r="N481" s="372">
        <v>0.53100000000000003</v>
      </c>
      <c r="O481" s="703">
        <v>5.0125533568796961</v>
      </c>
      <c r="P481" s="375" t="s">
        <v>623</v>
      </c>
      <c r="Q481" s="375" t="s">
        <v>623</v>
      </c>
      <c r="R481" s="695">
        <v>19780624</v>
      </c>
      <c r="S481" s="375" t="s">
        <v>3862</v>
      </c>
      <c r="T481" s="696" t="s">
        <v>772</v>
      </c>
      <c r="U481" s="375" t="s">
        <v>3863</v>
      </c>
      <c r="V481" s="722" t="s">
        <v>774</v>
      </c>
      <c r="W481" s="722">
        <v>0.8</v>
      </c>
      <c r="X481" s="722">
        <v>0.55000000000000004</v>
      </c>
      <c r="Y481" s="722" t="s">
        <v>774</v>
      </c>
      <c r="Z481" s="382" t="s">
        <v>934</v>
      </c>
      <c r="AA481" s="372">
        <v>9489.2641086000003</v>
      </c>
      <c r="AB481" s="372">
        <v>9560.8402987000009</v>
      </c>
      <c r="AC481" s="372">
        <v>9646.6000636999997</v>
      </c>
      <c r="AD481" s="372">
        <v>9967.6335897999998</v>
      </c>
      <c r="AE481" s="372">
        <v>0</v>
      </c>
      <c r="AF481" s="372">
        <v>0</v>
      </c>
      <c r="AG481" s="372">
        <v>0</v>
      </c>
      <c r="AH481" s="372">
        <v>0</v>
      </c>
    </row>
    <row r="482" spans="1:34">
      <c r="A482" s="372" t="s">
        <v>3864</v>
      </c>
      <c r="B482" s="373" t="s">
        <v>3865</v>
      </c>
      <c r="C482" s="372" t="s">
        <v>3866</v>
      </c>
      <c r="D482" s="374">
        <v>1101111401051</v>
      </c>
      <c r="E482" s="372" t="s">
        <v>3867</v>
      </c>
      <c r="F482" s="375" t="s">
        <v>1013</v>
      </c>
      <c r="G482" s="375" t="s">
        <v>1225</v>
      </c>
      <c r="H482" s="375" t="s">
        <v>1693</v>
      </c>
      <c r="I482" s="375" t="s">
        <v>869</v>
      </c>
      <c r="J482" s="375">
        <v>69763.645180000007</v>
      </c>
      <c r="K482" s="375">
        <v>3764.2653399999999</v>
      </c>
      <c r="L482" s="375">
        <v>-1958.4213199999999</v>
      </c>
      <c r="M482" s="375">
        <v>81908.847720000005</v>
      </c>
      <c r="N482" s="372">
        <v>0.99299999999999999</v>
      </c>
      <c r="O482" s="703">
        <v>8.5686385998206447</v>
      </c>
      <c r="P482" s="375" t="s">
        <v>623</v>
      </c>
      <c r="Q482" s="375" t="s">
        <v>623</v>
      </c>
      <c r="R482" s="695">
        <v>20090603</v>
      </c>
      <c r="S482" s="375" t="s">
        <v>3868</v>
      </c>
      <c r="T482" s="696" t="s">
        <v>772</v>
      </c>
      <c r="U482" s="375" t="s">
        <v>3869</v>
      </c>
      <c r="V482" s="722">
        <v>65.650000000000006</v>
      </c>
      <c r="W482" s="722">
        <v>5.16</v>
      </c>
      <c r="X482" s="722">
        <v>6.68</v>
      </c>
      <c r="Y482" s="722">
        <v>72.75</v>
      </c>
      <c r="Z482" s="382" t="s">
        <v>934</v>
      </c>
      <c r="AA482" s="372">
        <v>379.21102960000002</v>
      </c>
      <c r="AB482" s="372">
        <v>355.21769799999998</v>
      </c>
      <c r="AC482" s="372">
        <v>862.35273010000003</v>
      </c>
      <c r="AD482" s="372">
        <v>697.63645180000003</v>
      </c>
      <c r="AE482" s="372">
        <v>0</v>
      </c>
      <c r="AF482" s="372">
        <v>0</v>
      </c>
      <c r="AG482" s="372">
        <v>0</v>
      </c>
      <c r="AH482" s="372">
        <v>0</v>
      </c>
    </row>
    <row r="483" spans="1:34">
      <c r="A483" s="372" t="s">
        <v>3870</v>
      </c>
      <c r="B483" s="373" t="s">
        <v>3871</v>
      </c>
      <c r="C483" s="372" t="s">
        <v>3872</v>
      </c>
      <c r="D483" s="374">
        <v>1101111785827</v>
      </c>
      <c r="E483" s="372" t="s">
        <v>3873</v>
      </c>
      <c r="F483" s="375" t="s">
        <v>3708</v>
      </c>
      <c r="G483" s="375" t="s">
        <v>3708</v>
      </c>
      <c r="H483" s="375" t="s">
        <v>1348</v>
      </c>
      <c r="I483" s="375" t="s">
        <v>869</v>
      </c>
      <c r="J483" s="375">
        <v>1103.40942</v>
      </c>
      <c r="K483" s="375">
        <v>-17087.547699999999</v>
      </c>
      <c r="L483" s="375">
        <v>-42340.173029999998</v>
      </c>
      <c r="M483" s="375">
        <v>30094.56063</v>
      </c>
      <c r="N483" s="372">
        <v>1.218</v>
      </c>
      <c r="O483" s="703">
        <v>1.9514483124578836E-2</v>
      </c>
      <c r="P483" s="375" t="s">
        <v>623</v>
      </c>
      <c r="Q483" s="372" t="s">
        <v>623</v>
      </c>
      <c r="R483" s="695">
        <v>20140625</v>
      </c>
      <c r="S483" s="372" t="s">
        <v>3874</v>
      </c>
      <c r="T483" s="696" t="s">
        <v>772</v>
      </c>
      <c r="U483" s="372" t="s">
        <v>3875</v>
      </c>
      <c r="V483" s="722" t="s">
        <v>774</v>
      </c>
      <c r="W483" s="722">
        <v>18.47</v>
      </c>
      <c r="X483" s="722">
        <v>503.54</v>
      </c>
      <c r="Y483" s="722" t="s">
        <v>774</v>
      </c>
      <c r="Z483" s="382" t="s">
        <v>934</v>
      </c>
      <c r="AA483" s="372">
        <v>7.1309288000000004</v>
      </c>
      <c r="AB483" s="372">
        <v>15.972754399999999</v>
      </c>
      <c r="AC483" s="372">
        <v>7.4346360999999996</v>
      </c>
      <c r="AD483" s="372">
        <v>11.0340942</v>
      </c>
      <c r="AE483" s="372">
        <v>0</v>
      </c>
      <c r="AF483" s="372">
        <v>0</v>
      </c>
      <c r="AG483" s="372">
        <v>0</v>
      </c>
      <c r="AH483" s="372">
        <v>0</v>
      </c>
    </row>
    <row r="484" spans="1:34">
      <c r="A484" s="372" t="s">
        <v>3876</v>
      </c>
      <c r="B484" s="373" t="s">
        <v>3877</v>
      </c>
      <c r="C484" s="372" t="s">
        <v>3878</v>
      </c>
      <c r="D484" s="374">
        <v>1760110020723</v>
      </c>
      <c r="E484" s="372" t="s">
        <v>3879</v>
      </c>
      <c r="F484" s="375" t="s">
        <v>1285</v>
      </c>
      <c r="G484" s="375" t="s">
        <v>1285</v>
      </c>
      <c r="H484" s="375" t="s">
        <v>1388</v>
      </c>
      <c r="I484" s="375" t="s">
        <v>869</v>
      </c>
      <c r="J484" s="375">
        <v>288087.19300000003</v>
      </c>
      <c r="K484" s="375">
        <v>64828.878120000001</v>
      </c>
      <c r="L484" s="375">
        <v>66788.029150000002</v>
      </c>
      <c r="M484" s="375">
        <v>239510.37614000001</v>
      </c>
      <c r="N484" s="372">
        <v>1.242</v>
      </c>
      <c r="O484" s="703">
        <v>12.218623582527618</v>
      </c>
      <c r="P484" s="375" t="s">
        <v>623</v>
      </c>
      <c r="Q484" s="375" t="s">
        <v>623</v>
      </c>
      <c r="R484" s="695">
        <v>20080619</v>
      </c>
      <c r="S484" s="375" t="s">
        <v>3880</v>
      </c>
      <c r="T484" s="696">
        <v>0.23100000000000001</v>
      </c>
      <c r="U484" s="372" t="s">
        <v>3881</v>
      </c>
      <c r="V484" s="722">
        <v>5.33</v>
      </c>
      <c r="W484" s="722">
        <v>1.76</v>
      </c>
      <c r="X484" s="722">
        <v>1.47</v>
      </c>
      <c r="Y484" s="722">
        <v>7.85</v>
      </c>
      <c r="Z484" s="382" t="s">
        <v>934</v>
      </c>
      <c r="AA484" s="372">
        <v>1556.8227342</v>
      </c>
      <c r="AB484" s="372">
        <v>1900.5736841999999</v>
      </c>
      <c r="AC484" s="372">
        <v>2559.2977553999999</v>
      </c>
      <c r="AD484" s="372">
        <v>2880.8719299999998</v>
      </c>
      <c r="AE484" s="372">
        <v>3378</v>
      </c>
      <c r="AF484" s="372">
        <v>0</v>
      </c>
      <c r="AG484" s="372">
        <v>0</v>
      </c>
      <c r="AH484" s="372">
        <v>0</v>
      </c>
    </row>
    <row r="485" spans="1:34">
      <c r="A485" s="372" t="s">
        <v>3882</v>
      </c>
      <c r="B485" s="373" t="s">
        <v>3883</v>
      </c>
      <c r="C485" s="372" t="s">
        <v>3884</v>
      </c>
      <c r="D485" s="374">
        <v>1501110093926</v>
      </c>
      <c r="E485" s="372" t="s">
        <v>3885</v>
      </c>
      <c r="F485" s="372" t="s">
        <v>770</v>
      </c>
      <c r="G485" s="375" t="s">
        <v>770</v>
      </c>
      <c r="H485" s="375" t="s">
        <v>1388</v>
      </c>
      <c r="I485" s="375" t="s">
        <v>869</v>
      </c>
      <c r="J485" s="375">
        <v>232436.38909000001</v>
      </c>
      <c r="K485" s="375">
        <v>-14643.07733</v>
      </c>
      <c r="L485" s="375">
        <v>-26049.47897</v>
      </c>
      <c r="M485" s="375">
        <v>140625.98417000001</v>
      </c>
      <c r="N485" s="372">
        <v>1.1379999999999999</v>
      </c>
      <c r="O485" s="703">
        <v>44.935139875530332</v>
      </c>
      <c r="P485" s="375" t="s">
        <v>623</v>
      </c>
      <c r="Q485" s="372" t="s">
        <v>623</v>
      </c>
      <c r="R485" s="695">
        <v>20090605</v>
      </c>
      <c r="S485" s="372" t="s">
        <v>3886</v>
      </c>
      <c r="T485" s="696" t="s">
        <v>772</v>
      </c>
      <c r="U485" s="375" t="s">
        <v>3887</v>
      </c>
      <c r="V485" s="722">
        <v>27.12</v>
      </c>
      <c r="W485" s="722">
        <v>2.12</v>
      </c>
      <c r="X485" s="722">
        <v>1.06</v>
      </c>
      <c r="Y485" s="722" t="s">
        <v>774</v>
      </c>
      <c r="Z485" s="382" t="s">
        <v>934</v>
      </c>
      <c r="AA485" s="372">
        <v>1441.8987898</v>
      </c>
      <c r="AB485" s="372">
        <v>1674.9875529000001</v>
      </c>
      <c r="AC485" s="372">
        <v>2425.7679658000002</v>
      </c>
      <c r="AD485" s="372">
        <v>2324.3638909000001</v>
      </c>
      <c r="AE485" s="372">
        <v>0</v>
      </c>
      <c r="AF485" s="372">
        <v>0</v>
      </c>
      <c r="AG485" s="372">
        <v>0</v>
      </c>
      <c r="AH485" s="372">
        <v>0</v>
      </c>
    </row>
    <row r="486" spans="1:34">
      <c r="A486" s="372" t="s">
        <v>3888</v>
      </c>
      <c r="B486" s="373" t="s">
        <v>3889</v>
      </c>
      <c r="C486" s="372" t="s">
        <v>3890</v>
      </c>
      <c r="D486" s="374">
        <v>1101110548771</v>
      </c>
      <c r="E486" s="372" t="s">
        <v>3891</v>
      </c>
      <c r="F486" s="375" t="s">
        <v>779</v>
      </c>
      <c r="G486" s="375" t="s">
        <v>3892</v>
      </c>
      <c r="H486" s="375" t="s">
        <v>1388</v>
      </c>
      <c r="I486" s="375" t="s">
        <v>869</v>
      </c>
      <c r="J486" s="375">
        <v>176220.48095999999</v>
      </c>
      <c r="K486" s="375">
        <v>37690.323909999999</v>
      </c>
      <c r="L486" s="375">
        <v>44017.814870000002</v>
      </c>
      <c r="M486" s="375">
        <v>231746.21796000001</v>
      </c>
      <c r="N486" s="372">
        <v>0.76600000000000001</v>
      </c>
      <c r="O486" s="703">
        <v>1.104838863135738</v>
      </c>
      <c r="P486" s="375" t="s">
        <v>623</v>
      </c>
      <c r="Q486" s="375" t="s">
        <v>623</v>
      </c>
      <c r="R486" s="695">
        <v>20091028</v>
      </c>
      <c r="S486" s="375" t="s">
        <v>3893</v>
      </c>
      <c r="T486" s="696">
        <v>0.23100000000000001</v>
      </c>
      <c r="U486" s="372" t="s">
        <v>3894</v>
      </c>
      <c r="V486" s="722">
        <v>7.54</v>
      </c>
      <c r="W486" s="722">
        <v>1.54</v>
      </c>
      <c r="X486" s="722">
        <v>2.09</v>
      </c>
      <c r="Y486" s="722">
        <v>10.210000000000001</v>
      </c>
      <c r="Z486" s="382" t="s">
        <v>934</v>
      </c>
      <c r="AA486" s="372">
        <v>1131.7991687000001</v>
      </c>
      <c r="AB486" s="372">
        <v>1132.4992459</v>
      </c>
      <c r="AC486" s="372">
        <v>1409.8094037000001</v>
      </c>
      <c r="AD486" s="372">
        <v>1762.2048096000001</v>
      </c>
      <c r="AE486" s="372">
        <v>2325</v>
      </c>
      <c r="AF486" s="372">
        <v>2807</v>
      </c>
      <c r="AG486" s="372">
        <v>0</v>
      </c>
      <c r="AH486" s="372">
        <v>0</v>
      </c>
    </row>
    <row r="487" spans="1:34">
      <c r="A487" s="372" t="s">
        <v>3895</v>
      </c>
      <c r="B487" s="373" t="s">
        <v>3896</v>
      </c>
      <c r="C487" s="372" t="s">
        <v>3897</v>
      </c>
      <c r="D487" s="374">
        <v>1345110623337</v>
      </c>
      <c r="E487" s="372" t="s">
        <v>3898</v>
      </c>
      <c r="F487" s="375" t="s">
        <v>3899</v>
      </c>
      <c r="G487" s="375" t="s">
        <v>3899</v>
      </c>
      <c r="H487" s="375" t="s">
        <v>853</v>
      </c>
      <c r="I487" s="375" t="s">
        <v>755</v>
      </c>
      <c r="J487" s="375">
        <v>1826998.311</v>
      </c>
      <c r="K487" s="375">
        <v>64841.641000000003</v>
      </c>
      <c r="L487" s="375">
        <v>52832.892</v>
      </c>
      <c r="M487" s="375">
        <v>628510.98699999996</v>
      </c>
      <c r="N487" s="372" t="s">
        <v>1033</v>
      </c>
      <c r="O487" s="703">
        <v>6.984523961387187</v>
      </c>
      <c r="P487" s="375" t="s">
        <v>623</v>
      </c>
      <c r="Q487" s="375" t="s">
        <v>623</v>
      </c>
      <c r="R487" s="695">
        <v>20230410</v>
      </c>
      <c r="S487" s="375" t="s">
        <v>3900</v>
      </c>
      <c r="T487" s="696">
        <v>0.23100000000000001</v>
      </c>
      <c r="U487" s="372" t="s">
        <v>3072</v>
      </c>
      <c r="V487" s="722">
        <v>4.07</v>
      </c>
      <c r="W487" s="722">
        <v>0.62</v>
      </c>
      <c r="X487" s="722">
        <v>0.21</v>
      </c>
      <c r="Y487" s="722">
        <v>9.9</v>
      </c>
      <c r="Z487" s="382">
        <v>0.10703535317090496</v>
      </c>
      <c r="AA487" s="372">
        <v>0</v>
      </c>
      <c r="AB487" s="372">
        <v>0</v>
      </c>
      <c r="AC487" s="372">
        <v>0</v>
      </c>
      <c r="AD487" s="372">
        <v>18269.983110000001</v>
      </c>
      <c r="AE487" s="372">
        <v>23750</v>
      </c>
      <c r="AF487" s="372">
        <v>25480</v>
      </c>
      <c r="AG487" s="372">
        <v>27440</v>
      </c>
      <c r="AH487" s="372">
        <v>0</v>
      </c>
    </row>
    <row r="488" spans="1:34">
      <c r="A488" s="372" t="s">
        <v>3901</v>
      </c>
      <c r="B488" s="373" t="s">
        <v>3902</v>
      </c>
      <c r="C488" s="372" t="s">
        <v>3903</v>
      </c>
      <c r="D488" s="374">
        <v>1701110014936</v>
      </c>
      <c r="E488" s="372" t="s">
        <v>3904</v>
      </c>
      <c r="F488" s="375" t="s">
        <v>1881</v>
      </c>
      <c r="G488" s="375" t="s">
        <v>3905</v>
      </c>
      <c r="H488" s="375" t="s">
        <v>797</v>
      </c>
      <c r="I488" s="375" t="s">
        <v>755</v>
      </c>
      <c r="J488" s="375">
        <v>1802759.8332400001</v>
      </c>
      <c r="K488" s="375">
        <v>83728.814910000001</v>
      </c>
      <c r="L488" s="375">
        <v>84627.250929999995</v>
      </c>
      <c r="M488" s="375">
        <v>445063.32537999999</v>
      </c>
      <c r="N488" s="372">
        <v>1.1279999999999999</v>
      </c>
      <c r="O488" s="703">
        <v>131.47772249382714</v>
      </c>
      <c r="P488" s="375" t="s">
        <v>623</v>
      </c>
      <c r="Q488" s="375" t="s">
        <v>623</v>
      </c>
      <c r="R488" s="695">
        <v>19940114</v>
      </c>
      <c r="S488" s="375" t="s">
        <v>3906</v>
      </c>
      <c r="T488" s="696">
        <v>0.23100000000000001</v>
      </c>
      <c r="U488" s="375" t="s">
        <v>3907</v>
      </c>
      <c r="V488" s="722">
        <v>5.0599999999999996</v>
      </c>
      <c r="W488" s="722">
        <v>1.07</v>
      </c>
      <c r="X488" s="722">
        <v>0.26</v>
      </c>
      <c r="Y488" s="722">
        <v>6.18</v>
      </c>
      <c r="Z488" s="382">
        <v>5.6266884005365281E-2</v>
      </c>
      <c r="AA488" s="372">
        <v>10855.4198139</v>
      </c>
      <c r="AB488" s="372">
        <v>12365.923883900001</v>
      </c>
      <c r="AC488" s="372">
        <v>16902.714151600001</v>
      </c>
      <c r="AD488" s="372">
        <v>18027.598332400001</v>
      </c>
      <c r="AE488" s="372">
        <v>19271.75</v>
      </c>
      <c r="AF488" s="372">
        <v>21179</v>
      </c>
      <c r="AG488" s="372">
        <v>22440.5</v>
      </c>
      <c r="AH488" s="372">
        <v>0</v>
      </c>
    </row>
    <row r="489" spans="1:34">
      <c r="A489" s="372" t="s">
        <v>3908</v>
      </c>
      <c r="B489" s="373" t="s">
        <v>3909</v>
      </c>
      <c r="C489" s="372" t="s">
        <v>3910</v>
      </c>
      <c r="D489" s="374">
        <v>2841110112915</v>
      </c>
      <c r="E489" s="372" t="s">
        <v>3911</v>
      </c>
      <c r="F489" s="375" t="s">
        <v>1300</v>
      </c>
      <c r="G489" s="375" t="s">
        <v>1300</v>
      </c>
      <c r="H489" s="375" t="s">
        <v>868</v>
      </c>
      <c r="I489" s="375" t="s">
        <v>869</v>
      </c>
      <c r="J489" s="375">
        <v>13742.971100000001</v>
      </c>
      <c r="K489" s="375">
        <v>-14825.32647</v>
      </c>
      <c r="L489" s="375">
        <v>-17646.40163</v>
      </c>
      <c r="M489" s="375">
        <v>24056.33842</v>
      </c>
      <c r="N489" s="372" t="s">
        <v>1033</v>
      </c>
      <c r="O489" s="703">
        <v>11.371320866853903</v>
      </c>
      <c r="P489" s="375" t="s">
        <v>623</v>
      </c>
      <c r="Q489" s="375" t="s">
        <v>623</v>
      </c>
      <c r="R489" s="695">
        <v>20221104</v>
      </c>
      <c r="S489" s="375" t="s">
        <v>3912</v>
      </c>
      <c r="T489" s="696" t="s">
        <v>772</v>
      </c>
      <c r="U489" s="372" t="s">
        <v>3913</v>
      </c>
      <c r="V489" s="722" t="s">
        <v>774</v>
      </c>
      <c r="W489" s="722">
        <v>16.260000000000002</v>
      </c>
      <c r="X489" s="722">
        <v>28.21</v>
      </c>
      <c r="Y489" s="722" t="s">
        <v>774</v>
      </c>
      <c r="Z489" s="382" t="s">
        <v>934</v>
      </c>
      <c r="AA489" s="372">
        <v>40.656824999999998</v>
      </c>
      <c r="AB489" s="372">
        <v>73.512580499999999</v>
      </c>
      <c r="AC489" s="372">
        <v>97.546414600000006</v>
      </c>
      <c r="AD489" s="372">
        <v>137.429711</v>
      </c>
      <c r="AE489" s="372">
        <v>255</v>
      </c>
      <c r="AF489" s="372">
        <v>340</v>
      </c>
      <c r="AG489" s="372">
        <v>0</v>
      </c>
      <c r="AH489" s="372">
        <v>0</v>
      </c>
    </row>
    <row r="490" spans="1:34">
      <c r="A490" s="372" t="s">
        <v>3914</v>
      </c>
      <c r="B490" s="373" t="s">
        <v>3915</v>
      </c>
      <c r="C490" s="372" t="s">
        <v>3916</v>
      </c>
      <c r="D490" s="374">
        <v>1101114294122</v>
      </c>
      <c r="E490" s="372" t="s">
        <v>3917</v>
      </c>
      <c r="F490" s="375" t="s">
        <v>1259</v>
      </c>
      <c r="G490" s="375" t="s">
        <v>1259</v>
      </c>
      <c r="H490" s="375" t="s">
        <v>868</v>
      </c>
      <c r="I490" s="375" t="s">
        <v>869</v>
      </c>
      <c r="J490" s="375">
        <v>69365.660610000006</v>
      </c>
      <c r="K490" s="375">
        <v>7699.1095100000002</v>
      </c>
      <c r="L490" s="375">
        <v>-14614.626490000001</v>
      </c>
      <c r="M490" s="375">
        <v>104817.64152</v>
      </c>
      <c r="N490" s="372">
        <v>1.103</v>
      </c>
      <c r="O490" s="703">
        <v>3.0251645075748752</v>
      </c>
      <c r="P490" s="375" t="s">
        <v>623</v>
      </c>
      <c r="Q490" s="375" t="s">
        <v>623</v>
      </c>
      <c r="R490" s="695">
        <v>20170124</v>
      </c>
      <c r="S490" s="375" t="s">
        <v>3918</v>
      </c>
      <c r="T490" s="696" t="s">
        <v>772</v>
      </c>
      <c r="U490" s="372" t="s">
        <v>3919</v>
      </c>
      <c r="V490" s="722">
        <v>24.58</v>
      </c>
      <c r="W490" s="722">
        <v>3.75</v>
      </c>
      <c r="X490" s="722">
        <v>6.03</v>
      </c>
      <c r="Y490" s="722" t="s">
        <v>774</v>
      </c>
      <c r="Z490" s="382">
        <v>0.21667550699108418</v>
      </c>
      <c r="AA490" s="372">
        <v>284.89676009999999</v>
      </c>
      <c r="AB490" s="372">
        <v>393.84938140000003</v>
      </c>
      <c r="AC490" s="372">
        <v>554.66694229999996</v>
      </c>
      <c r="AD490" s="372">
        <v>693.65660609999998</v>
      </c>
      <c r="AE490" s="372">
        <v>1142</v>
      </c>
      <c r="AF490" s="372">
        <v>1394.5</v>
      </c>
      <c r="AG490" s="372">
        <v>1520</v>
      </c>
      <c r="AH490" s="372">
        <v>0</v>
      </c>
    </row>
    <row r="491" spans="1:34">
      <c r="A491" s="372" t="s">
        <v>3920</v>
      </c>
      <c r="B491" s="373" t="s">
        <v>3921</v>
      </c>
      <c r="C491" s="372" t="s">
        <v>3922</v>
      </c>
      <c r="D491" s="374">
        <v>1101112196304</v>
      </c>
      <c r="E491" s="372" t="s">
        <v>3923</v>
      </c>
      <c r="F491" s="375" t="s">
        <v>3924</v>
      </c>
      <c r="G491" s="375" t="s">
        <v>3924</v>
      </c>
      <c r="H491" s="375" t="s">
        <v>862</v>
      </c>
      <c r="I491" s="375" t="s">
        <v>755</v>
      </c>
      <c r="J491" s="375">
        <v>259071.62041999999</v>
      </c>
      <c r="K491" s="375">
        <v>116706.24168000001</v>
      </c>
      <c r="L491" s="375">
        <v>167521.20671999999</v>
      </c>
      <c r="M491" s="375">
        <v>1035048.08962</v>
      </c>
      <c r="N491" s="372">
        <v>0.68600000000000005</v>
      </c>
      <c r="O491" s="703">
        <v>87.562761135276219</v>
      </c>
      <c r="P491" s="375" t="s">
        <v>623</v>
      </c>
      <c r="Q491" s="375" t="s">
        <v>623</v>
      </c>
      <c r="R491" s="695">
        <v>20160713</v>
      </c>
      <c r="S491" s="375" t="s">
        <v>3925</v>
      </c>
      <c r="T491" s="696">
        <v>0.23100000000000001</v>
      </c>
      <c r="U491" s="375" t="s">
        <v>3926</v>
      </c>
      <c r="V491" s="722">
        <v>0</v>
      </c>
      <c r="W491" s="722">
        <v>0.37</v>
      </c>
      <c r="X491" s="722">
        <v>1.51</v>
      </c>
      <c r="Y491" s="722">
        <v>3.02</v>
      </c>
      <c r="Z491" s="382" t="s">
        <v>934</v>
      </c>
      <c r="AA491" s="372">
        <v>2400.6170799000001</v>
      </c>
      <c r="AB491" s="372">
        <v>2125.2719117000001</v>
      </c>
      <c r="AC491" s="372">
        <v>2329.6457306000002</v>
      </c>
      <c r="AD491" s="372">
        <v>2590.7162042</v>
      </c>
      <c r="AE491" s="372">
        <v>2386</v>
      </c>
      <c r="AF491" s="372">
        <v>2545</v>
      </c>
      <c r="AG491" s="372">
        <v>0</v>
      </c>
      <c r="AH491" s="372">
        <v>0</v>
      </c>
    </row>
    <row r="492" spans="1:34">
      <c r="A492" s="372" t="s">
        <v>3927</v>
      </c>
      <c r="B492" s="373" t="s">
        <v>3928</v>
      </c>
      <c r="C492" s="372" t="s">
        <v>3929</v>
      </c>
      <c r="D492" s="374">
        <v>1301110008664</v>
      </c>
      <c r="E492" s="372" t="s">
        <v>3930</v>
      </c>
      <c r="F492" s="375" t="s">
        <v>770</v>
      </c>
      <c r="G492" s="375" t="s">
        <v>770</v>
      </c>
      <c r="H492" s="375" t="s">
        <v>754</v>
      </c>
      <c r="I492" s="375" t="s">
        <v>755</v>
      </c>
      <c r="J492" s="375">
        <v>576519.65235999995</v>
      </c>
      <c r="K492" s="375">
        <v>7357.3873999999996</v>
      </c>
      <c r="L492" s="375">
        <v>14404.005859999999</v>
      </c>
      <c r="M492" s="375">
        <v>242598.48519000001</v>
      </c>
      <c r="N492" s="372">
        <v>1.218</v>
      </c>
      <c r="O492" s="703">
        <v>44.713780204654476</v>
      </c>
      <c r="P492" s="375" t="s">
        <v>623</v>
      </c>
      <c r="Q492" s="375" t="s">
        <v>623</v>
      </c>
      <c r="R492" s="695">
        <v>19960731</v>
      </c>
      <c r="S492" s="375" t="s">
        <v>3931</v>
      </c>
      <c r="T492" s="696">
        <v>0.20900000000000002</v>
      </c>
      <c r="U492" s="372" t="s">
        <v>3932</v>
      </c>
      <c r="V492" s="722">
        <v>31.05</v>
      </c>
      <c r="W492" s="722">
        <v>1.71</v>
      </c>
      <c r="X492" s="722">
        <v>0.73</v>
      </c>
      <c r="Y492" s="722">
        <v>25.88</v>
      </c>
      <c r="Z492" s="382">
        <v>0.19381132574494209</v>
      </c>
      <c r="AA492" s="372">
        <v>4823.6541607999998</v>
      </c>
      <c r="AB492" s="372">
        <v>4545.2369226000001</v>
      </c>
      <c r="AC492" s="372">
        <v>6641.4367990999999</v>
      </c>
      <c r="AD492" s="372">
        <v>5765.1965235999996</v>
      </c>
      <c r="AE492" s="372">
        <v>7724.33</v>
      </c>
      <c r="AF492" s="372">
        <v>9876.5</v>
      </c>
      <c r="AG492" s="372">
        <v>11710</v>
      </c>
      <c r="AH492" s="372">
        <v>13140</v>
      </c>
    </row>
    <row r="493" spans="1:34">
      <c r="A493" s="372" t="s">
        <v>3933</v>
      </c>
      <c r="B493" s="373" t="s">
        <v>3934</v>
      </c>
      <c r="C493" s="372" t="s">
        <v>16148</v>
      </c>
      <c r="D493" s="374">
        <v>1101111799183</v>
      </c>
      <c r="E493" s="372" t="s">
        <v>16149</v>
      </c>
      <c r="F493" s="375" t="s">
        <v>1368</v>
      </c>
      <c r="G493" s="375" t="s">
        <v>1368</v>
      </c>
      <c r="H493" s="375" t="s">
        <v>868</v>
      </c>
      <c r="I493" s="375" t="s">
        <v>869</v>
      </c>
      <c r="J493" s="375">
        <v>7257169.6088100001</v>
      </c>
      <c r="K493" s="375">
        <v>309777.86106000002</v>
      </c>
      <c r="L493" s="375">
        <v>273151.78599</v>
      </c>
      <c r="M493" s="375">
        <v>2835220.8833300001</v>
      </c>
      <c r="N493" s="372">
        <v>1.2569999999999999</v>
      </c>
      <c r="O493" s="703">
        <v>282.12623072070352</v>
      </c>
      <c r="P493" s="375" t="s">
        <v>623</v>
      </c>
      <c r="Q493" s="375" t="s">
        <v>623</v>
      </c>
      <c r="R493" s="695">
        <v>20130724</v>
      </c>
      <c r="S493" s="375" t="s">
        <v>3935</v>
      </c>
      <c r="T493" s="696">
        <v>0.23100000000000001</v>
      </c>
      <c r="U493" s="375" t="s">
        <v>3936</v>
      </c>
      <c r="V493" s="722">
        <v>5.85</v>
      </c>
      <c r="W493" s="722">
        <v>0.45</v>
      </c>
      <c r="X493" s="722">
        <v>0.06</v>
      </c>
      <c r="Y493" s="722">
        <v>6.11</v>
      </c>
      <c r="Z493" s="382" t="s">
        <v>934</v>
      </c>
      <c r="AA493" s="372">
        <v>1538.6692995999999</v>
      </c>
      <c r="AB493" s="372">
        <v>34124.9919802</v>
      </c>
      <c r="AC493" s="372">
        <v>49442.412561800003</v>
      </c>
      <c r="AD493" s="372">
        <v>72571.696088099998</v>
      </c>
      <c r="AE493" s="372">
        <v>0</v>
      </c>
      <c r="AF493" s="372">
        <v>0</v>
      </c>
      <c r="AG493" s="372">
        <v>0</v>
      </c>
      <c r="AH493" s="372">
        <v>0</v>
      </c>
    </row>
    <row r="494" spans="1:34">
      <c r="A494" s="372" t="s">
        <v>3937</v>
      </c>
      <c r="B494" s="373" t="s">
        <v>3938</v>
      </c>
      <c r="C494" s="372" t="s">
        <v>3939</v>
      </c>
      <c r="D494" s="374">
        <v>1101110375439</v>
      </c>
      <c r="E494" s="372" t="s">
        <v>3940</v>
      </c>
      <c r="F494" s="375" t="s">
        <v>3941</v>
      </c>
      <c r="G494" s="375" t="s">
        <v>3942</v>
      </c>
      <c r="H494" s="375" t="s">
        <v>1327</v>
      </c>
      <c r="I494" s="375" t="s">
        <v>755</v>
      </c>
      <c r="J494" s="375">
        <v>2993468.1913000001</v>
      </c>
      <c r="K494" s="375">
        <v>61981.274550000002</v>
      </c>
      <c r="L494" s="375">
        <v>14311.70988</v>
      </c>
      <c r="M494" s="375">
        <v>506544.64101999998</v>
      </c>
      <c r="N494" s="372">
        <v>0.81</v>
      </c>
      <c r="O494" s="703">
        <v>263.39428352527483</v>
      </c>
      <c r="P494" s="375" t="s">
        <v>623</v>
      </c>
      <c r="Q494" s="375" t="s">
        <v>623</v>
      </c>
      <c r="R494" s="695">
        <v>19951005</v>
      </c>
      <c r="S494" s="375" t="s">
        <v>3943</v>
      </c>
      <c r="T494" s="696">
        <v>0.20900000000000002</v>
      </c>
      <c r="U494" s="372" t="s">
        <v>3944</v>
      </c>
      <c r="V494" s="722">
        <v>7.28</v>
      </c>
      <c r="W494" s="722">
        <v>1.21</v>
      </c>
      <c r="X494" s="722">
        <v>0.14000000000000001</v>
      </c>
      <c r="Y494" s="722">
        <v>20.97</v>
      </c>
      <c r="Z494" s="382" t="s">
        <v>934</v>
      </c>
      <c r="AA494" s="372">
        <v>23111.999924200001</v>
      </c>
      <c r="AB494" s="372">
        <v>25188.9610607</v>
      </c>
      <c r="AC494" s="372">
        <v>28383.038603600002</v>
      </c>
      <c r="AD494" s="372">
        <v>29934.681913</v>
      </c>
      <c r="AE494" s="372">
        <v>31420.5</v>
      </c>
      <c r="AF494" s="372">
        <v>33137</v>
      </c>
      <c r="AG494" s="372">
        <v>0</v>
      </c>
      <c r="AH494" s="372">
        <v>0</v>
      </c>
    </row>
    <row r="495" spans="1:34">
      <c r="A495" s="372" t="s">
        <v>3945</v>
      </c>
      <c r="B495" s="373" t="s">
        <v>3946</v>
      </c>
      <c r="C495" s="372" t="s">
        <v>3947</v>
      </c>
      <c r="D495" s="374">
        <v>1901110001872</v>
      </c>
      <c r="E495" s="372" t="s">
        <v>3948</v>
      </c>
      <c r="F495" s="375" t="s">
        <v>3248</v>
      </c>
      <c r="G495" s="375" t="s">
        <v>3248</v>
      </c>
      <c r="H495" s="375" t="s">
        <v>817</v>
      </c>
      <c r="I495" s="375" t="s">
        <v>755</v>
      </c>
      <c r="J495" s="375">
        <v>1541894.3060699999</v>
      </c>
      <c r="K495" s="375">
        <v>149275.07524000001</v>
      </c>
      <c r="L495" s="375">
        <v>168939.51178</v>
      </c>
      <c r="M495" s="375">
        <v>1598950.1418699999</v>
      </c>
      <c r="N495" s="372">
        <v>0.64400000000000002</v>
      </c>
      <c r="O495" s="703">
        <v>4.5272749956304308</v>
      </c>
      <c r="P495" s="375" t="s">
        <v>623</v>
      </c>
      <c r="Q495" s="372" t="s">
        <v>623</v>
      </c>
      <c r="R495" s="695">
        <v>19891113</v>
      </c>
      <c r="S495" s="372" t="s">
        <v>2662</v>
      </c>
      <c r="T495" s="696">
        <v>0.23100000000000001</v>
      </c>
      <c r="U495" s="372" t="s">
        <v>3949</v>
      </c>
      <c r="V495" s="722">
        <v>5.0199999999999996</v>
      </c>
      <c r="W495" s="722">
        <v>0.34</v>
      </c>
      <c r="X495" s="722">
        <v>0.25</v>
      </c>
      <c r="Y495" s="722">
        <v>4.2300000000000004</v>
      </c>
      <c r="Z495" s="382" t="s">
        <v>934</v>
      </c>
      <c r="AA495" s="372">
        <v>10645.6944747</v>
      </c>
      <c r="AB495" s="372">
        <v>15808.493389699999</v>
      </c>
      <c r="AC495" s="372">
        <v>18106.134460400001</v>
      </c>
      <c r="AD495" s="372">
        <v>15418.943060699999</v>
      </c>
      <c r="AE495" s="372">
        <v>23440</v>
      </c>
      <c r="AF495" s="372">
        <v>0</v>
      </c>
      <c r="AG495" s="372">
        <v>0</v>
      </c>
      <c r="AH495" s="372">
        <v>0</v>
      </c>
    </row>
    <row r="496" spans="1:34">
      <c r="A496" s="372" t="s">
        <v>3950</v>
      </c>
      <c r="B496" s="373" t="s">
        <v>3951</v>
      </c>
      <c r="C496" s="372" t="s">
        <v>3952</v>
      </c>
      <c r="D496" s="374">
        <v>1101112341850</v>
      </c>
      <c r="E496" s="372" t="s">
        <v>3953</v>
      </c>
      <c r="F496" s="372" t="s">
        <v>887</v>
      </c>
      <c r="G496" s="375" t="s">
        <v>887</v>
      </c>
      <c r="H496" s="375" t="s">
        <v>868</v>
      </c>
      <c r="I496" s="375" t="s">
        <v>869</v>
      </c>
      <c r="J496" s="375">
        <v>531030.80383999995</v>
      </c>
      <c r="K496" s="375">
        <v>53191.037300000004</v>
      </c>
      <c r="L496" s="375">
        <v>44175.996030000002</v>
      </c>
      <c r="M496" s="375">
        <v>205401.62520000001</v>
      </c>
      <c r="N496" s="372">
        <v>1.26</v>
      </c>
      <c r="O496" s="703">
        <v>62.339684089284162</v>
      </c>
      <c r="P496" s="375" t="s">
        <v>623</v>
      </c>
      <c r="Q496" s="372" t="s">
        <v>623</v>
      </c>
      <c r="R496" s="695">
        <v>20170804</v>
      </c>
      <c r="S496" s="375" t="s">
        <v>3954</v>
      </c>
      <c r="T496" s="696">
        <v>0.23100000000000001</v>
      </c>
      <c r="U496" s="375" t="s">
        <v>3955</v>
      </c>
      <c r="V496" s="722">
        <v>8.15</v>
      </c>
      <c r="W496" s="722">
        <v>2.11</v>
      </c>
      <c r="X496" s="722">
        <v>0.84</v>
      </c>
      <c r="Y496" s="722">
        <v>13.64</v>
      </c>
      <c r="Z496" s="382" t="s">
        <v>934</v>
      </c>
      <c r="AA496" s="372">
        <v>3538.0683847999999</v>
      </c>
      <c r="AB496" s="372">
        <v>4367.0226092000003</v>
      </c>
      <c r="AC496" s="372">
        <v>5685.0086891999999</v>
      </c>
      <c r="AD496" s="372">
        <v>5310.3080384000004</v>
      </c>
      <c r="AE496" s="372">
        <v>7519</v>
      </c>
      <c r="AF496" s="372">
        <v>8443</v>
      </c>
      <c r="AG496" s="372">
        <v>0</v>
      </c>
      <c r="AH496" s="372">
        <v>0</v>
      </c>
    </row>
    <row r="497" spans="1:34">
      <c r="A497" s="372" t="s">
        <v>3956</v>
      </c>
      <c r="B497" s="373" t="s">
        <v>3957</v>
      </c>
      <c r="C497" s="372" t="s">
        <v>3958</v>
      </c>
      <c r="D497" s="374">
        <v>1101111603764</v>
      </c>
      <c r="E497" s="372" t="s">
        <v>3959</v>
      </c>
      <c r="F497" s="375" t="s">
        <v>2858</v>
      </c>
      <c r="G497" s="375" t="s">
        <v>2858</v>
      </c>
      <c r="H497" s="375" t="s">
        <v>1388</v>
      </c>
      <c r="I497" s="375" t="s">
        <v>869</v>
      </c>
      <c r="J497" s="375">
        <v>321364.60236999998</v>
      </c>
      <c r="K497" s="375">
        <v>36268.131829999998</v>
      </c>
      <c r="L497" s="375">
        <v>49144.869850000003</v>
      </c>
      <c r="M497" s="375">
        <v>273027.04639999999</v>
      </c>
      <c r="N497" s="372">
        <v>0.96499999999999997</v>
      </c>
      <c r="O497" s="703">
        <v>30.292409578255242</v>
      </c>
      <c r="P497" s="375" t="s">
        <v>623</v>
      </c>
      <c r="Q497" s="375" t="s">
        <v>623</v>
      </c>
      <c r="R497" s="695">
        <v>20050708</v>
      </c>
      <c r="S497" s="375" t="s">
        <v>3960</v>
      </c>
      <c r="T497" s="696">
        <v>0.23100000000000001</v>
      </c>
      <c r="U497" s="372" t="s">
        <v>3961</v>
      </c>
      <c r="V497" s="722">
        <v>8.44</v>
      </c>
      <c r="W497" s="722">
        <v>1.35</v>
      </c>
      <c r="X497" s="722">
        <v>1.1499999999999999</v>
      </c>
      <c r="Y497" s="722">
        <v>9.08</v>
      </c>
      <c r="Z497" s="382">
        <v>4.5726434478014166E-2</v>
      </c>
      <c r="AA497" s="372">
        <v>1711.480024</v>
      </c>
      <c r="AB497" s="372">
        <v>2122.5802337</v>
      </c>
      <c r="AC497" s="372">
        <v>2797.8554872</v>
      </c>
      <c r="AD497" s="372">
        <v>3213.6460237000001</v>
      </c>
      <c r="AE497" s="372">
        <v>3074</v>
      </c>
      <c r="AF497" s="372">
        <v>3575</v>
      </c>
      <c r="AG497" s="372">
        <v>3843</v>
      </c>
      <c r="AH497" s="372">
        <v>0</v>
      </c>
    </row>
    <row r="498" spans="1:34">
      <c r="A498" s="372" t="s">
        <v>3962</v>
      </c>
      <c r="B498" s="373" t="s">
        <v>3963</v>
      </c>
      <c r="C498" s="372" t="s">
        <v>3964</v>
      </c>
      <c r="D498" s="374">
        <v>1101111682932</v>
      </c>
      <c r="E498" s="372" t="s">
        <v>3965</v>
      </c>
      <c r="F498" s="375" t="s">
        <v>1814</v>
      </c>
      <c r="G498" s="375" t="s">
        <v>2821</v>
      </c>
      <c r="H498" s="375" t="s">
        <v>1693</v>
      </c>
      <c r="I498" s="375" t="s">
        <v>869</v>
      </c>
      <c r="J498" s="375">
        <v>24428.25532</v>
      </c>
      <c r="K498" s="375">
        <v>-10994.514510000001</v>
      </c>
      <c r="L498" s="375">
        <v>-9662.7626899999996</v>
      </c>
      <c r="M498" s="375">
        <v>31423.222860000002</v>
      </c>
      <c r="N498" s="372">
        <v>0.93200000000000005</v>
      </c>
      <c r="O498" s="703">
        <v>1.2921584357758678</v>
      </c>
      <c r="P498" s="375" t="s">
        <v>623</v>
      </c>
      <c r="Q498" s="372" t="s">
        <v>623</v>
      </c>
      <c r="R498" s="695">
        <v>20220707</v>
      </c>
      <c r="S498" s="372" t="s">
        <v>3966</v>
      </c>
      <c r="T498" s="696" t="s">
        <v>772</v>
      </c>
      <c r="U498" s="372" t="s">
        <v>3967</v>
      </c>
      <c r="V498" s="722">
        <v>0</v>
      </c>
      <c r="W498" s="722">
        <v>11.85</v>
      </c>
      <c r="X498" s="722">
        <v>0</v>
      </c>
      <c r="Y498" s="722">
        <v>0</v>
      </c>
      <c r="Z498" s="382" t="s">
        <v>934</v>
      </c>
      <c r="AA498" s="372">
        <v>140.01471520000001</v>
      </c>
      <c r="AB498" s="372">
        <v>178.49096030000001</v>
      </c>
      <c r="AC498" s="372">
        <v>153.88167999999999</v>
      </c>
      <c r="AD498" s="372">
        <v>244.2825532</v>
      </c>
      <c r="AE498" s="372">
        <v>0</v>
      </c>
      <c r="AF498" s="372">
        <v>0</v>
      </c>
      <c r="AG498" s="372">
        <v>0</v>
      </c>
      <c r="AH498" s="372">
        <v>0</v>
      </c>
    </row>
    <row r="499" spans="1:34">
      <c r="A499" s="372" t="s">
        <v>3968</v>
      </c>
      <c r="B499" s="373" t="s">
        <v>3969</v>
      </c>
      <c r="C499" s="372" t="s">
        <v>3970</v>
      </c>
      <c r="D499" s="374">
        <v>1101110005929</v>
      </c>
      <c r="E499" s="372" t="s">
        <v>3971</v>
      </c>
      <c r="F499" s="372" t="s">
        <v>1607</v>
      </c>
      <c r="G499" s="375" t="s">
        <v>1607</v>
      </c>
      <c r="H499" s="375" t="s">
        <v>953</v>
      </c>
      <c r="I499" s="375" t="s">
        <v>755</v>
      </c>
      <c r="J499" s="375">
        <v>5664041.2611600002</v>
      </c>
      <c r="K499" s="375">
        <v>174490.51725</v>
      </c>
      <c r="L499" s="375">
        <v>177752.38784000001</v>
      </c>
      <c r="M499" s="375">
        <v>1675029.49969</v>
      </c>
      <c r="N499" s="372">
        <v>0.72599999999999998</v>
      </c>
      <c r="O499" s="703">
        <v>367.10109947448444</v>
      </c>
      <c r="P499" s="375" t="s">
        <v>623</v>
      </c>
      <c r="Q499" s="372" t="s">
        <v>623</v>
      </c>
      <c r="R499" s="695">
        <v>19761223</v>
      </c>
      <c r="S499" s="372" t="s">
        <v>3972</v>
      </c>
      <c r="T499" s="696">
        <v>0.23100000000000001</v>
      </c>
      <c r="U499" s="372" t="s">
        <v>3973</v>
      </c>
      <c r="V499" s="722">
        <v>2.29</v>
      </c>
      <c r="W499" s="722">
        <v>0.24</v>
      </c>
      <c r="X499" s="722">
        <v>7.0000000000000007E-2</v>
      </c>
      <c r="Y499" s="722">
        <v>3.2</v>
      </c>
      <c r="Z499" s="382" t="s">
        <v>934</v>
      </c>
      <c r="AA499" s="372">
        <v>32080.320993400001</v>
      </c>
      <c r="AB499" s="372">
        <v>37693.108960700003</v>
      </c>
      <c r="AC499" s="372">
        <v>57891.048716700003</v>
      </c>
      <c r="AD499" s="372">
        <v>56640.412611599997</v>
      </c>
      <c r="AE499" s="372">
        <v>55500</v>
      </c>
      <c r="AF499" s="372">
        <v>56830</v>
      </c>
      <c r="AG499" s="372">
        <v>0</v>
      </c>
      <c r="AH499" s="372">
        <v>0</v>
      </c>
    </row>
    <row r="500" spans="1:34">
      <c r="A500" s="372" t="s">
        <v>3974</v>
      </c>
      <c r="B500" s="373" t="s">
        <v>3975</v>
      </c>
      <c r="C500" s="372" t="s">
        <v>3976</v>
      </c>
      <c r="D500" s="374">
        <v>1601110188262</v>
      </c>
      <c r="E500" s="372" t="s">
        <v>3977</v>
      </c>
      <c r="F500" s="375" t="s">
        <v>3978</v>
      </c>
      <c r="G500" s="375" t="s">
        <v>3978</v>
      </c>
      <c r="H500" s="375" t="s">
        <v>1348</v>
      </c>
      <c r="I500" s="375" t="s">
        <v>869</v>
      </c>
      <c r="J500" s="375">
        <v>0</v>
      </c>
      <c r="K500" s="375">
        <v>0</v>
      </c>
      <c r="L500" s="375">
        <v>0</v>
      </c>
      <c r="M500" s="375">
        <v>131112.05863000001</v>
      </c>
      <c r="N500" s="372" t="s">
        <v>1033</v>
      </c>
      <c r="O500" s="703">
        <v>0.31063918961710846</v>
      </c>
      <c r="P500" s="375" t="s">
        <v>623</v>
      </c>
      <c r="Q500" s="372" t="s">
        <v>623</v>
      </c>
      <c r="R500" s="695">
        <v>20231121</v>
      </c>
      <c r="S500" s="375" t="s">
        <v>3979</v>
      </c>
      <c r="T500" s="696" t="s">
        <v>772</v>
      </c>
      <c r="U500" s="375" t="s">
        <v>3980</v>
      </c>
      <c r="V500" s="722">
        <v>0</v>
      </c>
      <c r="W500" s="722">
        <v>3.59</v>
      </c>
      <c r="X500" s="722">
        <v>0</v>
      </c>
      <c r="Y500" s="722">
        <v>0</v>
      </c>
      <c r="Z500" s="382" t="s">
        <v>934</v>
      </c>
      <c r="AA500" s="372">
        <v>95.533770000000004</v>
      </c>
      <c r="AB500" s="372">
        <v>269.9423433</v>
      </c>
      <c r="AC500" s="372">
        <v>601.2114219</v>
      </c>
      <c r="AD500" s="372">
        <v>648.21406709999997</v>
      </c>
      <c r="AE500" s="372">
        <v>0</v>
      </c>
      <c r="AF500" s="372">
        <v>0</v>
      </c>
      <c r="AG500" s="372">
        <v>0</v>
      </c>
      <c r="AH500" s="372">
        <v>0</v>
      </c>
    </row>
    <row r="501" spans="1:34">
      <c r="A501" s="372" t="s">
        <v>3981</v>
      </c>
      <c r="B501" s="373" t="s">
        <v>3982</v>
      </c>
      <c r="C501" s="372" t="s">
        <v>3983</v>
      </c>
      <c r="D501" s="374">
        <v>1345110064482</v>
      </c>
      <c r="E501" s="372" t="s">
        <v>3984</v>
      </c>
      <c r="F501" s="375" t="s">
        <v>1195</v>
      </c>
      <c r="G501" s="375" t="s">
        <v>1196</v>
      </c>
      <c r="H501" s="375" t="s">
        <v>1388</v>
      </c>
      <c r="I501" s="375" t="s">
        <v>869</v>
      </c>
      <c r="J501" s="375">
        <v>146938.07225999999</v>
      </c>
      <c r="K501" s="375">
        <v>-5861.8669900000004</v>
      </c>
      <c r="L501" s="375">
        <v>2268.4822600000002</v>
      </c>
      <c r="M501" s="375">
        <v>298898.67466999998</v>
      </c>
      <c r="N501" s="372">
        <v>1.0329999999999999</v>
      </c>
      <c r="O501" s="703">
        <v>5.3005994190872978E-2</v>
      </c>
      <c r="P501" s="375" t="s">
        <v>623</v>
      </c>
      <c r="Q501" s="375" t="s">
        <v>623</v>
      </c>
      <c r="R501" s="695">
        <v>20080520</v>
      </c>
      <c r="S501" s="375" t="s">
        <v>3985</v>
      </c>
      <c r="T501" s="696">
        <v>0.20900000000000002</v>
      </c>
      <c r="U501" s="375" t="s">
        <v>3986</v>
      </c>
      <c r="V501" s="722" t="s">
        <v>774</v>
      </c>
      <c r="W501" s="722">
        <v>1.1200000000000001</v>
      </c>
      <c r="X501" s="722">
        <v>2.7</v>
      </c>
      <c r="Y501" s="722">
        <v>253.73</v>
      </c>
      <c r="Z501" s="382">
        <v>0.2554217013783262</v>
      </c>
      <c r="AA501" s="372">
        <v>2459.6749896000001</v>
      </c>
      <c r="AB501" s="372">
        <v>3751.9433079999999</v>
      </c>
      <c r="AC501" s="372">
        <v>3579.9168257000001</v>
      </c>
      <c r="AD501" s="372">
        <v>1469.3807225999999</v>
      </c>
      <c r="AE501" s="372">
        <v>2225</v>
      </c>
      <c r="AF501" s="372">
        <v>3111</v>
      </c>
      <c r="AG501" s="372">
        <v>3650</v>
      </c>
      <c r="AH501" s="372">
        <v>4227</v>
      </c>
    </row>
    <row r="502" spans="1:34">
      <c r="A502" s="372" t="s">
        <v>3987</v>
      </c>
      <c r="B502" s="373" t="s">
        <v>3988</v>
      </c>
      <c r="C502" s="372" t="s">
        <v>3989</v>
      </c>
      <c r="D502" s="374">
        <v>1101110991467</v>
      </c>
      <c r="E502" s="372" t="s">
        <v>3990</v>
      </c>
      <c r="F502" s="375" t="s">
        <v>1985</v>
      </c>
      <c r="G502" s="375" t="s">
        <v>1985</v>
      </c>
      <c r="H502" s="375" t="s">
        <v>868</v>
      </c>
      <c r="I502" s="375" t="s">
        <v>869</v>
      </c>
      <c r="J502" s="375">
        <v>30417.114430000001</v>
      </c>
      <c r="K502" s="375">
        <v>-4676.1400700000004</v>
      </c>
      <c r="L502" s="375">
        <v>-4206.7915000000003</v>
      </c>
      <c r="M502" s="375">
        <v>38895.172440000002</v>
      </c>
      <c r="N502" s="372">
        <v>1.2470000000000001</v>
      </c>
      <c r="O502" s="703">
        <v>2.2943336449956919</v>
      </c>
      <c r="P502" s="375" t="s">
        <v>623</v>
      </c>
      <c r="Q502" s="375" t="s">
        <v>623</v>
      </c>
      <c r="R502" s="695">
        <v>20011109</v>
      </c>
      <c r="S502" s="375" t="s">
        <v>3991</v>
      </c>
      <c r="T502" s="696" t="s">
        <v>772</v>
      </c>
      <c r="U502" s="375" t="s">
        <v>3992</v>
      </c>
      <c r="V502" s="722">
        <v>0</v>
      </c>
      <c r="W502" s="722">
        <v>10.85</v>
      </c>
      <c r="X502" s="722">
        <v>0</v>
      </c>
      <c r="Y502" s="722">
        <v>0</v>
      </c>
      <c r="Z502" s="382" t="s">
        <v>934</v>
      </c>
      <c r="AA502" s="372">
        <v>576.93783370000006</v>
      </c>
      <c r="AB502" s="372">
        <v>276.4629908</v>
      </c>
      <c r="AC502" s="372">
        <v>445.01666549999999</v>
      </c>
      <c r="AD502" s="372">
        <v>304.17114429999998</v>
      </c>
      <c r="AE502" s="372">
        <v>0</v>
      </c>
      <c r="AF502" s="372">
        <v>0</v>
      </c>
      <c r="AG502" s="372">
        <v>0</v>
      </c>
      <c r="AH502" s="372">
        <v>0</v>
      </c>
    </row>
    <row r="503" spans="1:34">
      <c r="A503" s="372" t="s">
        <v>3993</v>
      </c>
      <c r="B503" s="373" t="s">
        <v>3994</v>
      </c>
      <c r="C503" s="372" t="s">
        <v>3995</v>
      </c>
      <c r="D503" s="374">
        <v>1101110006274</v>
      </c>
      <c r="E503" s="372" t="s">
        <v>3996</v>
      </c>
      <c r="F503" s="375" t="s">
        <v>3997</v>
      </c>
      <c r="G503" s="375" t="s">
        <v>3997</v>
      </c>
      <c r="H503" s="375" t="s">
        <v>3998</v>
      </c>
      <c r="I503" s="375" t="s">
        <v>755</v>
      </c>
      <c r="J503" s="375">
        <v>908334.40246000001</v>
      </c>
      <c r="K503" s="375">
        <v>87582.502729999993</v>
      </c>
      <c r="L503" s="375">
        <v>100881.46794</v>
      </c>
      <c r="M503" s="375">
        <v>849757.31932999997</v>
      </c>
      <c r="N503" s="372">
        <v>0.77400000000000002</v>
      </c>
      <c r="O503" s="703">
        <v>21.150719919022031</v>
      </c>
      <c r="P503" s="375" t="s">
        <v>623</v>
      </c>
      <c r="Q503" s="372" t="s">
        <v>623</v>
      </c>
      <c r="R503" s="695">
        <v>19881215</v>
      </c>
      <c r="S503" s="372" t="s">
        <v>3999</v>
      </c>
      <c r="T503" s="696">
        <v>0.23100000000000001</v>
      </c>
      <c r="U503" s="372" t="s">
        <v>4000</v>
      </c>
      <c r="V503" s="722">
        <v>2.7</v>
      </c>
      <c r="W503" s="722">
        <v>0.42</v>
      </c>
      <c r="X503" s="722">
        <v>0.41</v>
      </c>
      <c r="Y503" s="722">
        <v>4.5599999999999996</v>
      </c>
      <c r="Z503" s="382" t="s">
        <v>934</v>
      </c>
      <c r="AA503" s="372">
        <v>7316.3174931000003</v>
      </c>
      <c r="AB503" s="372">
        <v>9457.3447156999991</v>
      </c>
      <c r="AC503" s="372">
        <v>10233.928750999999</v>
      </c>
      <c r="AD503" s="372">
        <v>9083.3440245999991</v>
      </c>
      <c r="AE503" s="372">
        <v>9825</v>
      </c>
      <c r="AF503" s="372">
        <v>10350</v>
      </c>
      <c r="AG503" s="372">
        <v>0</v>
      </c>
      <c r="AH503" s="372">
        <v>0</v>
      </c>
    </row>
    <row r="504" spans="1:34">
      <c r="A504" s="372" t="s">
        <v>4001</v>
      </c>
      <c r="B504" s="373" t="s">
        <v>4002</v>
      </c>
      <c r="C504" s="372" t="s">
        <v>4003</v>
      </c>
      <c r="D504" s="374">
        <v>1101113555187</v>
      </c>
      <c r="E504" s="372" t="s">
        <v>4003</v>
      </c>
      <c r="F504" s="375" t="s">
        <v>1553</v>
      </c>
      <c r="G504" s="375" t="s">
        <v>1554</v>
      </c>
      <c r="H504" s="375" t="s">
        <v>1555</v>
      </c>
      <c r="I504" s="375" t="s">
        <v>755</v>
      </c>
      <c r="J504" s="375">
        <v>1900725.82326</v>
      </c>
      <c r="K504" s="375">
        <v>57379.138440000002</v>
      </c>
      <c r="L504" s="375">
        <v>62823.60929</v>
      </c>
      <c r="M504" s="375">
        <v>1713549.88802</v>
      </c>
      <c r="N504" s="372">
        <v>0.79900000000000004</v>
      </c>
      <c r="O504" s="703">
        <v>153.49527156667349</v>
      </c>
      <c r="P504" s="375" t="s">
        <v>623</v>
      </c>
      <c r="Q504" s="375" t="s">
        <v>623</v>
      </c>
      <c r="R504" s="695">
        <v>20061201</v>
      </c>
      <c r="S504" s="375" t="s">
        <v>4004</v>
      </c>
      <c r="T504" s="696">
        <v>0.23100000000000001</v>
      </c>
      <c r="U504" s="375" t="s">
        <v>4005</v>
      </c>
      <c r="V504" s="722">
        <v>5.56</v>
      </c>
      <c r="W504" s="722">
        <v>0.25</v>
      </c>
      <c r="X504" s="722">
        <v>0.2</v>
      </c>
      <c r="Y504" s="722">
        <v>4.7</v>
      </c>
      <c r="Z504" s="382" t="s">
        <v>934</v>
      </c>
      <c r="AA504" s="372">
        <v>16104.599721</v>
      </c>
      <c r="AB504" s="372">
        <v>17931.039797199999</v>
      </c>
      <c r="AC504" s="372">
        <v>19685.403646300001</v>
      </c>
      <c r="AD504" s="372">
        <v>19007.258232600001</v>
      </c>
      <c r="AE504" s="372">
        <v>20433</v>
      </c>
      <c r="AF504" s="372">
        <v>21698</v>
      </c>
      <c r="AG504" s="372">
        <v>0</v>
      </c>
      <c r="AH504" s="372">
        <v>0</v>
      </c>
    </row>
    <row r="505" spans="1:34">
      <c r="A505" s="372" t="s">
        <v>4006</v>
      </c>
      <c r="B505" s="373" t="s">
        <v>4007</v>
      </c>
      <c r="C505" s="372" t="s">
        <v>4008</v>
      </c>
      <c r="D505" s="374">
        <v>1101117016870</v>
      </c>
      <c r="E505" s="372" t="s">
        <v>4009</v>
      </c>
      <c r="F505" s="372" t="s">
        <v>2438</v>
      </c>
      <c r="G505" s="375" t="s">
        <v>2438</v>
      </c>
      <c r="H505" s="375" t="s">
        <v>868</v>
      </c>
      <c r="I505" s="375" t="s">
        <v>869</v>
      </c>
      <c r="J505" s="375">
        <v>267838.06180999998</v>
      </c>
      <c r="K505" s="375">
        <v>4143.3346899999997</v>
      </c>
      <c r="L505" s="375">
        <v>4551.8867200000004</v>
      </c>
      <c r="M505" s="375">
        <v>160732.66592999999</v>
      </c>
      <c r="N505" s="372">
        <v>0.94799999999999995</v>
      </c>
      <c r="O505" s="703">
        <v>6.4366418823769163</v>
      </c>
      <c r="P505" s="375" t="s">
        <v>623</v>
      </c>
      <c r="Q505" s="375" t="s">
        <v>623</v>
      </c>
      <c r="R505" s="695">
        <v>20190508</v>
      </c>
      <c r="S505" s="375" t="s">
        <v>4010</v>
      </c>
      <c r="T505" s="696">
        <v>0.20900000000000002</v>
      </c>
      <c r="U505" s="372" t="s">
        <v>4011</v>
      </c>
      <c r="V505" s="722">
        <v>50.74</v>
      </c>
      <c r="W505" s="722">
        <v>2.48</v>
      </c>
      <c r="X505" s="722">
        <v>1.48</v>
      </c>
      <c r="Y505" s="722">
        <v>94.54</v>
      </c>
      <c r="Z505" s="382" t="s">
        <v>934</v>
      </c>
      <c r="AA505" s="372">
        <v>1974.6791791999999</v>
      </c>
      <c r="AB505" s="372">
        <v>2400.8770014000002</v>
      </c>
      <c r="AC505" s="372">
        <v>2104.5610879000001</v>
      </c>
      <c r="AD505" s="372">
        <v>2678.3806181</v>
      </c>
      <c r="AE505" s="372">
        <v>2901</v>
      </c>
      <c r="AF505" s="372">
        <v>0</v>
      </c>
      <c r="AG505" s="372">
        <v>0</v>
      </c>
      <c r="AH505" s="372">
        <v>0</v>
      </c>
    </row>
    <row r="506" spans="1:34">
      <c r="A506" s="372" t="s">
        <v>4012</v>
      </c>
      <c r="B506" s="373" t="s">
        <v>4013</v>
      </c>
      <c r="C506" s="372" t="s">
        <v>4014</v>
      </c>
      <c r="D506" s="374">
        <v>2149110034430</v>
      </c>
      <c r="E506" s="372" t="s">
        <v>4015</v>
      </c>
      <c r="F506" s="375" t="s">
        <v>4016</v>
      </c>
      <c r="G506" s="375" t="s">
        <v>4017</v>
      </c>
      <c r="H506" s="375" t="s">
        <v>868</v>
      </c>
      <c r="I506" s="375" t="s">
        <v>869</v>
      </c>
      <c r="J506" s="375">
        <v>1410837.7245799999</v>
      </c>
      <c r="K506" s="375">
        <v>40446.93417</v>
      </c>
      <c r="L506" s="375">
        <v>16652.255740000001</v>
      </c>
      <c r="M506" s="375">
        <v>308556.52935000003</v>
      </c>
      <c r="N506" s="372">
        <v>0.87</v>
      </c>
      <c r="O506" s="703">
        <v>128.56607629028326</v>
      </c>
      <c r="P506" s="375" t="s">
        <v>623</v>
      </c>
      <c r="Q506" s="375" t="s">
        <v>623</v>
      </c>
      <c r="R506" s="695">
        <v>20110502</v>
      </c>
      <c r="S506" s="375" t="s">
        <v>4018</v>
      </c>
      <c r="T506" s="696">
        <v>0.20900000000000002</v>
      </c>
      <c r="U506" s="372" t="s">
        <v>4019</v>
      </c>
      <c r="V506" s="722">
        <v>7.12</v>
      </c>
      <c r="W506" s="722">
        <v>1.51</v>
      </c>
      <c r="X506" s="722">
        <v>0.33</v>
      </c>
      <c r="Y506" s="722">
        <v>35.700000000000003</v>
      </c>
      <c r="Z506" s="382" t="s">
        <v>934</v>
      </c>
      <c r="AA506" s="372">
        <v>8954.6545119999992</v>
      </c>
      <c r="AB506" s="372">
        <v>11180.53875</v>
      </c>
      <c r="AC506" s="372">
        <v>13429.0940348</v>
      </c>
      <c r="AD506" s="372">
        <v>14108.3772458</v>
      </c>
      <c r="AE506" s="372">
        <v>0</v>
      </c>
      <c r="AF506" s="372">
        <v>0</v>
      </c>
      <c r="AG506" s="372">
        <v>0</v>
      </c>
      <c r="AH506" s="372">
        <v>0</v>
      </c>
    </row>
    <row r="507" spans="1:34">
      <c r="A507" s="372" t="s">
        <v>4020</v>
      </c>
      <c r="B507" s="373" t="s">
        <v>4021</v>
      </c>
      <c r="C507" s="372" t="s">
        <v>4022</v>
      </c>
      <c r="D507" s="374">
        <v>1358110389651</v>
      </c>
      <c r="E507" s="372" t="s">
        <v>4023</v>
      </c>
      <c r="F507" s="375" t="s">
        <v>2450</v>
      </c>
      <c r="G507" s="375" t="s">
        <v>2451</v>
      </c>
      <c r="H507" s="375" t="s">
        <v>868</v>
      </c>
      <c r="I507" s="375" t="s">
        <v>869</v>
      </c>
      <c r="J507" s="375">
        <v>0</v>
      </c>
      <c r="K507" s="375">
        <v>0</v>
      </c>
      <c r="L507" s="375">
        <v>0</v>
      </c>
      <c r="M507" s="375">
        <v>128612.25921</v>
      </c>
      <c r="N507" s="372" t="s">
        <v>1033</v>
      </c>
      <c r="O507" s="703">
        <v>4.7439252844615263</v>
      </c>
      <c r="P507" s="375" t="s">
        <v>623</v>
      </c>
      <c r="Q507" s="372" t="s">
        <v>623</v>
      </c>
      <c r="R507" s="695">
        <v>20230714</v>
      </c>
      <c r="S507" s="372" t="s">
        <v>4024</v>
      </c>
      <c r="T507" s="696" t="s">
        <v>772</v>
      </c>
      <c r="U507" s="372" t="s">
        <v>4025</v>
      </c>
      <c r="V507" s="722">
        <v>0</v>
      </c>
      <c r="W507" s="722">
        <v>3.05</v>
      </c>
      <c r="X507" s="722">
        <v>0</v>
      </c>
      <c r="Y507" s="722">
        <v>0</v>
      </c>
      <c r="Z507" s="382" t="s">
        <v>934</v>
      </c>
      <c r="AA507" s="372">
        <v>174.30907010000001</v>
      </c>
      <c r="AB507" s="372">
        <v>1651.5196209000001</v>
      </c>
      <c r="AC507" s="372">
        <v>1897.0975418</v>
      </c>
      <c r="AD507" s="372">
        <v>1967.1516807999999</v>
      </c>
      <c r="AE507" s="372">
        <v>0</v>
      </c>
      <c r="AF507" s="372">
        <v>0</v>
      </c>
      <c r="AG507" s="372">
        <v>0</v>
      </c>
      <c r="AH507" s="372">
        <v>0</v>
      </c>
    </row>
    <row r="508" spans="1:34">
      <c r="A508" s="372" t="s">
        <v>4026</v>
      </c>
      <c r="B508" s="373" t="s">
        <v>4027</v>
      </c>
      <c r="C508" s="372" t="s">
        <v>4028</v>
      </c>
      <c r="D508" s="374">
        <v>1101110152134</v>
      </c>
      <c r="E508" s="372" t="s">
        <v>4029</v>
      </c>
      <c r="F508" s="375" t="s">
        <v>4030</v>
      </c>
      <c r="G508" s="375" t="s">
        <v>4030</v>
      </c>
      <c r="H508" s="375" t="s">
        <v>788</v>
      </c>
      <c r="I508" s="375" t="s">
        <v>755</v>
      </c>
      <c r="J508" s="375">
        <v>1514454.14812</v>
      </c>
      <c r="K508" s="375">
        <v>42069.819369999997</v>
      </c>
      <c r="L508" s="375">
        <v>49019.336609999998</v>
      </c>
      <c r="M508" s="375">
        <v>588047.07750000001</v>
      </c>
      <c r="N508" s="372">
        <v>0.92100000000000004</v>
      </c>
      <c r="O508" s="703">
        <v>86.078851060126169</v>
      </c>
      <c r="P508" s="375" t="s">
        <v>623</v>
      </c>
      <c r="Q508" s="375" t="s">
        <v>623</v>
      </c>
      <c r="R508" s="695">
        <v>19891117</v>
      </c>
      <c r="S508" s="375" t="s">
        <v>4031</v>
      </c>
      <c r="T508" s="696">
        <v>0.23100000000000001</v>
      </c>
      <c r="U508" s="372" t="s">
        <v>4032</v>
      </c>
      <c r="V508" s="722">
        <v>8.4</v>
      </c>
      <c r="W508" s="722">
        <v>0.65</v>
      </c>
      <c r="X508" s="722">
        <v>0.26</v>
      </c>
      <c r="Y508" s="722">
        <v>10.54</v>
      </c>
      <c r="Z508" s="382" t="s">
        <v>934</v>
      </c>
      <c r="AA508" s="372">
        <v>12437.695962199999</v>
      </c>
      <c r="AB508" s="372">
        <v>13381.8155432</v>
      </c>
      <c r="AC508" s="372">
        <v>14315.452551300001</v>
      </c>
      <c r="AD508" s="372">
        <v>15144.5414812</v>
      </c>
      <c r="AE508" s="372">
        <v>0</v>
      </c>
      <c r="AF508" s="372">
        <v>0</v>
      </c>
      <c r="AG508" s="372">
        <v>0</v>
      </c>
      <c r="AH508" s="372">
        <v>0</v>
      </c>
    </row>
    <row r="509" spans="1:34">
      <c r="A509" s="372" t="s">
        <v>4033</v>
      </c>
      <c r="B509" s="373" t="s">
        <v>4034</v>
      </c>
      <c r="C509" s="372" t="s">
        <v>4035</v>
      </c>
      <c r="D509" s="374">
        <v>1101114810308</v>
      </c>
      <c r="E509" s="372" t="s">
        <v>4036</v>
      </c>
      <c r="F509" s="375" t="s">
        <v>1368</v>
      </c>
      <c r="G509" s="375" t="s">
        <v>1368</v>
      </c>
      <c r="H509" s="375" t="s">
        <v>868</v>
      </c>
      <c r="I509" s="375" t="s">
        <v>869</v>
      </c>
      <c r="J509" s="375">
        <v>105000.93210000001</v>
      </c>
      <c r="K509" s="375">
        <v>15862.041289999999</v>
      </c>
      <c r="L509" s="375">
        <v>14811.90906</v>
      </c>
      <c r="M509" s="375">
        <v>97045.319369999997</v>
      </c>
      <c r="N509" s="372" t="s">
        <v>1033</v>
      </c>
      <c r="O509" s="703">
        <v>9.2688351426192431E-2</v>
      </c>
      <c r="P509" s="375" t="s">
        <v>623</v>
      </c>
      <c r="Q509" s="375" t="s">
        <v>623</v>
      </c>
      <c r="R509" s="695">
        <v>20230608</v>
      </c>
      <c r="S509" s="375" t="s">
        <v>4037</v>
      </c>
      <c r="T509" s="696">
        <v>0.20900000000000002</v>
      </c>
      <c r="U509" s="372" t="s">
        <v>4038</v>
      </c>
      <c r="V509" s="722">
        <v>21.8</v>
      </c>
      <c r="W509" s="722">
        <v>3.8</v>
      </c>
      <c r="X509" s="722">
        <v>3.33</v>
      </c>
      <c r="Y509" s="722">
        <v>30.03</v>
      </c>
      <c r="Z509" s="382" t="s">
        <v>934</v>
      </c>
      <c r="AA509" s="372">
        <v>393.022695</v>
      </c>
      <c r="AB509" s="372">
        <v>626.20416550000004</v>
      </c>
      <c r="AC509" s="372">
        <v>1018.3560960999999</v>
      </c>
      <c r="AD509" s="372">
        <v>1050.009321</v>
      </c>
      <c r="AE509" s="372">
        <v>1377</v>
      </c>
      <c r="AF509" s="372">
        <v>1554.5</v>
      </c>
      <c r="AG509" s="372">
        <v>0</v>
      </c>
      <c r="AH509" s="372">
        <v>0</v>
      </c>
    </row>
    <row r="510" spans="1:34">
      <c r="A510" s="372" t="s">
        <v>4039</v>
      </c>
      <c r="B510" s="373" t="s">
        <v>4040</v>
      </c>
      <c r="C510" s="372" t="s">
        <v>4041</v>
      </c>
      <c r="D510" s="374">
        <v>1101110007826</v>
      </c>
      <c r="E510" s="372" t="s">
        <v>4042</v>
      </c>
      <c r="F510" s="375" t="s">
        <v>1272</v>
      </c>
      <c r="G510" s="375" t="s">
        <v>1273</v>
      </c>
      <c r="H510" s="375" t="s">
        <v>1274</v>
      </c>
      <c r="I510" s="375" t="s">
        <v>755</v>
      </c>
      <c r="J510" s="375">
        <v>274144.64944000001</v>
      </c>
      <c r="K510" s="375">
        <v>27039.37485</v>
      </c>
      <c r="L510" s="375">
        <v>33710.043109999999</v>
      </c>
      <c r="M510" s="375">
        <v>1011904.69958</v>
      </c>
      <c r="N510" s="372">
        <v>0.92900000000000005</v>
      </c>
      <c r="O510" s="703">
        <v>1044.4015912028192</v>
      </c>
      <c r="P510" s="375" t="s">
        <v>623</v>
      </c>
      <c r="Q510" s="372" t="s">
        <v>623</v>
      </c>
      <c r="R510" s="695">
        <v>19870824</v>
      </c>
      <c r="S510" s="375" t="s">
        <v>4043</v>
      </c>
      <c r="T510" s="696">
        <v>0.23100000000000001</v>
      </c>
      <c r="U510" s="375" t="s">
        <v>4044</v>
      </c>
      <c r="V510" s="722">
        <v>0</v>
      </c>
      <c r="W510" s="722">
        <v>0.33</v>
      </c>
      <c r="X510" s="722">
        <v>0.21</v>
      </c>
      <c r="Y510" s="722">
        <v>11.16</v>
      </c>
      <c r="Z510" s="382" t="s">
        <v>934</v>
      </c>
      <c r="AA510" s="372">
        <v>3434.9622143000001</v>
      </c>
      <c r="AB510" s="372">
        <v>3678.9361014999999</v>
      </c>
      <c r="AC510" s="372">
        <v>2660.6993538000002</v>
      </c>
      <c r="AD510" s="372">
        <v>2741.4464944000001</v>
      </c>
      <c r="AE510" s="372">
        <v>0</v>
      </c>
      <c r="AF510" s="372">
        <v>0</v>
      </c>
      <c r="AG510" s="372">
        <v>0</v>
      </c>
      <c r="AH510" s="372">
        <v>0</v>
      </c>
    </row>
    <row r="511" spans="1:34">
      <c r="A511" s="372" t="s">
        <v>4045</v>
      </c>
      <c r="B511" s="373" t="s">
        <v>4046</v>
      </c>
      <c r="C511" s="372" t="s">
        <v>4047</v>
      </c>
      <c r="D511" s="374">
        <v>1311110304011</v>
      </c>
      <c r="E511" s="372" t="s">
        <v>4048</v>
      </c>
      <c r="F511" s="375" t="s">
        <v>779</v>
      </c>
      <c r="G511" s="375" t="s">
        <v>839</v>
      </c>
      <c r="H511" s="375" t="s">
        <v>868</v>
      </c>
      <c r="I511" s="375" t="s">
        <v>869</v>
      </c>
      <c r="J511" s="375">
        <v>122198.21221</v>
      </c>
      <c r="K511" s="375">
        <v>13789.50791</v>
      </c>
      <c r="L511" s="375">
        <v>20626.789850000001</v>
      </c>
      <c r="M511" s="375">
        <v>155585.83541999999</v>
      </c>
      <c r="N511" s="372" t="s">
        <v>1033</v>
      </c>
      <c r="O511" s="703">
        <v>6.6332947601059411</v>
      </c>
      <c r="P511" s="375" t="s">
        <v>623</v>
      </c>
      <c r="Q511" s="375" t="s">
        <v>623</v>
      </c>
      <c r="R511" s="695">
        <v>20221018</v>
      </c>
      <c r="S511" s="375" t="s">
        <v>4049</v>
      </c>
      <c r="T511" s="696">
        <v>0.23100000000000001</v>
      </c>
      <c r="U511" s="372" t="s">
        <v>16010</v>
      </c>
      <c r="V511" s="722">
        <v>0</v>
      </c>
      <c r="W511" s="722">
        <v>3.1</v>
      </c>
      <c r="X511" s="722">
        <v>0</v>
      </c>
      <c r="Y511" s="722">
        <v>0</v>
      </c>
      <c r="Z511" s="382" t="s">
        <v>934</v>
      </c>
      <c r="AA511" s="372">
        <v>67.102008499999997</v>
      </c>
      <c r="AB511" s="372">
        <v>319.0439346</v>
      </c>
      <c r="AC511" s="372">
        <v>630.1995508</v>
      </c>
      <c r="AD511" s="372">
        <v>1221.9821221</v>
      </c>
      <c r="AE511" s="372">
        <v>0</v>
      </c>
      <c r="AF511" s="372">
        <v>0</v>
      </c>
      <c r="AG511" s="372">
        <v>0</v>
      </c>
      <c r="AH511" s="372">
        <v>0</v>
      </c>
    </row>
    <row r="512" spans="1:34">
      <c r="A512" s="372" t="s">
        <v>4050</v>
      </c>
      <c r="B512" s="373" t="s">
        <v>4051</v>
      </c>
      <c r="C512" s="372" t="s">
        <v>4052</v>
      </c>
      <c r="D512" s="374">
        <v>1112710005962</v>
      </c>
      <c r="E512" s="372" t="s">
        <v>4053</v>
      </c>
      <c r="F512" s="372" t="s">
        <v>4054</v>
      </c>
      <c r="G512" s="375" t="s">
        <v>4054</v>
      </c>
      <c r="H512" s="375" t="s">
        <v>953</v>
      </c>
      <c r="I512" s="375" t="s">
        <v>755</v>
      </c>
      <c r="J512" s="375">
        <v>3953697.6056499998</v>
      </c>
      <c r="K512" s="375">
        <v>314719.52202999999</v>
      </c>
      <c r="L512" s="375">
        <v>232445.60866999999</v>
      </c>
      <c r="M512" s="375">
        <v>2093243.5668599999</v>
      </c>
      <c r="N512" s="372">
        <v>0.60799999999999998</v>
      </c>
      <c r="O512" s="703">
        <v>879.05990884556252</v>
      </c>
      <c r="P512" s="375" t="s">
        <v>623</v>
      </c>
      <c r="Q512" s="372" t="s">
        <v>623</v>
      </c>
      <c r="R512" s="695">
        <v>20100129</v>
      </c>
      <c r="S512" s="372" t="s">
        <v>4055</v>
      </c>
      <c r="T512" s="696">
        <v>0.23100000000000001</v>
      </c>
      <c r="U512" s="372" t="s">
        <v>4056</v>
      </c>
      <c r="V512" s="722">
        <v>6.95</v>
      </c>
      <c r="W512" s="722">
        <v>0.14000000000000001</v>
      </c>
      <c r="X512" s="722">
        <v>7.0000000000000007E-2</v>
      </c>
      <c r="Y512" s="722">
        <v>1.42</v>
      </c>
      <c r="Z512" s="382">
        <v>-5.3349027644763458E-3</v>
      </c>
      <c r="AA512" s="372">
        <v>20989.062996699999</v>
      </c>
      <c r="AB512" s="372">
        <v>25367.9800971</v>
      </c>
      <c r="AC512" s="372">
        <v>41730.271364200002</v>
      </c>
      <c r="AD512" s="372">
        <v>39536.976056500003</v>
      </c>
      <c r="AE512" s="372">
        <v>37392.25</v>
      </c>
      <c r="AF512" s="372">
        <v>38206.67</v>
      </c>
      <c r="AG512" s="372">
        <v>38700</v>
      </c>
      <c r="AH512" s="372">
        <v>0</v>
      </c>
    </row>
    <row r="513" spans="1:34">
      <c r="A513" s="372" t="s">
        <v>4057</v>
      </c>
      <c r="B513" s="373" t="s">
        <v>4058</v>
      </c>
      <c r="C513" s="372" t="s">
        <v>4059</v>
      </c>
      <c r="D513" s="374">
        <v>1101110043127</v>
      </c>
      <c r="E513" s="372" t="s">
        <v>4060</v>
      </c>
      <c r="F513" s="375" t="s">
        <v>1334</v>
      </c>
      <c r="G513" s="375" t="s">
        <v>1334</v>
      </c>
      <c r="H513" s="375" t="s">
        <v>788</v>
      </c>
      <c r="I513" s="375" t="s">
        <v>755</v>
      </c>
      <c r="J513" s="375">
        <v>234902.46017999999</v>
      </c>
      <c r="K513" s="375">
        <v>3117.3944099999999</v>
      </c>
      <c r="L513" s="375">
        <v>-3917.8964900000001</v>
      </c>
      <c r="M513" s="375">
        <v>89632.344150000004</v>
      </c>
      <c r="N513" s="372">
        <v>0.84199999999999997</v>
      </c>
      <c r="O513" s="703">
        <v>17.29033446975809</v>
      </c>
      <c r="P513" s="375" t="s">
        <v>623</v>
      </c>
      <c r="Q513" s="375" t="s">
        <v>623</v>
      </c>
      <c r="R513" s="695">
        <v>19730625</v>
      </c>
      <c r="S513" s="375" t="s">
        <v>4061</v>
      </c>
      <c r="T513" s="696" t="s">
        <v>772</v>
      </c>
      <c r="U513" s="375" t="s">
        <v>4062</v>
      </c>
      <c r="V513" s="722">
        <v>0</v>
      </c>
      <c r="W513" s="722">
        <v>4.34</v>
      </c>
      <c r="X513" s="722">
        <v>0</v>
      </c>
      <c r="Y513" s="722">
        <v>0</v>
      </c>
      <c r="Z513" s="382" t="s">
        <v>934</v>
      </c>
      <c r="AA513" s="372">
        <v>2084.6363967000002</v>
      </c>
      <c r="AB513" s="372">
        <v>1960.6724184</v>
      </c>
      <c r="AC513" s="372">
        <v>2183.8098742000002</v>
      </c>
      <c r="AD513" s="372">
        <v>2349.0246017999998</v>
      </c>
      <c r="AE513" s="372">
        <v>0</v>
      </c>
      <c r="AF513" s="372">
        <v>0</v>
      </c>
      <c r="AG513" s="372">
        <v>0</v>
      </c>
      <c r="AH513" s="372">
        <v>0</v>
      </c>
    </row>
    <row r="514" spans="1:34">
      <c r="A514" s="372" t="s">
        <v>4063</v>
      </c>
      <c r="B514" s="373" t="s">
        <v>4064</v>
      </c>
      <c r="C514" s="372" t="s">
        <v>4065</v>
      </c>
      <c r="D514" s="374">
        <v>1801110000636</v>
      </c>
      <c r="E514" s="372" t="s">
        <v>4066</v>
      </c>
      <c r="F514" s="372" t="s">
        <v>1782</v>
      </c>
      <c r="G514" s="375" t="s">
        <v>2261</v>
      </c>
      <c r="H514" s="375" t="s">
        <v>832</v>
      </c>
      <c r="I514" s="375" t="s">
        <v>755</v>
      </c>
      <c r="J514" s="375">
        <v>1029975</v>
      </c>
      <c r="K514" s="375">
        <v>58469</v>
      </c>
      <c r="L514" s="375">
        <v>49494</v>
      </c>
      <c r="M514" s="375">
        <v>705592</v>
      </c>
      <c r="N514" s="372">
        <v>0.86099999999999999</v>
      </c>
      <c r="O514" s="703">
        <v>54.510995370370374</v>
      </c>
      <c r="P514" s="375" t="s">
        <v>623</v>
      </c>
      <c r="Q514" s="375" t="s">
        <v>623</v>
      </c>
      <c r="R514" s="695">
        <v>19770625</v>
      </c>
      <c r="S514" s="375" t="s">
        <v>4067</v>
      </c>
      <c r="T514" s="696">
        <v>0.23100000000000001</v>
      </c>
      <c r="U514" s="375" t="s">
        <v>4068</v>
      </c>
      <c r="V514" s="722">
        <v>4.97</v>
      </c>
      <c r="W514" s="722">
        <v>0.56000000000000005</v>
      </c>
      <c r="X514" s="722">
        <v>0.38</v>
      </c>
      <c r="Y514" s="722">
        <v>11.27</v>
      </c>
      <c r="Z514" s="382" t="s">
        <v>934</v>
      </c>
      <c r="AA514" s="372">
        <v>8077.68</v>
      </c>
      <c r="AB514" s="372">
        <v>9981.9</v>
      </c>
      <c r="AC514" s="372">
        <v>13295.09</v>
      </c>
      <c r="AD514" s="372">
        <v>10299.75</v>
      </c>
      <c r="AE514" s="372">
        <v>12577</v>
      </c>
      <c r="AF514" s="372">
        <v>14527</v>
      </c>
      <c r="AG514" s="372">
        <v>0</v>
      </c>
      <c r="AH514" s="372">
        <v>0</v>
      </c>
    </row>
    <row r="515" spans="1:34">
      <c r="A515" s="372" t="s">
        <v>4069</v>
      </c>
      <c r="B515" s="373" t="s">
        <v>4070</v>
      </c>
      <c r="C515" s="372" t="s">
        <v>4071</v>
      </c>
      <c r="D515" s="374">
        <v>1311110466283</v>
      </c>
      <c r="E515" s="372" t="s">
        <v>4072</v>
      </c>
      <c r="F515" s="375" t="s">
        <v>1124</v>
      </c>
      <c r="G515" s="375" t="s">
        <v>1347</v>
      </c>
      <c r="H515" s="375" t="s">
        <v>1348</v>
      </c>
      <c r="I515" s="375" t="s">
        <v>869</v>
      </c>
      <c r="J515" s="375">
        <v>0</v>
      </c>
      <c r="K515" s="375">
        <v>0</v>
      </c>
      <c r="L515" s="375">
        <v>0</v>
      </c>
      <c r="M515" s="375">
        <v>59099.540489999999</v>
      </c>
      <c r="N515" s="372" t="s">
        <v>1033</v>
      </c>
      <c r="O515" s="703">
        <v>9.5185501304104836</v>
      </c>
      <c r="P515" s="375" t="s">
        <v>623</v>
      </c>
      <c r="Q515" s="375" t="s">
        <v>623</v>
      </c>
      <c r="R515" s="695">
        <v>20231109</v>
      </c>
      <c r="S515" s="375" t="s">
        <v>4073</v>
      </c>
      <c r="T515" s="696" t="s">
        <v>772</v>
      </c>
      <c r="U515" s="375" t="s">
        <v>4074</v>
      </c>
      <c r="V515" s="722">
        <v>0</v>
      </c>
      <c r="W515" s="722">
        <v>8.25</v>
      </c>
      <c r="X515" s="722">
        <v>0</v>
      </c>
      <c r="Y515" s="722">
        <v>0</v>
      </c>
      <c r="Z515" s="382" t="s">
        <v>774</v>
      </c>
      <c r="AA515" s="372">
        <v>0.359649</v>
      </c>
      <c r="AB515" s="372">
        <v>0</v>
      </c>
      <c r="AC515" s="372">
        <v>0</v>
      </c>
      <c r="AD515" s="372">
        <v>0</v>
      </c>
      <c r="AE515" s="372">
        <v>0</v>
      </c>
      <c r="AF515" s="372">
        <v>0</v>
      </c>
      <c r="AG515" s="372">
        <v>0</v>
      </c>
      <c r="AH515" s="372">
        <v>0</v>
      </c>
    </row>
    <row r="516" spans="1:34">
      <c r="A516" s="372" t="s">
        <v>4075</v>
      </c>
      <c r="B516" s="373" t="s">
        <v>4076</v>
      </c>
      <c r="C516" s="372" t="s">
        <v>4077</v>
      </c>
      <c r="D516" s="374">
        <v>1101114767153</v>
      </c>
      <c r="E516" s="372" t="s">
        <v>4078</v>
      </c>
      <c r="F516" s="375" t="s">
        <v>4079</v>
      </c>
      <c r="G516" s="375" t="s">
        <v>4079</v>
      </c>
      <c r="H516" s="375" t="s">
        <v>1693</v>
      </c>
      <c r="I516" s="375" t="s">
        <v>869</v>
      </c>
      <c r="J516" s="375">
        <v>60372.245940000001</v>
      </c>
      <c r="K516" s="375">
        <v>3486.5468099999998</v>
      </c>
      <c r="L516" s="375">
        <v>4120.1663600000002</v>
      </c>
      <c r="M516" s="375">
        <v>81028.417520000003</v>
      </c>
      <c r="N516" s="372">
        <v>0.95399999999999996</v>
      </c>
      <c r="O516" s="703">
        <v>0.64776513321047058</v>
      </c>
      <c r="P516" s="375" t="s">
        <v>623</v>
      </c>
      <c r="Q516" s="375" t="s">
        <v>623</v>
      </c>
      <c r="R516" s="695">
        <v>20170801</v>
      </c>
      <c r="S516" s="375" t="s">
        <v>4080</v>
      </c>
      <c r="T516" s="696">
        <v>0.20900000000000002</v>
      </c>
      <c r="U516" s="375" t="s">
        <v>4081</v>
      </c>
      <c r="V516" s="722">
        <v>55.86</v>
      </c>
      <c r="W516" s="722">
        <v>3.83</v>
      </c>
      <c r="X516" s="722">
        <v>5.1100000000000003</v>
      </c>
      <c r="Y516" s="722">
        <v>77.099999999999994</v>
      </c>
      <c r="Z516" s="382">
        <v>5.8541692819433777E-2</v>
      </c>
      <c r="AA516" s="372">
        <v>577.2515588</v>
      </c>
      <c r="AB516" s="372">
        <v>674.21822039999995</v>
      </c>
      <c r="AC516" s="372">
        <v>612.14379659999997</v>
      </c>
      <c r="AD516" s="372">
        <v>603.72245940000005</v>
      </c>
      <c r="AE516" s="372">
        <v>781.5</v>
      </c>
      <c r="AF516" s="372">
        <v>780.5</v>
      </c>
      <c r="AG516" s="372">
        <v>758</v>
      </c>
      <c r="AH516" s="372">
        <v>0</v>
      </c>
    </row>
    <row r="517" spans="1:34">
      <c r="A517" s="372" t="s">
        <v>4082</v>
      </c>
      <c r="B517" s="373" t="s">
        <v>4083</v>
      </c>
      <c r="C517" s="372" t="s">
        <v>4084</v>
      </c>
      <c r="D517" s="374">
        <v>1101116743763</v>
      </c>
      <c r="E517" s="372" t="s">
        <v>4085</v>
      </c>
      <c r="F517" s="375" t="s">
        <v>1673</v>
      </c>
      <c r="G517" s="375" t="s">
        <v>2391</v>
      </c>
      <c r="H517" s="375" t="s">
        <v>1388</v>
      </c>
      <c r="I517" s="375" t="s">
        <v>869</v>
      </c>
      <c r="J517" s="375">
        <v>0</v>
      </c>
      <c r="K517" s="375">
        <v>0</v>
      </c>
      <c r="L517" s="375">
        <v>0</v>
      </c>
      <c r="M517" s="375">
        <v>27722.500499999998</v>
      </c>
      <c r="N517" s="372" t="s">
        <v>1033</v>
      </c>
      <c r="O517" s="703">
        <v>2.0517782991738387</v>
      </c>
      <c r="P517" s="375" t="s">
        <v>623</v>
      </c>
      <c r="Q517" s="372" t="s">
        <v>623</v>
      </c>
      <c r="R517" s="695">
        <v>20231027</v>
      </c>
      <c r="S517" s="375" t="s">
        <v>4086</v>
      </c>
      <c r="T517" s="696" t="s">
        <v>772</v>
      </c>
      <c r="U517" s="375" t="s">
        <v>4087</v>
      </c>
      <c r="V517" s="722">
        <v>0</v>
      </c>
      <c r="W517" s="722">
        <v>15.8</v>
      </c>
      <c r="X517" s="722">
        <v>0</v>
      </c>
      <c r="Y517" s="722">
        <v>0</v>
      </c>
      <c r="Z517" s="382" t="s">
        <v>934</v>
      </c>
      <c r="AA517" s="372">
        <v>13.1607805</v>
      </c>
      <c r="AB517" s="372">
        <v>39.520700599999998</v>
      </c>
      <c r="AC517" s="372">
        <v>107.8927472</v>
      </c>
      <c r="AD517" s="372">
        <v>107.7454116</v>
      </c>
      <c r="AE517" s="372">
        <v>0</v>
      </c>
      <c r="AF517" s="372">
        <v>0</v>
      </c>
      <c r="AG517" s="372">
        <v>0</v>
      </c>
      <c r="AH517" s="372">
        <v>0</v>
      </c>
    </row>
    <row r="518" spans="1:34">
      <c r="A518" s="372" t="s">
        <v>4088</v>
      </c>
      <c r="B518" s="373" t="s">
        <v>4089</v>
      </c>
      <c r="C518" s="372" t="s">
        <v>4090</v>
      </c>
      <c r="D518" s="374">
        <v>1501110101662</v>
      </c>
      <c r="E518" s="372" t="s">
        <v>4091</v>
      </c>
      <c r="F518" s="375" t="s">
        <v>1614</v>
      </c>
      <c r="G518" s="375" t="s">
        <v>3843</v>
      </c>
      <c r="H518" s="375" t="s">
        <v>1388</v>
      </c>
      <c r="I518" s="375" t="s">
        <v>869</v>
      </c>
      <c r="J518" s="375">
        <v>391674.58474000002</v>
      </c>
      <c r="K518" s="375">
        <v>24689.972880000001</v>
      </c>
      <c r="L518" s="375">
        <v>18447.754410000001</v>
      </c>
      <c r="M518" s="375">
        <v>448262.19861999998</v>
      </c>
      <c r="N518" s="372">
        <v>0.91</v>
      </c>
      <c r="O518" s="703">
        <v>6.1995630813483427</v>
      </c>
      <c r="P518" s="375" t="s">
        <v>623</v>
      </c>
      <c r="Q518" s="372" t="s">
        <v>623</v>
      </c>
      <c r="R518" s="695">
        <v>20111228</v>
      </c>
      <c r="S518" s="372" t="s">
        <v>4092</v>
      </c>
      <c r="T518" s="696">
        <v>0.20900000000000002</v>
      </c>
      <c r="U518" s="372" t="s">
        <v>4093</v>
      </c>
      <c r="V518" s="722">
        <v>6.68</v>
      </c>
      <c r="W518" s="722">
        <v>0.85</v>
      </c>
      <c r="X518" s="722">
        <v>0.97</v>
      </c>
      <c r="Y518" s="722">
        <v>27.37</v>
      </c>
      <c r="Z518" s="382" t="s">
        <v>934</v>
      </c>
      <c r="AA518" s="372">
        <v>2767.5612569</v>
      </c>
      <c r="AB518" s="372">
        <v>3107.2930132000001</v>
      </c>
      <c r="AC518" s="372">
        <v>5812.5802507999997</v>
      </c>
      <c r="AD518" s="372">
        <v>3916.7458474</v>
      </c>
      <c r="AE518" s="372">
        <v>3879</v>
      </c>
      <c r="AF518" s="372">
        <v>4312.5</v>
      </c>
      <c r="AG518" s="372">
        <v>0</v>
      </c>
      <c r="AH518" s="372">
        <v>0</v>
      </c>
    </row>
    <row r="519" spans="1:34">
      <c r="A519" s="372" t="s">
        <v>4094</v>
      </c>
      <c r="B519" s="373" t="s">
        <v>4095</v>
      </c>
      <c r="C519" s="372" t="s">
        <v>4096</v>
      </c>
      <c r="D519" s="374">
        <v>1911110000104</v>
      </c>
      <c r="E519" s="372" t="s">
        <v>4097</v>
      </c>
      <c r="F519" s="372" t="s">
        <v>4098</v>
      </c>
      <c r="G519" s="375" t="s">
        <v>4098</v>
      </c>
      <c r="H519" s="375" t="s">
        <v>1050</v>
      </c>
      <c r="I519" s="375" t="s">
        <v>755</v>
      </c>
      <c r="J519" s="375">
        <v>1433390.77728</v>
      </c>
      <c r="K519" s="375">
        <v>65403.445119999997</v>
      </c>
      <c r="L519" s="375">
        <v>23888.93448</v>
      </c>
      <c r="M519" s="375">
        <v>577059.69886</v>
      </c>
      <c r="N519" s="372">
        <v>0.98699999999999999</v>
      </c>
      <c r="O519" s="703">
        <v>293.28658710229149</v>
      </c>
      <c r="P519" s="375" t="s">
        <v>623</v>
      </c>
      <c r="Q519" s="375" t="s">
        <v>623</v>
      </c>
      <c r="R519" s="695">
        <v>19750627</v>
      </c>
      <c r="S519" s="375" t="s">
        <v>4099</v>
      </c>
      <c r="T519" s="696">
        <v>0.23100000000000001</v>
      </c>
      <c r="U519" s="372" t="s">
        <v>4100</v>
      </c>
      <c r="V519" s="722">
        <v>12.64</v>
      </c>
      <c r="W519" s="722">
        <v>0.96</v>
      </c>
      <c r="X519" s="722">
        <v>0.31</v>
      </c>
      <c r="Y519" s="722">
        <v>24.97</v>
      </c>
      <c r="Z519" s="382" t="s">
        <v>934</v>
      </c>
      <c r="AA519" s="372">
        <v>8957.5142443999994</v>
      </c>
      <c r="AB519" s="372">
        <v>11791.933218100001</v>
      </c>
      <c r="AC519" s="372">
        <v>14637.379297199999</v>
      </c>
      <c r="AD519" s="372">
        <v>14333.907772799999</v>
      </c>
      <c r="AE519" s="372">
        <v>14423</v>
      </c>
      <c r="AF519" s="372">
        <v>20142</v>
      </c>
      <c r="AG519" s="372">
        <v>0</v>
      </c>
      <c r="AH519" s="372">
        <v>0</v>
      </c>
    </row>
    <row r="520" spans="1:34">
      <c r="A520" s="372" t="s">
        <v>4101</v>
      </c>
      <c r="B520" s="373" t="s">
        <v>4102</v>
      </c>
      <c r="C520" s="372" t="s">
        <v>4103</v>
      </c>
      <c r="D520" s="374">
        <v>1311110081627</v>
      </c>
      <c r="E520" s="372" t="s">
        <v>4104</v>
      </c>
      <c r="F520" s="372" t="s">
        <v>1673</v>
      </c>
      <c r="G520" s="375" t="s">
        <v>1673</v>
      </c>
      <c r="H520" s="375" t="s">
        <v>1388</v>
      </c>
      <c r="I520" s="375" t="s">
        <v>869</v>
      </c>
      <c r="J520" s="375">
        <v>100172.17767</v>
      </c>
      <c r="K520" s="375">
        <v>-17407.233830000001</v>
      </c>
      <c r="L520" s="375">
        <v>-14994.0859</v>
      </c>
      <c r="M520" s="375">
        <v>148749.15992000001</v>
      </c>
      <c r="N520" s="372">
        <v>1.133</v>
      </c>
      <c r="O520" s="703">
        <v>12.186149348541974</v>
      </c>
      <c r="P520" s="375" t="s">
        <v>623</v>
      </c>
      <c r="Q520" s="375" t="s">
        <v>623</v>
      </c>
      <c r="R520" s="695">
        <v>20141216</v>
      </c>
      <c r="S520" s="375" t="s">
        <v>4105</v>
      </c>
      <c r="T520" s="696" t="s">
        <v>772</v>
      </c>
      <c r="U520" s="375" t="s">
        <v>4106</v>
      </c>
      <c r="V520" s="722" t="s">
        <v>774</v>
      </c>
      <c r="W520" s="722">
        <v>2.83</v>
      </c>
      <c r="X520" s="722">
        <v>4.33</v>
      </c>
      <c r="Y520" s="722" t="s">
        <v>774</v>
      </c>
      <c r="Z520" s="382" t="s">
        <v>934</v>
      </c>
      <c r="AA520" s="372">
        <v>2923.6036964</v>
      </c>
      <c r="AB520" s="372">
        <v>3220.8365749999998</v>
      </c>
      <c r="AC520" s="372">
        <v>1642.4876956999999</v>
      </c>
      <c r="AD520" s="372">
        <v>1001.7217767</v>
      </c>
      <c r="AE520" s="372">
        <v>1689</v>
      </c>
      <c r="AF520" s="372">
        <v>2187</v>
      </c>
      <c r="AG520" s="372">
        <v>0</v>
      </c>
      <c r="AH520" s="372">
        <v>0</v>
      </c>
    </row>
    <row r="521" spans="1:34">
      <c r="A521" s="372" t="s">
        <v>4107</v>
      </c>
      <c r="B521" s="373" t="s">
        <v>4108</v>
      </c>
      <c r="C521" s="372" t="s">
        <v>4109</v>
      </c>
      <c r="D521" s="374">
        <v>1345110003696</v>
      </c>
      <c r="E521" s="372" t="s">
        <v>4110</v>
      </c>
      <c r="F521" s="375" t="s">
        <v>1286</v>
      </c>
      <c r="G521" s="375" t="s">
        <v>1736</v>
      </c>
      <c r="H521" s="375" t="s">
        <v>754</v>
      </c>
      <c r="I521" s="375" t="s">
        <v>755</v>
      </c>
      <c r="J521" s="375">
        <v>280768.54501</v>
      </c>
      <c r="K521" s="375">
        <v>23693.227780000001</v>
      </c>
      <c r="L521" s="375">
        <v>25879.753359999999</v>
      </c>
      <c r="M521" s="375">
        <v>245224.49239999999</v>
      </c>
      <c r="N521" s="372">
        <v>1.016</v>
      </c>
      <c r="O521" s="703">
        <v>1.7084445436264881</v>
      </c>
      <c r="P521" s="375" t="s">
        <v>623</v>
      </c>
      <c r="Q521" s="375" t="s">
        <v>623</v>
      </c>
      <c r="R521" s="695">
        <v>19760626</v>
      </c>
      <c r="S521" s="375" t="s">
        <v>4111</v>
      </c>
      <c r="T521" s="696">
        <v>0.23100000000000001</v>
      </c>
      <c r="U521" s="372" t="s">
        <v>4112</v>
      </c>
      <c r="V521" s="722">
        <v>8.83</v>
      </c>
      <c r="W521" s="722">
        <v>1.62</v>
      </c>
      <c r="X521" s="722">
        <v>1.41</v>
      </c>
      <c r="Y521" s="722">
        <v>19.03</v>
      </c>
      <c r="Z521" s="382">
        <v>7.3953650796789061E-2</v>
      </c>
      <c r="AA521" s="372">
        <v>2425.1420241000001</v>
      </c>
      <c r="AB521" s="372">
        <v>2621.5928574</v>
      </c>
      <c r="AC521" s="372">
        <v>2634.6912996000001</v>
      </c>
      <c r="AD521" s="372">
        <v>2807.6854500999998</v>
      </c>
      <c r="AE521" s="372">
        <v>3077.33</v>
      </c>
      <c r="AF521" s="372">
        <v>3384.67</v>
      </c>
      <c r="AG521" s="372">
        <v>3735</v>
      </c>
      <c r="AH521" s="372">
        <v>0</v>
      </c>
    </row>
    <row r="522" spans="1:34">
      <c r="A522" s="372" t="s">
        <v>4113</v>
      </c>
      <c r="B522" s="373" t="s">
        <v>4114</v>
      </c>
      <c r="C522" s="372" t="s">
        <v>4115</v>
      </c>
      <c r="D522" s="374">
        <v>1101111204637</v>
      </c>
      <c r="E522" s="372" t="s">
        <v>4116</v>
      </c>
      <c r="F522" s="375" t="s">
        <v>1985</v>
      </c>
      <c r="G522" s="375" t="s">
        <v>1985</v>
      </c>
      <c r="H522" s="375" t="s">
        <v>1388</v>
      </c>
      <c r="I522" s="375" t="s">
        <v>869</v>
      </c>
      <c r="J522" s="375">
        <v>74802.246289999995</v>
      </c>
      <c r="K522" s="375">
        <v>-11091.73561</v>
      </c>
      <c r="L522" s="375">
        <v>-12019.53686</v>
      </c>
      <c r="M522" s="375">
        <v>55872.580300000001</v>
      </c>
      <c r="N522" s="372">
        <v>1.46</v>
      </c>
      <c r="O522" s="703">
        <v>9.2033294477547898</v>
      </c>
      <c r="P522" s="375" t="s">
        <v>623</v>
      </c>
      <c r="Q522" s="375" t="s">
        <v>623</v>
      </c>
      <c r="R522" s="695">
        <v>20110105</v>
      </c>
      <c r="S522" s="375" t="s">
        <v>4117</v>
      </c>
      <c r="T522" s="696" t="s">
        <v>772</v>
      </c>
      <c r="U522" s="375" t="s">
        <v>4118</v>
      </c>
      <c r="V522" s="722" t="s">
        <v>774</v>
      </c>
      <c r="W522" s="722">
        <v>6.54</v>
      </c>
      <c r="X522" s="722">
        <v>5.17</v>
      </c>
      <c r="Y522" s="722" t="s">
        <v>774</v>
      </c>
      <c r="Z522" s="382">
        <v>0.31927798826309184</v>
      </c>
      <c r="AA522" s="372">
        <v>562.59572309999999</v>
      </c>
      <c r="AB522" s="372">
        <v>1196.6110586</v>
      </c>
      <c r="AC522" s="372">
        <v>1188.3672644000001</v>
      </c>
      <c r="AD522" s="372">
        <v>748.02246290000005</v>
      </c>
      <c r="AE522" s="372">
        <v>1319.6</v>
      </c>
      <c r="AF522" s="372">
        <v>1658.67</v>
      </c>
      <c r="AG522" s="372">
        <v>2266</v>
      </c>
      <c r="AH522" s="372">
        <v>0</v>
      </c>
    </row>
    <row r="523" spans="1:34">
      <c r="A523" s="372" t="s">
        <v>4119</v>
      </c>
      <c r="B523" s="373" t="s">
        <v>4120</v>
      </c>
      <c r="C523" s="372" t="s">
        <v>4121</v>
      </c>
      <c r="D523" s="374">
        <v>1311110449718</v>
      </c>
      <c r="E523" s="372" t="s">
        <v>4122</v>
      </c>
      <c r="F523" s="372" t="s">
        <v>1286</v>
      </c>
      <c r="G523" s="375" t="s">
        <v>1286</v>
      </c>
      <c r="H523" s="375" t="s">
        <v>1388</v>
      </c>
      <c r="I523" s="375" t="s">
        <v>869</v>
      </c>
      <c r="J523" s="375">
        <v>30934.610499999999</v>
      </c>
      <c r="K523" s="375">
        <v>-2912.3917200000001</v>
      </c>
      <c r="L523" s="375">
        <v>-934.09577999999999</v>
      </c>
      <c r="M523" s="375">
        <v>102064.29763</v>
      </c>
      <c r="N523" s="372">
        <v>1.2789999999999999</v>
      </c>
      <c r="O523" s="703">
        <v>18.733328572158321</v>
      </c>
      <c r="P523" s="375" t="s">
        <v>623</v>
      </c>
      <c r="Q523" s="375" t="s">
        <v>623</v>
      </c>
      <c r="R523" s="695">
        <v>20210520</v>
      </c>
      <c r="S523" s="375" t="s">
        <v>4123</v>
      </c>
      <c r="T523" s="696" t="s">
        <v>772</v>
      </c>
      <c r="U523" s="372" t="s">
        <v>4124</v>
      </c>
      <c r="V523" s="722">
        <v>0</v>
      </c>
      <c r="W523" s="722">
        <v>2.67</v>
      </c>
      <c r="X523" s="722">
        <v>0</v>
      </c>
      <c r="Y523" s="722">
        <v>0</v>
      </c>
      <c r="Z523" s="382" t="s">
        <v>934</v>
      </c>
      <c r="AA523" s="372">
        <v>359.42186930000003</v>
      </c>
      <c r="AB523" s="372">
        <v>475.72154749999999</v>
      </c>
      <c r="AC523" s="372">
        <v>501.1858623</v>
      </c>
      <c r="AD523" s="372">
        <v>309.34610500000002</v>
      </c>
      <c r="AE523" s="372">
        <v>0</v>
      </c>
      <c r="AF523" s="372">
        <v>0</v>
      </c>
      <c r="AG523" s="372">
        <v>0</v>
      </c>
      <c r="AH523" s="372">
        <v>0</v>
      </c>
    </row>
    <row r="524" spans="1:34">
      <c r="A524" s="372" t="s">
        <v>4125</v>
      </c>
      <c r="B524" s="373" t="s">
        <v>4126</v>
      </c>
      <c r="C524" s="372" t="s">
        <v>4127</v>
      </c>
      <c r="D524" s="374">
        <v>1717110036705</v>
      </c>
      <c r="E524" s="372" t="s">
        <v>4128</v>
      </c>
      <c r="F524" s="375" t="s">
        <v>1124</v>
      </c>
      <c r="G524" s="375" t="s">
        <v>1347</v>
      </c>
      <c r="H524" s="375" t="s">
        <v>1348</v>
      </c>
      <c r="I524" s="375" t="s">
        <v>869</v>
      </c>
      <c r="J524" s="375">
        <v>4426.6269899999998</v>
      </c>
      <c r="K524" s="375">
        <v>-41240.886619999997</v>
      </c>
      <c r="L524" s="375">
        <v>-66860.297229999996</v>
      </c>
      <c r="M524" s="375">
        <v>296903.61567999999</v>
      </c>
      <c r="N524" s="372">
        <v>1.2769999999999999</v>
      </c>
      <c r="O524" s="703">
        <v>21.660718084556034</v>
      </c>
      <c r="P524" s="375" t="s">
        <v>623</v>
      </c>
      <c r="Q524" s="372" t="s">
        <v>623</v>
      </c>
      <c r="R524" s="695">
        <v>20090915</v>
      </c>
      <c r="S524" s="372" t="s">
        <v>4129</v>
      </c>
      <c r="T524" s="696" t="s">
        <v>772</v>
      </c>
      <c r="U524" s="375" t="s">
        <v>4130</v>
      </c>
      <c r="V524" s="722" t="s">
        <v>774</v>
      </c>
      <c r="W524" s="722">
        <v>1.38</v>
      </c>
      <c r="X524" s="722">
        <v>92.44</v>
      </c>
      <c r="Y524" s="722" t="s">
        <v>774</v>
      </c>
      <c r="Z524" s="382" t="s">
        <v>934</v>
      </c>
      <c r="AA524" s="372">
        <v>185.43494620000001</v>
      </c>
      <c r="AB524" s="372">
        <v>368.28454640000001</v>
      </c>
      <c r="AC524" s="372">
        <v>161.39032159999999</v>
      </c>
      <c r="AD524" s="372">
        <v>44.266269899999998</v>
      </c>
      <c r="AE524" s="372">
        <v>100</v>
      </c>
      <c r="AF524" s="372">
        <v>0</v>
      </c>
      <c r="AG524" s="372">
        <v>0</v>
      </c>
      <c r="AH524" s="372">
        <v>0</v>
      </c>
    </row>
    <row r="525" spans="1:34">
      <c r="A525" s="372" t="s">
        <v>4131</v>
      </c>
      <c r="B525" s="373" t="s">
        <v>4132</v>
      </c>
      <c r="C525" s="372" t="s">
        <v>4133</v>
      </c>
      <c r="D525" s="374">
        <v>1201110018110</v>
      </c>
      <c r="E525" s="372" t="s">
        <v>4134</v>
      </c>
      <c r="F525" s="375" t="s">
        <v>900</v>
      </c>
      <c r="G525" s="375" t="s">
        <v>901</v>
      </c>
      <c r="H525" s="375" t="s">
        <v>862</v>
      </c>
      <c r="I525" s="375" t="s">
        <v>755</v>
      </c>
      <c r="J525" s="375">
        <v>406728.73051000002</v>
      </c>
      <c r="K525" s="375">
        <v>67837.648329999996</v>
      </c>
      <c r="L525" s="375">
        <v>65374.214359999998</v>
      </c>
      <c r="M525" s="375">
        <v>1023904.31617</v>
      </c>
      <c r="N525" s="372">
        <v>0.97799999999999998</v>
      </c>
      <c r="O525" s="703">
        <v>15.922092697658172</v>
      </c>
      <c r="P525" s="375" t="s">
        <v>623</v>
      </c>
      <c r="Q525" s="375" t="s">
        <v>623</v>
      </c>
      <c r="R525" s="695">
        <v>19880728</v>
      </c>
      <c r="S525" s="375" t="s">
        <v>4135</v>
      </c>
      <c r="T525" s="696">
        <v>0.23100000000000001</v>
      </c>
      <c r="U525" s="375" t="s">
        <v>4136</v>
      </c>
      <c r="V525" s="722">
        <v>5.0599999999999996</v>
      </c>
      <c r="W525" s="722">
        <v>0.36</v>
      </c>
      <c r="X525" s="722">
        <v>0.91</v>
      </c>
      <c r="Y525" s="722">
        <v>4.47</v>
      </c>
      <c r="Z525" s="382" t="s">
        <v>934</v>
      </c>
      <c r="AA525" s="372">
        <v>2659.4072974000001</v>
      </c>
      <c r="AB525" s="372">
        <v>4877.8467799</v>
      </c>
      <c r="AC525" s="372">
        <v>3876.7143489</v>
      </c>
      <c r="AD525" s="372">
        <v>4067.2873051000001</v>
      </c>
      <c r="AE525" s="372">
        <v>4650</v>
      </c>
      <c r="AF525" s="372">
        <v>5020</v>
      </c>
      <c r="AG525" s="372">
        <v>0</v>
      </c>
      <c r="AH525" s="372">
        <v>0</v>
      </c>
    </row>
    <row r="526" spans="1:34">
      <c r="A526" s="372" t="s">
        <v>4137</v>
      </c>
      <c r="B526" s="373" t="s">
        <v>4138</v>
      </c>
      <c r="C526" s="372" t="s">
        <v>4139</v>
      </c>
      <c r="D526" s="374">
        <v>1101110164717</v>
      </c>
      <c r="E526" s="372" t="s">
        <v>4140</v>
      </c>
      <c r="F526" s="375" t="s">
        <v>4141</v>
      </c>
      <c r="G526" s="375" t="s">
        <v>4142</v>
      </c>
      <c r="H526" s="375" t="s">
        <v>832</v>
      </c>
      <c r="I526" s="375" t="s">
        <v>755</v>
      </c>
      <c r="J526" s="375">
        <v>1588078.32479</v>
      </c>
      <c r="K526" s="375">
        <v>11053.225200000001</v>
      </c>
      <c r="L526" s="375">
        <v>9824.6183700000001</v>
      </c>
      <c r="M526" s="375">
        <v>519316.74299</v>
      </c>
      <c r="N526" s="372">
        <v>0.88400000000000001</v>
      </c>
      <c r="O526" s="703">
        <v>52.108523822023891</v>
      </c>
      <c r="P526" s="375" t="s">
        <v>623</v>
      </c>
      <c r="Q526" s="372" t="s">
        <v>623</v>
      </c>
      <c r="R526" s="695">
        <v>19951110</v>
      </c>
      <c r="S526" s="372" t="s">
        <v>4143</v>
      </c>
      <c r="T526" s="696">
        <v>0.20900000000000002</v>
      </c>
      <c r="U526" s="372" t="s">
        <v>4144</v>
      </c>
      <c r="V526" s="722">
        <v>16.11</v>
      </c>
      <c r="W526" s="722">
        <v>0.71</v>
      </c>
      <c r="X526" s="722">
        <v>0.23</v>
      </c>
      <c r="Y526" s="722">
        <v>30.72</v>
      </c>
      <c r="Z526" s="382" t="s">
        <v>934</v>
      </c>
      <c r="AA526" s="372">
        <v>10098.4524822</v>
      </c>
      <c r="AB526" s="372">
        <v>14518.844072800001</v>
      </c>
      <c r="AC526" s="372">
        <v>21695.6587052</v>
      </c>
      <c r="AD526" s="372">
        <v>15880.783247900001</v>
      </c>
      <c r="AE526" s="372">
        <v>0</v>
      </c>
      <c r="AF526" s="372">
        <v>0</v>
      </c>
      <c r="AG526" s="372">
        <v>0</v>
      </c>
      <c r="AH526" s="372">
        <v>0</v>
      </c>
    </row>
    <row r="527" spans="1:34">
      <c r="A527" s="372" t="s">
        <v>4145</v>
      </c>
      <c r="B527" s="373" t="s">
        <v>4146</v>
      </c>
      <c r="C527" s="372" t="s">
        <v>4147</v>
      </c>
      <c r="D527" s="374">
        <v>1101116860640</v>
      </c>
      <c r="E527" s="372" t="s">
        <v>4148</v>
      </c>
      <c r="F527" s="375" t="s">
        <v>2509</v>
      </c>
      <c r="G527" s="375" t="s">
        <v>2509</v>
      </c>
      <c r="H527" s="375" t="s">
        <v>817</v>
      </c>
      <c r="I527" s="375" t="s">
        <v>755</v>
      </c>
      <c r="J527" s="375">
        <v>1860904.96991</v>
      </c>
      <c r="K527" s="375">
        <v>231910.19404</v>
      </c>
      <c r="L527" s="375">
        <v>242702.70423999999</v>
      </c>
      <c r="M527" s="375">
        <v>997250.71195999999</v>
      </c>
      <c r="N527" s="372">
        <v>0.88100000000000001</v>
      </c>
      <c r="O527" s="703">
        <v>61.518711474590191</v>
      </c>
      <c r="P527" s="375" t="s">
        <v>623</v>
      </c>
      <c r="Q527" s="375" t="s">
        <v>623</v>
      </c>
      <c r="R527" s="695">
        <v>20181005</v>
      </c>
      <c r="S527" s="375" t="s">
        <v>4149</v>
      </c>
      <c r="T527" s="696">
        <v>0.23100000000000001</v>
      </c>
      <c r="U527" s="375" t="s">
        <v>4150</v>
      </c>
      <c r="V527" s="722">
        <v>0</v>
      </c>
      <c r="W527" s="722">
        <v>0.39</v>
      </c>
      <c r="X527" s="722">
        <v>0</v>
      </c>
      <c r="Y527" s="722">
        <v>0</v>
      </c>
      <c r="Z527" s="382" t="s">
        <v>934</v>
      </c>
      <c r="AA527" s="372">
        <v>11504.661645599999</v>
      </c>
      <c r="AB527" s="372">
        <v>14973.607758100001</v>
      </c>
      <c r="AC527" s="372">
        <v>18018.3509046</v>
      </c>
      <c r="AD527" s="372">
        <v>18609.0496991</v>
      </c>
      <c r="AE527" s="372">
        <v>0</v>
      </c>
      <c r="AF527" s="372">
        <v>0</v>
      </c>
      <c r="AG527" s="372">
        <v>0</v>
      </c>
      <c r="AH527" s="372">
        <v>0</v>
      </c>
    </row>
    <row r="528" spans="1:34">
      <c r="A528" s="372" t="s">
        <v>4151</v>
      </c>
      <c r="B528" s="373" t="s">
        <v>4152</v>
      </c>
      <c r="C528" s="372" t="s">
        <v>4153</v>
      </c>
      <c r="D528" s="374">
        <v>1101111398117</v>
      </c>
      <c r="E528" s="372" t="s">
        <v>4154</v>
      </c>
      <c r="F528" s="375" t="s">
        <v>1814</v>
      </c>
      <c r="G528" s="375" t="s">
        <v>2821</v>
      </c>
      <c r="H528" s="375" t="s">
        <v>1693</v>
      </c>
      <c r="I528" s="375" t="s">
        <v>869</v>
      </c>
      <c r="J528" s="375">
        <v>107891.93534</v>
      </c>
      <c r="K528" s="375">
        <v>6248.0701499999996</v>
      </c>
      <c r="L528" s="375">
        <v>25042.283960000001</v>
      </c>
      <c r="M528" s="375">
        <v>257114.12968000001</v>
      </c>
      <c r="N528" s="372">
        <v>1.071</v>
      </c>
      <c r="O528" s="703">
        <v>5.2214044072425132</v>
      </c>
      <c r="P528" s="375" t="s">
        <v>623</v>
      </c>
      <c r="Q528" s="375" t="s">
        <v>623</v>
      </c>
      <c r="R528" s="695">
        <v>20051028</v>
      </c>
      <c r="S528" s="375" t="s">
        <v>4155</v>
      </c>
      <c r="T528" s="696">
        <v>0.23100000000000001</v>
      </c>
      <c r="U528" s="375" t="s">
        <v>4156</v>
      </c>
      <c r="V528" s="722">
        <v>40.659999999999997</v>
      </c>
      <c r="W528" s="722">
        <v>2.63</v>
      </c>
      <c r="X528" s="722">
        <v>2.02</v>
      </c>
      <c r="Y528" s="722">
        <v>10.25</v>
      </c>
      <c r="Z528" s="382" t="s">
        <v>934</v>
      </c>
      <c r="AA528" s="372">
        <v>194.94758479999999</v>
      </c>
      <c r="AB528" s="372">
        <v>229.81880229999999</v>
      </c>
      <c r="AC528" s="372">
        <v>241.83175209999999</v>
      </c>
      <c r="AD528" s="372">
        <v>1078.9193534000001</v>
      </c>
      <c r="AE528" s="372">
        <v>0</v>
      </c>
      <c r="AF528" s="372">
        <v>0</v>
      </c>
      <c r="AG528" s="372">
        <v>0</v>
      </c>
      <c r="AH528" s="372">
        <v>0</v>
      </c>
    </row>
    <row r="529" spans="1:34">
      <c r="A529" s="372" t="s">
        <v>4157</v>
      </c>
      <c r="B529" s="373" t="s">
        <v>4158</v>
      </c>
      <c r="C529" s="372" t="s">
        <v>4159</v>
      </c>
      <c r="D529" s="374">
        <v>1101110003668</v>
      </c>
      <c r="E529" s="372" t="s">
        <v>4160</v>
      </c>
      <c r="F529" s="372" t="s">
        <v>1472</v>
      </c>
      <c r="G529" s="375" t="s">
        <v>4161</v>
      </c>
      <c r="H529" s="375" t="s">
        <v>916</v>
      </c>
      <c r="I529" s="375" t="s">
        <v>755</v>
      </c>
      <c r="J529" s="375">
        <v>2807528.7825600002</v>
      </c>
      <c r="K529" s="375">
        <v>122526.97925</v>
      </c>
      <c r="L529" s="375">
        <v>26661.24265</v>
      </c>
      <c r="M529" s="375">
        <v>1539576.6217400001</v>
      </c>
      <c r="N529" s="372">
        <v>0.94599999999999995</v>
      </c>
      <c r="O529" s="703">
        <v>696.36109992779427</v>
      </c>
      <c r="P529" s="375" t="s">
        <v>623</v>
      </c>
      <c r="Q529" s="375" t="s">
        <v>623</v>
      </c>
      <c r="R529" s="695">
        <v>19740812</v>
      </c>
      <c r="S529" s="375" t="s">
        <v>4162</v>
      </c>
      <c r="T529" s="696">
        <v>0.23100000000000001</v>
      </c>
      <c r="U529" s="375" t="s">
        <v>4163</v>
      </c>
      <c r="V529" s="722">
        <v>8.26</v>
      </c>
      <c r="W529" s="722">
        <v>0.26</v>
      </c>
      <c r="X529" s="722">
        <v>0.13</v>
      </c>
      <c r="Y529" s="722">
        <v>14.22</v>
      </c>
      <c r="Z529" s="382">
        <v>4.8723176896657838E-2</v>
      </c>
      <c r="AA529" s="372">
        <v>22156.866408499998</v>
      </c>
      <c r="AB529" s="372">
        <v>25041.311937499999</v>
      </c>
      <c r="AC529" s="372">
        <v>28494.208694299999</v>
      </c>
      <c r="AD529" s="372">
        <v>28075.2878256</v>
      </c>
      <c r="AE529" s="372">
        <v>29122.5</v>
      </c>
      <c r="AF529" s="372">
        <v>30505</v>
      </c>
      <c r="AG529" s="372">
        <v>33960</v>
      </c>
      <c r="AH529" s="372">
        <v>0</v>
      </c>
    </row>
    <row r="530" spans="1:34">
      <c r="A530" s="372" t="s">
        <v>4164</v>
      </c>
      <c r="B530" s="373" t="s">
        <v>4165</v>
      </c>
      <c r="C530" s="372" t="s">
        <v>4166</v>
      </c>
      <c r="D530" s="374">
        <v>1701110111352</v>
      </c>
      <c r="E530" s="372" t="s">
        <v>4167</v>
      </c>
      <c r="F530" s="372" t="s">
        <v>4168</v>
      </c>
      <c r="G530" s="375" t="s">
        <v>4169</v>
      </c>
      <c r="H530" s="375" t="s">
        <v>868</v>
      </c>
      <c r="I530" s="375" t="s">
        <v>869</v>
      </c>
      <c r="J530" s="375">
        <v>157085.34296000001</v>
      </c>
      <c r="K530" s="375">
        <v>29770.728070000001</v>
      </c>
      <c r="L530" s="375">
        <v>33104.978450000002</v>
      </c>
      <c r="M530" s="375">
        <v>179492.26120000001</v>
      </c>
      <c r="N530" s="372">
        <v>0.56499999999999995</v>
      </c>
      <c r="O530" s="703">
        <v>9.0168001350637716</v>
      </c>
      <c r="P530" s="375" t="s">
        <v>623</v>
      </c>
      <c r="Q530" s="372" t="s">
        <v>623</v>
      </c>
      <c r="R530" s="695">
        <v>20060607</v>
      </c>
      <c r="S530" s="372" t="s">
        <v>4170</v>
      </c>
      <c r="T530" s="696">
        <v>0.23100000000000001</v>
      </c>
      <c r="U530" s="372" t="s">
        <v>4171</v>
      </c>
      <c r="V530" s="722">
        <v>9.24</v>
      </c>
      <c r="W530" s="722">
        <v>1.58</v>
      </c>
      <c r="X530" s="722">
        <v>2.04</v>
      </c>
      <c r="Y530" s="722">
        <v>12.21</v>
      </c>
      <c r="Z530" s="382">
        <v>8.111903334890469E-2</v>
      </c>
      <c r="AA530" s="372">
        <v>1154.1140736</v>
      </c>
      <c r="AB530" s="372">
        <v>1158.2629970999999</v>
      </c>
      <c r="AC530" s="372">
        <v>1419.7763009</v>
      </c>
      <c r="AD530" s="372">
        <v>1570.8534296</v>
      </c>
      <c r="AE530" s="372">
        <v>1758.2</v>
      </c>
      <c r="AF530" s="372">
        <v>1958.6</v>
      </c>
      <c r="AG530" s="372">
        <v>2146</v>
      </c>
      <c r="AH530" s="372">
        <v>0</v>
      </c>
    </row>
    <row r="531" spans="1:34">
      <c r="A531" s="372" t="s">
        <v>4172</v>
      </c>
      <c r="B531" s="373" t="s">
        <v>4173</v>
      </c>
      <c r="C531" s="372" t="s">
        <v>16150</v>
      </c>
      <c r="D531" s="374">
        <v>1348110112334</v>
      </c>
      <c r="E531" s="372" t="s">
        <v>4174</v>
      </c>
      <c r="F531" s="375" t="s">
        <v>1195</v>
      </c>
      <c r="G531" s="375" t="s">
        <v>3144</v>
      </c>
      <c r="H531" s="375" t="s">
        <v>1388</v>
      </c>
      <c r="I531" s="375" t="s">
        <v>869</v>
      </c>
      <c r="J531" s="375">
        <v>107061.2928</v>
      </c>
      <c r="K531" s="375">
        <v>8644.2316599999995</v>
      </c>
      <c r="L531" s="375">
        <v>14676.037420000001</v>
      </c>
      <c r="M531" s="375">
        <v>186126.70345999999</v>
      </c>
      <c r="N531" s="372">
        <v>0.90900000000000003</v>
      </c>
      <c r="O531" s="703">
        <v>7.3339918970947188E-2</v>
      </c>
      <c r="P531" s="375" t="s">
        <v>623</v>
      </c>
      <c r="Q531" s="372" t="s">
        <v>623</v>
      </c>
      <c r="R531" s="695">
        <v>20180807</v>
      </c>
      <c r="S531" s="372" t="s">
        <v>4175</v>
      </c>
      <c r="T531" s="696">
        <v>0.20900000000000002</v>
      </c>
      <c r="U531" s="372" t="s">
        <v>4176</v>
      </c>
      <c r="V531" s="722">
        <v>35.11</v>
      </c>
      <c r="W531" s="722">
        <v>1.83</v>
      </c>
      <c r="X531" s="722">
        <v>3.25</v>
      </c>
      <c r="Y531" s="722">
        <v>26.42</v>
      </c>
      <c r="Z531" s="382">
        <v>0.16468487526559539</v>
      </c>
      <c r="AA531" s="372">
        <v>285.92794950000001</v>
      </c>
      <c r="AB531" s="372">
        <v>760.92185270000004</v>
      </c>
      <c r="AC531" s="372">
        <v>1328.7492017</v>
      </c>
      <c r="AD531" s="372">
        <v>1070.612928</v>
      </c>
      <c r="AE531" s="372">
        <v>960</v>
      </c>
      <c r="AF531" s="372">
        <v>1370</v>
      </c>
      <c r="AG531" s="372">
        <v>1970</v>
      </c>
      <c r="AH531" s="372">
        <v>0</v>
      </c>
    </row>
    <row r="532" spans="1:34">
      <c r="A532" s="372" t="s">
        <v>4177</v>
      </c>
      <c r="B532" s="373" t="s">
        <v>4178</v>
      </c>
      <c r="C532" s="372" t="s">
        <v>4179</v>
      </c>
      <c r="D532" s="374">
        <v>1313110033856</v>
      </c>
      <c r="E532" s="372" t="s">
        <v>4180</v>
      </c>
      <c r="F532" s="375" t="s">
        <v>1768</v>
      </c>
      <c r="G532" s="375" t="s">
        <v>1768</v>
      </c>
      <c r="H532" s="375" t="s">
        <v>868</v>
      </c>
      <c r="I532" s="375" t="s">
        <v>869</v>
      </c>
      <c r="J532" s="375">
        <v>121842.77944</v>
      </c>
      <c r="K532" s="375">
        <v>18315.172070000001</v>
      </c>
      <c r="L532" s="375">
        <v>16224.84568</v>
      </c>
      <c r="M532" s="375">
        <v>187757.90383</v>
      </c>
      <c r="N532" s="372">
        <v>0.71</v>
      </c>
      <c r="O532" s="703">
        <v>18.579289833724598</v>
      </c>
      <c r="P532" s="375" t="s">
        <v>16142</v>
      </c>
      <c r="Q532" s="375" t="s">
        <v>16145</v>
      </c>
      <c r="R532" s="695">
        <v>20100728</v>
      </c>
      <c r="S532" s="375" t="s">
        <v>4181</v>
      </c>
      <c r="T532" s="696">
        <v>0.20900000000000002</v>
      </c>
      <c r="U532" s="375" t="s">
        <v>4182</v>
      </c>
      <c r="V532" s="722">
        <v>15.74</v>
      </c>
      <c r="W532" s="722">
        <v>2.04</v>
      </c>
      <c r="X532" s="722">
        <v>3.43</v>
      </c>
      <c r="Y532" s="722">
        <v>30.27</v>
      </c>
      <c r="Z532" s="382" t="s">
        <v>934</v>
      </c>
      <c r="AA532" s="372">
        <v>882.02799530000004</v>
      </c>
      <c r="AB532" s="372">
        <v>1075.3483000000001</v>
      </c>
      <c r="AC532" s="372">
        <v>1178.2239238</v>
      </c>
      <c r="AD532" s="372">
        <v>1218.4277944</v>
      </c>
      <c r="AE532" s="372">
        <v>1409</v>
      </c>
      <c r="AF532" s="372">
        <v>1680</v>
      </c>
      <c r="AG532" s="372">
        <v>0</v>
      </c>
      <c r="AH532" s="372">
        <v>0</v>
      </c>
    </row>
    <row r="533" spans="1:34">
      <c r="A533" s="372" t="s">
        <v>4183</v>
      </c>
      <c r="B533" s="373" t="s">
        <v>4184</v>
      </c>
      <c r="C533" s="372" t="s">
        <v>4185</v>
      </c>
      <c r="D533" s="374">
        <v>1615110049069</v>
      </c>
      <c r="E533" s="372" t="s">
        <v>4186</v>
      </c>
      <c r="F533" s="375" t="s">
        <v>1195</v>
      </c>
      <c r="G533" s="375" t="s">
        <v>1196</v>
      </c>
      <c r="H533" s="375" t="s">
        <v>1388</v>
      </c>
      <c r="I533" s="375" t="s">
        <v>869</v>
      </c>
      <c r="J533" s="375">
        <v>473028.42109999998</v>
      </c>
      <c r="K533" s="375">
        <v>67151.350019999998</v>
      </c>
      <c r="L533" s="375">
        <v>61706.286549999997</v>
      </c>
      <c r="M533" s="375">
        <v>260115.21080999999</v>
      </c>
      <c r="N533" s="372">
        <v>1.351</v>
      </c>
      <c r="O533" s="703">
        <v>10.844356040905136</v>
      </c>
      <c r="P533" s="375" t="s">
        <v>623</v>
      </c>
      <c r="Q533" s="372" t="s">
        <v>623</v>
      </c>
      <c r="R533" s="695">
        <v>20051005</v>
      </c>
      <c r="S533" s="372" t="s">
        <v>4187</v>
      </c>
      <c r="T533" s="696">
        <v>0.23100000000000001</v>
      </c>
      <c r="U533" s="372" t="s">
        <v>4188</v>
      </c>
      <c r="V533" s="722">
        <v>4.7300000000000004</v>
      </c>
      <c r="W533" s="722">
        <v>1.31</v>
      </c>
      <c r="X533" s="722">
        <v>0.76</v>
      </c>
      <c r="Y533" s="722">
        <v>6.71</v>
      </c>
      <c r="Z533" s="382" t="s">
        <v>934</v>
      </c>
      <c r="AA533" s="372">
        <v>1712.3928364999999</v>
      </c>
      <c r="AB533" s="372">
        <v>2595.9687214</v>
      </c>
      <c r="AC533" s="372">
        <v>3741.9746292999998</v>
      </c>
      <c r="AD533" s="372">
        <v>4730.2842110000001</v>
      </c>
      <c r="AE533" s="372">
        <v>4541</v>
      </c>
      <c r="AF533" s="372">
        <v>4973</v>
      </c>
      <c r="AG533" s="372">
        <v>0</v>
      </c>
      <c r="AH533" s="372">
        <v>0</v>
      </c>
    </row>
    <row r="534" spans="1:34">
      <c r="A534" s="372" t="s">
        <v>4189</v>
      </c>
      <c r="B534" s="373" t="s">
        <v>4190</v>
      </c>
      <c r="C534" s="372" t="s">
        <v>4191</v>
      </c>
      <c r="D534" s="374">
        <v>1101113280099</v>
      </c>
      <c r="E534" s="372" t="s">
        <v>4192</v>
      </c>
      <c r="F534" s="375" t="s">
        <v>900</v>
      </c>
      <c r="G534" s="375" t="s">
        <v>901</v>
      </c>
      <c r="H534" s="375" t="s">
        <v>862</v>
      </c>
      <c r="I534" s="375" t="s">
        <v>755</v>
      </c>
      <c r="J534" s="375">
        <v>5259400.4301399998</v>
      </c>
      <c r="K534" s="375">
        <v>114614.8915</v>
      </c>
      <c r="L534" s="375">
        <v>89421.842999999993</v>
      </c>
      <c r="M534" s="375">
        <v>1583313.4326500001</v>
      </c>
      <c r="N534" s="372">
        <v>0.88200000000000001</v>
      </c>
      <c r="O534" s="703">
        <v>577.12005060252284</v>
      </c>
      <c r="P534" s="375" t="s">
        <v>623</v>
      </c>
      <c r="Q534" s="375" t="s">
        <v>623</v>
      </c>
      <c r="R534" s="695">
        <v>20050817</v>
      </c>
      <c r="S534" s="375" t="s">
        <v>861</v>
      </c>
      <c r="T534" s="696">
        <v>0.23100000000000001</v>
      </c>
      <c r="U534" s="375" t="s">
        <v>4193</v>
      </c>
      <c r="V534" s="722">
        <v>8.31</v>
      </c>
      <c r="W534" s="722">
        <v>0.67</v>
      </c>
      <c r="X534" s="722">
        <v>0.09</v>
      </c>
      <c r="Y534" s="722">
        <v>23.46</v>
      </c>
      <c r="Z534" s="382" t="s">
        <v>934</v>
      </c>
      <c r="AA534" s="372">
        <v>37542.989613999998</v>
      </c>
      <c r="AB534" s="372">
        <v>42059.691817400002</v>
      </c>
      <c r="AC534" s="372">
        <v>52266.598200699998</v>
      </c>
      <c r="AD534" s="372">
        <v>52594.004301399997</v>
      </c>
      <c r="AE534" s="372">
        <v>0</v>
      </c>
      <c r="AF534" s="372">
        <v>0</v>
      </c>
      <c r="AG534" s="372">
        <v>0</v>
      </c>
      <c r="AH534" s="372">
        <v>0</v>
      </c>
    </row>
    <row r="535" spans="1:34">
      <c r="A535" s="372" t="s">
        <v>4194</v>
      </c>
      <c r="B535" s="373" t="s">
        <v>4195</v>
      </c>
      <c r="C535" s="372" t="s">
        <v>4196</v>
      </c>
      <c r="D535" s="374">
        <v>1201110330051</v>
      </c>
      <c r="E535" s="372" t="s">
        <v>4197</v>
      </c>
      <c r="F535" s="375" t="s">
        <v>1285</v>
      </c>
      <c r="G535" s="375" t="s">
        <v>1285</v>
      </c>
      <c r="H535" s="375" t="s">
        <v>1388</v>
      </c>
      <c r="I535" s="375" t="s">
        <v>869</v>
      </c>
      <c r="J535" s="375">
        <v>80325.243849999999</v>
      </c>
      <c r="K535" s="375">
        <v>9223.5169999999998</v>
      </c>
      <c r="L535" s="375">
        <v>11449.6433</v>
      </c>
      <c r="M535" s="375">
        <v>71231.720440000005</v>
      </c>
      <c r="N535" s="372" t="s">
        <v>1033</v>
      </c>
      <c r="O535" s="703">
        <v>1.8945968387331185</v>
      </c>
      <c r="P535" s="375" t="s">
        <v>623</v>
      </c>
      <c r="Q535" s="375" t="s">
        <v>623</v>
      </c>
      <c r="R535" s="695">
        <v>20221117</v>
      </c>
      <c r="S535" s="375" t="s">
        <v>4198</v>
      </c>
      <c r="T535" s="696">
        <v>0.20900000000000002</v>
      </c>
      <c r="U535" s="375" t="s">
        <v>4199</v>
      </c>
      <c r="V535" s="722">
        <v>34.78</v>
      </c>
      <c r="W535" s="722">
        <v>5.75</v>
      </c>
      <c r="X535" s="722">
        <v>5.0999999999999996</v>
      </c>
      <c r="Y535" s="722">
        <v>36.880000000000003</v>
      </c>
      <c r="Z535" s="382" t="s">
        <v>934</v>
      </c>
      <c r="AA535" s="372">
        <v>548.50490960000002</v>
      </c>
      <c r="AB535" s="372">
        <v>719.63156679999997</v>
      </c>
      <c r="AC535" s="372">
        <v>637.46725960000003</v>
      </c>
      <c r="AD535" s="372">
        <v>803.25243850000004</v>
      </c>
      <c r="AE535" s="372">
        <v>0</v>
      </c>
      <c r="AF535" s="372">
        <v>0</v>
      </c>
      <c r="AG535" s="372">
        <v>0</v>
      </c>
      <c r="AH535" s="372">
        <v>0</v>
      </c>
    </row>
    <row r="536" spans="1:34">
      <c r="A536" s="372" t="s">
        <v>4200</v>
      </c>
      <c r="B536" s="373" t="s">
        <v>4201</v>
      </c>
      <c r="C536" s="372" t="s">
        <v>4202</v>
      </c>
      <c r="D536" s="374">
        <v>1601110091283</v>
      </c>
      <c r="E536" s="372" t="s">
        <v>4203</v>
      </c>
      <c r="F536" s="375" t="s">
        <v>1251</v>
      </c>
      <c r="G536" s="375" t="s">
        <v>1251</v>
      </c>
      <c r="H536" s="375" t="s">
        <v>1388</v>
      </c>
      <c r="I536" s="375" t="s">
        <v>869</v>
      </c>
      <c r="J536" s="375">
        <v>125433.49494999999</v>
      </c>
      <c r="K536" s="375">
        <v>-4353.7509</v>
      </c>
      <c r="L536" s="375">
        <v>6052.8765899999999</v>
      </c>
      <c r="M536" s="375">
        <v>218255.79548999999</v>
      </c>
      <c r="N536" s="372">
        <v>1.2290000000000001</v>
      </c>
      <c r="O536" s="703">
        <v>0.82538165794421992</v>
      </c>
      <c r="P536" s="375" t="s">
        <v>623</v>
      </c>
      <c r="Q536" s="372" t="s">
        <v>623</v>
      </c>
      <c r="R536" s="695">
        <v>20080613</v>
      </c>
      <c r="S536" s="372" t="s">
        <v>4204</v>
      </c>
      <c r="T536" s="696">
        <v>0.20900000000000002</v>
      </c>
      <c r="U536" s="372" t="s">
        <v>4205</v>
      </c>
      <c r="V536" s="722">
        <v>111.69</v>
      </c>
      <c r="W536" s="722">
        <v>1.56</v>
      </c>
      <c r="X536" s="722">
        <v>2.7</v>
      </c>
      <c r="Y536" s="722">
        <v>7.72</v>
      </c>
      <c r="Z536" s="382">
        <v>0.15509791510385385</v>
      </c>
      <c r="AA536" s="372">
        <v>892.27431149999995</v>
      </c>
      <c r="AB536" s="372">
        <v>734.49328690000004</v>
      </c>
      <c r="AC536" s="372">
        <v>913.57563649999997</v>
      </c>
      <c r="AD536" s="372">
        <v>1254.3349495</v>
      </c>
      <c r="AE536" s="372">
        <v>1665</v>
      </c>
      <c r="AF536" s="372">
        <v>2111.67</v>
      </c>
      <c r="AG536" s="372">
        <v>2233</v>
      </c>
      <c r="AH536" s="372">
        <v>0</v>
      </c>
    </row>
    <row r="537" spans="1:34">
      <c r="A537" s="372" t="s">
        <v>4206</v>
      </c>
      <c r="B537" s="373" t="s">
        <v>4207</v>
      </c>
      <c r="C537" s="372" t="s">
        <v>4208</v>
      </c>
      <c r="D537" s="374">
        <v>1101110126642</v>
      </c>
      <c r="E537" s="372" t="s">
        <v>4209</v>
      </c>
      <c r="F537" s="375" t="s">
        <v>830</v>
      </c>
      <c r="G537" s="375" t="s">
        <v>831</v>
      </c>
      <c r="H537" s="375" t="s">
        <v>832</v>
      </c>
      <c r="I537" s="375" t="s">
        <v>755</v>
      </c>
      <c r="J537" s="375">
        <v>1311776.3602499999</v>
      </c>
      <c r="K537" s="375">
        <v>19152.808079999999</v>
      </c>
      <c r="L537" s="375">
        <v>9328.4796200000001</v>
      </c>
      <c r="M537" s="375">
        <v>847026.11907999997</v>
      </c>
      <c r="N537" s="372">
        <v>0.93700000000000006</v>
      </c>
      <c r="O537" s="703">
        <v>148.9280053020818</v>
      </c>
      <c r="P537" s="375" t="s">
        <v>623</v>
      </c>
      <c r="Q537" s="375" t="s">
        <v>623</v>
      </c>
      <c r="R537" s="695">
        <v>19890805</v>
      </c>
      <c r="S537" s="375" t="s">
        <v>4210</v>
      </c>
      <c r="T537" s="696">
        <v>0.20900000000000002</v>
      </c>
      <c r="U537" s="375" t="s">
        <v>4211</v>
      </c>
      <c r="V537" s="722">
        <v>11.56</v>
      </c>
      <c r="W537" s="722">
        <v>0.43</v>
      </c>
      <c r="X537" s="722">
        <v>0.28000000000000003</v>
      </c>
      <c r="Y537" s="722">
        <v>47.9</v>
      </c>
      <c r="Z537" s="382">
        <v>5.1532263112793464E-2</v>
      </c>
      <c r="AA537" s="372">
        <v>11326.596948599999</v>
      </c>
      <c r="AB537" s="372">
        <v>15771.1174672</v>
      </c>
      <c r="AC537" s="372">
        <v>16017.741766700001</v>
      </c>
      <c r="AD537" s="372">
        <v>13117.763602499999</v>
      </c>
      <c r="AE537" s="372">
        <v>13001</v>
      </c>
      <c r="AF537" s="372">
        <v>16431.5</v>
      </c>
      <c r="AG537" s="372">
        <v>16038</v>
      </c>
      <c r="AH537" s="372">
        <v>0</v>
      </c>
    </row>
    <row r="538" spans="1:34">
      <c r="A538" s="372" t="s">
        <v>4212</v>
      </c>
      <c r="B538" s="373" t="s">
        <v>4213</v>
      </c>
      <c r="C538" s="372" t="s">
        <v>4214</v>
      </c>
      <c r="D538" s="374">
        <v>1101111105215</v>
      </c>
      <c r="E538" s="372" t="s">
        <v>4214</v>
      </c>
      <c r="F538" s="375" t="s">
        <v>900</v>
      </c>
      <c r="G538" s="375" t="s">
        <v>901</v>
      </c>
      <c r="H538" s="375" t="s">
        <v>862</v>
      </c>
      <c r="I538" s="375" t="s">
        <v>755</v>
      </c>
      <c r="J538" s="375">
        <v>443173.61207999999</v>
      </c>
      <c r="K538" s="375">
        <v>70546.076289999997</v>
      </c>
      <c r="L538" s="375">
        <v>79932.338889999999</v>
      </c>
      <c r="M538" s="375">
        <v>1900643.3364500001</v>
      </c>
      <c r="N538" s="372">
        <v>0.98499999999999999</v>
      </c>
      <c r="O538" s="703">
        <v>24.281120429214219</v>
      </c>
      <c r="P538" s="375" t="s">
        <v>623</v>
      </c>
      <c r="Q538" s="375" t="s">
        <v>623</v>
      </c>
      <c r="R538" s="695">
        <v>20140519</v>
      </c>
      <c r="S538" s="375" t="s">
        <v>861</v>
      </c>
      <c r="T538" s="696">
        <v>0.23100000000000001</v>
      </c>
      <c r="U538" s="375" t="s">
        <v>4215</v>
      </c>
      <c r="V538" s="722">
        <v>6.49</v>
      </c>
      <c r="W538" s="722">
        <v>0.22</v>
      </c>
      <c r="X538" s="722">
        <v>0.82</v>
      </c>
      <c r="Y538" s="722">
        <v>4.6900000000000004</v>
      </c>
      <c r="Z538" s="382" t="s">
        <v>934</v>
      </c>
      <c r="AA538" s="372">
        <v>1543.8128631</v>
      </c>
      <c r="AB538" s="372">
        <v>1501.8776083</v>
      </c>
      <c r="AC538" s="372">
        <v>4349.9743999000002</v>
      </c>
      <c r="AD538" s="372">
        <v>4431.7361208000002</v>
      </c>
      <c r="AE538" s="372">
        <v>4680</v>
      </c>
      <c r="AF538" s="372">
        <v>4780</v>
      </c>
      <c r="AG538" s="372">
        <v>0</v>
      </c>
      <c r="AH538" s="372">
        <v>0</v>
      </c>
    </row>
    <row r="539" spans="1:34">
      <c r="A539" s="372" t="s">
        <v>4216</v>
      </c>
      <c r="B539" s="373" t="s">
        <v>4217</v>
      </c>
      <c r="C539" s="372" t="s">
        <v>4218</v>
      </c>
      <c r="D539" s="374">
        <v>1801110044717</v>
      </c>
      <c r="E539" s="372" t="s">
        <v>4219</v>
      </c>
      <c r="F539" s="375" t="s">
        <v>1761</v>
      </c>
      <c r="G539" s="375" t="s">
        <v>1761</v>
      </c>
      <c r="H539" s="375" t="s">
        <v>853</v>
      </c>
      <c r="I539" s="375" t="s">
        <v>755</v>
      </c>
      <c r="J539" s="375">
        <v>379631.75436000002</v>
      </c>
      <c r="K539" s="375">
        <v>11618.2773</v>
      </c>
      <c r="L539" s="375">
        <v>12479.4334</v>
      </c>
      <c r="M539" s="375">
        <v>564007.59686000005</v>
      </c>
      <c r="N539" s="372">
        <v>0.89600000000000002</v>
      </c>
      <c r="O539" s="703">
        <v>146.0991598662693</v>
      </c>
      <c r="P539" s="375" t="s">
        <v>623</v>
      </c>
      <c r="Q539" s="372" t="s">
        <v>623</v>
      </c>
      <c r="R539" s="695">
        <v>19731115</v>
      </c>
      <c r="S539" s="375" t="s">
        <v>4220</v>
      </c>
      <c r="T539" s="696">
        <v>0.20900000000000002</v>
      </c>
      <c r="U539" s="372" t="s">
        <v>4221</v>
      </c>
      <c r="V539" s="722">
        <v>37.71</v>
      </c>
      <c r="W539" s="722">
        <v>0.56999999999999995</v>
      </c>
      <c r="X539" s="722">
        <v>0.88</v>
      </c>
      <c r="Y539" s="722">
        <v>31.33</v>
      </c>
      <c r="Z539" s="382" t="s">
        <v>934</v>
      </c>
      <c r="AA539" s="372">
        <v>3348.6462065999999</v>
      </c>
      <c r="AB539" s="372">
        <v>3904.7056389999998</v>
      </c>
      <c r="AC539" s="372">
        <v>3629.1103158999999</v>
      </c>
      <c r="AD539" s="372">
        <v>3796.3175436000001</v>
      </c>
      <c r="AE539" s="372">
        <v>0</v>
      </c>
      <c r="AF539" s="372">
        <v>0</v>
      </c>
      <c r="AG539" s="372">
        <v>0</v>
      </c>
      <c r="AH539" s="372">
        <v>0</v>
      </c>
    </row>
    <row r="540" spans="1:34">
      <c r="A540" s="372" t="s">
        <v>4222</v>
      </c>
      <c r="B540" s="373" t="s">
        <v>4223</v>
      </c>
      <c r="C540" s="372" t="s">
        <v>4224</v>
      </c>
      <c r="D540" s="374">
        <v>1101110034960</v>
      </c>
      <c r="E540" s="372" t="s">
        <v>4225</v>
      </c>
      <c r="F540" s="375" t="s">
        <v>4226</v>
      </c>
      <c r="G540" s="375" t="s">
        <v>4226</v>
      </c>
      <c r="H540" s="375" t="s">
        <v>754</v>
      </c>
      <c r="I540" s="375" t="s">
        <v>755</v>
      </c>
      <c r="J540" s="375">
        <v>395823.11524999997</v>
      </c>
      <c r="K540" s="375">
        <v>25334.080160000001</v>
      </c>
      <c r="L540" s="375">
        <v>71472.09878</v>
      </c>
      <c r="M540" s="375">
        <v>991227.58817</v>
      </c>
      <c r="N540" s="372">
        <v>0.74299999999999999</v>
      </c>
      <c r="O540" s="703">
        <v>5.5372821064626612</v>
      </c>
      <c r="P540" s="375" t="s">
        <v>623</v>
      </c>
      <c r="Q540" s="372" t="s">
        <v>623</v>
      </c>
      <c r="R540" s="695">
        <v>19961224</v>
      </c>
      <c r="S540" s="375" t="s">
        <v>4227</v>
      </c>
      <c r="T540" s="696">
        <v>0.23100000000000001</v>
      </c>
      <c r="U540" s="375" t="s">
        <v>4228</v>
      </c>
      <c r="V540" s="722">
        <v>8.35</v>
      </c>
      <c r="W540" s="722">
        <v>0.32</v>
      </c>
      <c r="X540" s="722">
        <v>0.83</v>
      </c>
      <c r="Y540" s="722">
        <v>5.99</v>
      </c>
      <c r="Z540" s="382" t="s">
        <v>934</v>
      </c>
      <c r="AA540" s="372">
        <v>3358.4627046999999</v>
      </c>
      <c r="AB540" s="372">
        <v>3218.8436904</v>
      </c>
      <c r="AC540" s="372">
        <v>3781.8682779999999</v>
      </c>
      <c r="AD540" s="372">
        <v>3958.2311525</v>
      </c>
      <c r="AE540" s="372">
        <v>0</v>
      </c>
      <c r="AF540" s="372">
        <v>0</v>
      </c>
      <c r="AG540" s="372">
        <v>0</v>
      </c>
      <c r="AH540" s="372">
        <v>0</v>
      </c>
    </row>
    <row r="541" spans="1:34">
      <c r="A541" s="372" t="s">
        <v>4229</v>
      </c>
      <c r="B541" s="373" t="s">
        <v>4230</v>
      </c>
      <c r="C541" s="372" t="s">
        <v>4231</v>
      </c>
      <c r="D541" s="374">
        <v>1101110345630</v>
      </c>
      <c r="E541" s="372" t="s">
        <v>4232</v>
      </c>
      <c r="F541" s="375" t="s">
        <v>4233</v>
      </c>
      <c r="G541" s="375" t="s">
        <v>4234</v>
      </c>
      <c r="H541" s="375" t="s">
        <v>975</v>
      </c>
      <c r="I541" s="375" t="s">
        <v>755</v>
      </c>
      <c r="J541" s="375">
        <v>362905.62501999998</v>
      </c>
      <c r="K541" s="375">
        <v>35235.683420000001</v>
      </c>
      <c r="L541" s="375">
        <v>83806.03499</v>
      </c>
      <c r="M541" s="375">
        <v>530592.35756000003</v>
      </c>
      <c r="N541" s="372">
        <v>0.60499999999999998</v>
      </c>
      <c r="O541" s="703">
        <v>1.4189599753127191</v>
      </c>
      <c r="P541" s="375" t="s">
        <v>623</v>
      </c>
      <c r="Q541" s="375" t="s">
        <v>623</v>
      </c>
      <c r="R541" s="695">
        <v>19961224</v>
      </c>
      <c r="S541" s="375" t="s">
        <v>4235</v>
      </c>
      <c r="T541" s="696">
        <v>0.23100000000000001</v>
      </c>
      <c r="U541" s="375" t="s">
        <v>4236</v>
      </c>
      <c r="V541" s="722">
        <v>7.69</v>
      </c>
      <c r="W541" s="722">
        <v>0.57999999999999996</v>
      </c>
      <c r="X541" s="722">
        <v>0.97</v>
      </c>
      <c r="Y541" s="722">
        <v>5.24</v>
      </c>
      <c r="Z541" s="382" t="s">
        <v>934</v>
      </c>
      <c r="AA541" s="372">
        <v>2868.5262874999999</v>
      </c>
      <c r="AB541" s="372">
        <v>3265.0527950000001</v>
      </c>
      <c r="AC541" s="372">
        <v>3812.5113084</v>
      </c>
      <c r="AD541" s="372">
        <v>3629.0562501999998</v>
      </c>
      <c r="AE541" s="372">
        <v>0</v>
      </c>
      <c r="AF541" s="372">
        <v>0</v>
      </c>
      <c r="AG541" s="372">
        <v>0</v>
      </c>
      <c r="AH541" s="372">
        <v>0</v>
      </c>
    </row>
    <row r="542" spans="1:34">
      <c r="A542" s="372" t="s">
        <v>4237</v>
      </c>
      <c r="B542" s="373" t="s">
        <v>4238</v>
      </c>
      <c r="C542" s="372" t="s">
        <v>4239</v>
      </c>
      <c r="D542" s="374">
        <v>1752110014707</v>
      </c>
      <c r="E542" s="372" t="s">
        <v>4240</v>
      </c>
      <c r="F542" s="375" t="s">
        <v>852</v>
      </c>
      <c r="G542" s="375" t="s">
        <v>852</v>
      </c>
      <c r="H542" s="375" t="s">
        <v>853</v>
      </c>
      <c r="I542" s="375" t="s">
        <v>755</v>
      </c>
      <c r="J542" s="375">
        <v>279602.98744</v>
      </c>
      <c r="K542" s="375">
        <v>-6899.8108099999999</v>
      </c>
      <c r="L542" s="375">
        <v>-93077.710260000007</v>
      </c>
      <c r="M542" s="375">
        <v>224478.42714000001</v>
      </c>
      <c r="N542" s="372">
        <v>1.2</v>
      </c>
      <c r="O542" s="703">
        <v>41.701174987159803</v>
      </c>
      <c r="P542" s="375" t="s">
        <v>16142</v>
      </c>
      <c r="Q542" s="372" t="s">
        <v>16145</v>
      </c>
      <c r="R542" s="695">
        <v>20071101</v>
      </c>
      <c r="S542" s="372" t="s">
        <v>4241</v>
      </c>
      <c r="T542" s="696" t="s">
        <v>772</v>
      </c>
      <c r="U542" s="372" t="s">
        <v>4242</v>
      </c>
      <c r="V542" s="722" t="s">
        <v>774</v>
      </c>
      <c r="W542" s="722">
        <v>1.68</v>
      </c>
      <c r="X542" s="722">
        <v>1.1000000000000001</v>
      </c>
      <c r="Y542" s="722" t="s">
        <v>774</v>
      </c>
      <c r="Z542" s="382" t="s">
        <v>934</v>
      </c>
      <c r="AA542" s="372">
        <v>1652.1484981999999</v>
      </c>
      <c r="AB542" s="372">
        <v>2224.3116488999999</v>
      </c>
      <c r="AC542" s="372">
        <v>2691.7449001</v>
      </c>
      <c r="AD542" s="372">
        <v>2796.0298744000002</v>
      </c>
      <c r="AE542" s="372">
        <v>0</v>
      </c>
      <c r="AF542" s="372">
        <v>0</v>
      </c>
      <c r="AG542" s="372">
        <v>0</v>
      </c>
      <c r="AH542" s="372">
        <v>0</v>
      </c>
    </row>
    <row r="543" spans="1:34">
      <c r="A543" s="372" t="s">
        <v>4243</v>
      </c>
      <c r="B543" s="373" t="s">
        <v>4244</v>
      </c>
      <c r="C543" s="372" t="s">
        <v>4245</v>
      </c>
      <c r="D543" s="374">
        <v>1101111957195</v>
      </c>
      <c r="E543" s="372" t="s">
        <v>4246</v>
      </c>
      <c r="F543" s="375" t="s">
        <v>1782</v>
      </c>
      <c r="G543" s="375" t="s">
        <v>2261</v>
      </c>
      <c r="H543" s="375" t="s">
        <v>868</v>
      </c>
      <c r="I543" s="375" t="s">
        <v>869</v>
      </c>
      <c r="J543" s="375">
        <v>574762.36733000004</v>
      </c>
      <c r="K543" s="375">
        <v>24700.466059999999</v>
      </c>
      <c r="L543" s="375">
        <v>-19823.012190000001</v>
      </c>
      <c r="M543" s="375">
        <v>366241.94546999998</v>
      </c>
      <c r="N543" s="372">
        <v>1.121</v>
      </c>
      <c r="O543" s="703">
        <v>57.294451547129313</v>
      </c>
      <c r="P543" s="375" t="s">
        <v>623</v>
      </c>
      <c r="Q543" s="375" t="s">
        <v>623</v>
      </c>
      <c r="R543" s="695">
        <v>20090528</v>
      </c>
      <c r="S543" s="375" t="s">
        <v>4247</v>
      </c>
      <c r="T543" s="696" t="s">
        <v>772</v>
      </c>
      <c r="U543" s="375" t="s">
        <v>4248</v>
      </c>
      <c r="V543" s="722">
        <v>8.01</v>
      </c>
      <c r="W543" s="722">
        <v>0.98</v>
      </c>
      <c r="X543" s="722">
        <v>0.61</v>
      </c>
      <c r="Y543" s="722" t="s">
        <v>774</v>
      </c>
      <c r="Z543" s="382" t="s">
        <v>934</v>
      </c>
      <c r="AA543" s="372">
        <v>4866.0722266000002</v>
      </c>
      <c r="AB543" s="372">
        <v>5217.9572252999997</v>
      </c>
      <c r="AC543" s="372">
        <v>6802.0698085000004</v>
      </c>
      <c r="AD543" s="372">
        <v>5747.6236732999996</v>
      </c>
      <c r="AE543" s="372">
        <v>0</v>
      </c>
      <c r="AF543" s="372">
        <v>0</v>
      </c>
      <c r="AG543" s="372">
        <v>0</v>
      </c>
      <c r="AH543" s="372">
        <v>0</v>
      </c>
    </row>
    <row r="544" spans="1:34">
      <c r="A544" s="372" t="s">
        <v>4249</v>
      </c>
      <c r="B544" s="373" t="s">
        <v>4250</v>
      </c>
      <c r="C544" s="372" t="s">
        <v>4251</v>
      </c>
      <c r="D544" s="374">
        <v>1311110046291</v>
      </c>
      <c r="E544" s="372" t="s">
        <v>4252</v>
      </c>
      <c r="F544" s="375" t="s">
        <v>770</v>
      </c>
      <c r="G544" s="375" t="s">
        <v>770</v>
      </c>
      <c r="H544" s="375" t="s">
        <v>1388</v>
      </c>
      <c r="I544" s="375" t="s">
        <v>869</v>
      </c>
      <c r="J544" s="375">
        <v>416870.53503999999</v>
      </c>
      <c r="K544" s="375">
        <v>-12705.03361</v>
      </c>
      <c r="L544" s="375">
        <v>-27061.04753</v>
      </c>
      <c r="M544" s="375">
        <v>366147.51134999999</v>
      </c>
      <c r="N544" s="372">
        <v>1.2410000000000001</v>
      </c>
      <c r="O544" s="703">
        <v>101.64991287599439</v>
      </c>
      <c r="P544" s="375" t="s">
        <v>623</v>
      </c>
      <c r="Q544" s="375" t="s">
        <v>623</v>
      </c>
      <c r="R544" s="695">
        <v>20110131</v>
      </c>
      <c r="S544" s="375" t="s">
        <v>4253</v>
      </c>
      <c r="T544" s="696" t="s">
        <v>772</v>
      </c>
      <c r="U544" s="375" t="s">
        <v>4254</v>
      </c>
      <c r="V544" s="722">
        <v>7.81</v>
      </c>
      <c r="W544" s="722">
        <v>1.34</v>
      </c>
      <c r="X544" s="722">
        <v>0.81</v>
      </c>
      <c r="Y544" s="722" t="s">
        <v>774</v>
      </c>
      <c r="Z544" s="382" t="s">
        <v>934</v>
      </c>
      <c r="AA544" s="372">
        <v>4427.9006264</v>
      </c>
      <c r="AB544" s="372">
        <v>4962.3697344000002</v>
      </c>
      <c r="AC544" s="372">
        <v>5246.0533396999999</v>
      </c>
      <c r="AD544" s="372">
        <v>4168.7053503999996</v>
      </c>
      <c r="AE544" s="372">
        <v>5417</v>
      </c>
      <c r="AF544" s="372">
        <v>5862</v>
      </c>
      <c r="AG544" s="372">
        <v>0</v>
      </c>
      <c r="AH544" s="372">
        <v>0</v>
      </c>
    </row>
    <row r="545" spans="1:34">
      <c r="A545" s="372" t="s">
        <v>4255</v>
      </c>
      <c r="B545" s="373" t="s">
        <v>4256</v>
      </c>
      <c r="C545" s="372" t="s">
        <v>4257</v>
      </c>
      <c r="D545" s="374">
        <v>1801110605121</v>
      </c>
      <c r="E545" s="372" t="s">
        <v>4258</v>
      </c>
      <c r="F545" s="375" t="s">
        <v>1097</v>
      </c>
      <c r="G545" s="375" t="s">
        <v>1097</v>
      </c>
      <c r="H545" s="375" t="s">
        <v>916</v>
      </c>
      <c r="I545" s="375" t="s">
        <v>755</v>
      </c>
      <c r="J545" s="375">
        <v>890440.34860000003</v>
      </c>
      <c r="K545" s="375">
        <v>159754.47591000001</v>
      </c>
      <c r="L545" s="375">
        <v>107667.9543</v>
      </c>
      <c r="M545" s="375">
        <v>186813.44506999999</v>
      </c>
      <c r="N545" s="372">
        <v>0.61699999999999999</v>
      </c>
      <c r="O545" s="703">
        <v>201.27883414552622</v>
      </c>
      <c r="P545" s="375" t="s">
        <v>623</v>
      </c>
      <c r="Q545" s="375" t="s">
        <v>623</v>
      </c>
      <c r="R545" s="695">
        <v>20181227</v>
      </c>
      <c r="S545" s="375" t="s">
        <v>4259</v>
      </c>
      <c r="T545" s="696">
        <v>0.23100000000000001</v>
      </c>
      <c r="U545" s="375" t="s">
        <v>4260</v>
      </c>
      <c r="V545" s="722">
        <v>0</v>
      </c>
      <c r="W545" s="722">
        <v>1.9</v>
      </c>
      <c r="X545" s="722">
        <v>0</v>
      </c>
      <c r="Y545" s="722">
        <v>0</v>
      </c>
      <c r="Z545" s="382" t="s">
        <v>934</v>
      </c>
      <c r="AA545" s="372">
        <v>1899.1786836000001</v>
      </c>
      <c r="AB545" s="372">
        <v>1765.0176226999999</v>
      </c>
      <c r="AC545" s="372">
        <v>4049.9292013999998</v>
      </c>
      <c r="AD545" s="372">
        <v>8904.4034859999992</v>
      </c>
      <c r="AE545" s="372">
        <v>0</v>
      </c>
      <c r="AF545" s="372">
        <v>0</v>
      </c>
      <c r="AG545" s="372">
        <v>0</v>
      </c>
      <c r="AH545" s="372">
        <v>0</v>
      </c>
    </row>
    <row r="546" spans="1:34">
      <c r="A546" s="372" t="s">
        <v>4261</v>
      </c>
      <c r="B546" s="373" t="s">
        <v>4262</v>
      </c>
      <c r="C546" s="372" t="s">
        <v>4263</v>
      </c>
      <c r="D546" s="374">
        <v>1101110362808</v>
      </c>
      <c r="E546" s="372" t="s">
        <v>4264</v>
      </c>
      <c r="F546" s="372" t="s">
        <v>4265</v>
      </c>
      <c r="G546" s="375" t="s">
        <v>4266</v>
      </c>
      <c r="H546" s="375" t="s">
        <v>1348</v>
      </c>
      <c r="I546" s="375" t="s">
        <v>869</v>
      </c>
      <c r="J546" s="375">
        <v>95594.059680000006</v>
      </c>
      <c r="K546" s="375">
        <v>25839.533930000001</v>
      </c>
      <c r="L546" s="375">
        <v>29427.33757</v>
      </c>
      <c r="M546" s="375">
        <v>121002.45878</v>
      </c>
      <c r="N546" s="372">
        <v>0.54</v>
      </c>
      <c r="O546" s="703">
        <v>0.60521121103141051</v>
      </c>
      <c r="P546" s="375" t="s">
        <v>623</v>
      </c>
      <c r="Q546" s="375" t="s">
        <v>623</v>
      </c>
      <c r="R546" s="695">
        <v>20020205</v>
      </c>
      <c r="S546" s="375" t="s">
        <v>4267</v>
      </c>
      <c r="T546" s="696">
        <v>0.23100000000000001</v>
      </c>
      <c r="U546" s="375" t="s">
        <v>4268</v>
      </c>
      <c r="V546" s="722">
        <v>11.57</v>
      </c>
      <c r="W546" s="722">
        <v>3.19</v>
      </c>
      <c r="X546" s="722">
        <v>3.63</v>
      </c>
      <c r="Y546" s="722">
        <v>17.02</v>
      </c>
      <c r="Z546" s="382" t="s">
        <v>934</v>
      </c>
      <c r="AA546" s="372">
        <v>958.84738630000004</v>
      </c>
      <c r="AB546" s="372">
        <v>1045.1967228000001</v>
      </c>
      <c r="AC546" s="372">
        <v>1015.7601842</v>
      </c>
      <c r="AD546" s="372">
        <v>955.94059679999998</v>
      </c>
      <c r="AE546" s="372">
        <v>0</v>
      </c>
      <c r="AF546" s="372">
        <v>0</v>
      </c>
      <c r="AG546" s="372">
        <v>0</v>
      </c>
      <c r="AH546" s="372">
        <v>0</v>
      </c>
    </row>
    <row r="547" spans="1:34">
      <c r="A547" s="372" t="s">
        <v>4269</v>
      </c>
      <c r="B547" s="373" t="s">
        <v>4270</v>
      </c>
      <c r="C547" s="372" t="s">
        <v>4271</v>
      </c>
      <c r="D547" s="374">
        <v>1101111271834</v>
      </c>
      <c r="E547" s="372" t="s">
        <v>4272</v>
      </c>
      <c r="F547" s="372" t="s">
        <v>2147</v>
      </c>
      <c r="G547" s="375" t="s">
        <v>4273</v>
      </c>
      <c r="H547" s="375" t="s">
        <v>868</v>
      </c>
      <c r="I547" s="375" t="s">
        <v>869</v>
      </c>
      <c r="J547" s="375">
        <v>170351.22972999999</v>
      </c>
      <c r="K547" s="375">
        <v>38348.312619999997</v>
      </c>
      <c r="L547" s="375">
        <v>44597.881679999999</v>
      </c>
      <c r="M547" s="375">
        <v>249834.87583999999</v>
      </c>
      <c r="N547" s="372">
        <v>0.73899999999999999</v>
      </c>
      <c r="O547" s="703">
        <v>1.5689107736539791</v>
      </c>
      <c r="P547" s="375" t="s">
        <v>623</v>
      </c>
      <c r="Q547" s="375" t="s">
        <v>623</v>
      </c>
      <c r="R547" s="695">
        <v>20001212</v>
      </c>
      <c r="S547" s="375" t="s">
        <v>4274</v>
      </c>
      <c r="T547" s="696">
        <v>0.23100000000000001</v>
      </c>
      <c r="U547" s="375" t="s">
        <v>4275</v>
      </c>
      <c r="V547" s="722">
        <v>7.85</v>
      </c>
      <c r="W547" s="722">
        <v>1.33</v>
      </c>
      <c r="X547" s="722">
        <v>2.04</v>
      </c>
      <c r="Y547" s="722">
        <v>9.4499999999999993</v>
      </c>
      <c r="Z547" s="382">
        <v>0.11679934414762738</v>
      </c>
      <c r="AA547" s="372">
        <v>1071.2205368</v>
      </c>
      <c r="AB547" s="372">
        <v>1378.3696199000001</v>
      </c>
      <c r="AC547" s="372">
        <v>1600.0377409</v>
      </c>
      <c r="AD547" s="372">
        <v>1703.5122973</v>
      </c>
      <c r="AE547" s="372">
        <v>1983</v>
      </c>
      <c r="AF547" s="372">
        <v>2236</v>
      </c>
      <c r="AG547" s="372">
        <v>2650</v>
      </c>
      <c r="AH547" s="372">
        <v>0</v>
      </c>
    </row>
    <row r="548" spans="1:34">
      <c r="A548" s="372" t="s">
        <v>4276</v>
      </c>
      <c r="B548" s="373" t="s">
        <v>4277</v>
      </c>
      <c r="C548" s="372" t="s">
        <v>4278</v>
      </c>
      <c r="D548" s="374">
        <v>1101114071207</v>
      </c>
      <c r="E548" s="372" t="s">
        <v>4279</v>
      </c>
      <c r="F548" s="375" t="s">
        <v>4280</v>
      </c>
      <c r="G548" s="375" t="s">
        <v>4280</v>
      </c>
      <c r="H548" s="375" t="s">
        <v>832</v>
      </c>
      <c r="I548" s="375" t="s">
        <v>755</v>
      </c>
      <c r="J548" s="375">
        <v>3525807</v>
      </c>
      <c r="K548" s="375">
        <v>109822</v>
      </c>
      <c r="L548" s="375">
        <v>70552</v>
      </c>
      <c r="M548" s="375">
        <v>832982</v>
      </c>
      <c r="N548" s="372">
        <v>1.167</v>
      </c>
      <c r="O548" s="703">
        <v>230.51156883603392</v>
      </c>
      <c r="P548" s="375" t="s">
        <v>623</v>
      </c>
      <c r="Q548" s="372" t="s">
        <v>623</v>
      </c>
      <c r="R548" s="695">
        <v>20090420</v>
      </c>
      <c r="S548" s="372" t="s">
        <v>4281</v>
      </c>
      <c r="T548" s="696">
        <v>0.23100000000000001</v>
      </c>
      <c r="U548" s="372" t="s">
        <v>4282</v>
      </c>
      <c r="V548" s="722">
        <v>3.66</v>
      </c>
      <c r="W548" s="722">
        <v>0.52</v>
      </c>
      <c r="X548" s="722">
        <v>0.12</v>
      </c>
      <c r="Y548" s="722">
        <v>7.06</v>
      </c>
      <c r="Z548" s="382">
        <v>1.2742049814134848E-2</v>
      </c>
      <c r="AA548" s="372">
        <v>30380.37</v>
      </c>
      <c r="AB548" s="372">
        <v>34597.919999999998</v>
      </c>
      <c r="AC548" s="372">
        <v>36111.51</v>
      </c>
      <c r="AD548" s="372">
        <v>35258.07</v>
      </c>
      <c r="AE548" s="372">
        <v>34570.400000000001</v>
      </c>
      <c r="AF548" s="372">
        <v>34901.199999999997</v>
      </c>
      <c r="AG548" s="372">
        <v>37089.75</v>
      </c>
      <c r="AH548" s="372">
        <v>0</v>
      </c>
    </row>
    <row r="549" spans="1:34">
      <c r="A549" s="372" t="s">
        <v>4283</v>
      </c>
      <c r="B549" s="373" t="s">
        <v>4284</v>
      </c>
      <c r="C549" s="372" t="s">
        <v>4285</v>
      </c>
      <c r="D549" s="374">
        <v>1701110290867</v>
      </c>
      <c r="E549" s="372" t="s">
        <v>4286</v>
      </c>
      <c r="F549" s="372" t="s">
        <v>4287</v>
      </c>
      <c r="G549" s="375" t="s">
        <v>4287</v>
      </c>
      <c r="H549" s="375" t="s">
        <v>975</v>
      </c>
      <c r="I549" s="375" t="s">
        <v>755</v>
      </c>
      <c r="J549" s="375">
        <v>115275.72496000001</v>
      </c>
      <c r="K549" s="375">
        <v>7922.8286500000004</v>
      </c>
      <c r="L549" s="375">
        <v>-6405.6349</v>
      </c>
      <c r="M549" s="375">
        <v>235283.23624</v>
      </c>
      <c r="N549" s="372">
        <v>0.83699999999999997</v>
      </c>
      <c r="O549" s="703">
        <v>48.916596687820629</v>
      </c>
      <c r="P549" s="375" t="s">
        <v>623</v>
      </c>
      <c r="Q549" s="372" t="s">
        <v>623</v>
      </c>
      <c r="R549" s="695">
        <v>20050726</v>
      </c>
      <c r="S549" s="372" t="s">
        <v>4288</v>
      </c>
      <c r="T549" s="696" t="s">
        <v>772</v>
      </c>
      <c r="U549" s="372" t="s">
        <v>4289</v>
      </c>
      <c r="V549" s="722">
        <v>0</v>
      </c>
      <c r="W549" s="722">
        <v>1.04</v>
      </c>
      <c r="X549" s="722">
        <v>0</v>
      </c>
      <c r="Y549" s="722">
        <v>0</v>
      </c>
      <c r="Z549" s="382" t="s">
        <v>934</v>
      </c>
      <c r="AA549" s="372">
        <v>1314.8380456</v>
      </c>
      <c r="AB549" s="372">
        <v>1257.7755460999999</v>
      </c>
      <c r="AC549" s="372">
        <v>1264.6196293999999</v>
      </c>
      <c r="AD549" s="372">
        <v>1152.7572496</v>
      </c>
      <c r="AE549" s="372">
        <v>0</v>
      </c>
      <c r="AF549" s="372">
        <v>0</v>
      </c>
      <c r="AG549" s="372">
        <v>0</v>
      </c>
      <c r="AH549" s="372">
        <v>0</v>
      </c>
    </row>
    <row r="550" spans="1:34">
      <c r="A550" s="372" t="s">
        <v>4290</v>
      </c>
      <c r="B550" s="373" t="s">
        <v>4291</v>
      </c>
      <c r="C550" s="372" t="s">
        <v>4292</v>
      </c>
      <c r="D550" s="374">
        <v>1101110003709</v>
      </c>
      <c r="E550" s="372" t="s">
        <v>4293</v>
      </c>
      <c r="F550" s="375" t="s">
        <v>4294</v>
      </c>
      <c r="G550" s="375" t="s">
        <v>4295</v>
      </c>
      <c r="H550" s="375" t="s">
        <v>832</v>
      </c>
      <c r="I550" s="375" t="s">
        <v>755</v>
      </c>
      <c r="J550" s="375">
        <v>233521.88816999999</v>
      </c>
      <c r="K550" s="375">
        <v>17738.515909999998</v>
      </c>
      <c r="L550" s="375">
        <v>9296.7189699999999</v>
      </c>
      <c r="M550" s="375">
        <v>213651.81761999999</v>
      </c>
      <c r="N550" s="372">
        <v>0.83</v>
      </c>
      <c r="O550" s="703">
        <v>44.872031614673723</v>
      </c>
      <c r="P550" s="375" t="s">
        <v>623</v>
      </c>
      <c r="Q550" s="375" t="s">
        <v>623</v>
      </c>
      <c r="R550" s="695">
        <v>19760610</v>
      </c>
      <c r="S550" s="375" t="s">
        <v>4296</v>
      </c>
      <c r="T550" s="696">
        <v>0.20900000000000002</v>
      </c>
      <c r="U550" s="375" t="s">
        <v>4297</v>
      </c>
      <c r="V550" s="722">
        <v>12.3</v>
      </c>
      <c r="W550" s="722">
        <v>1.63</v>
      </c>
      <c r="X550" s="722">
        <v>1.5</v>
      </c>
      <c r="Y550" s="722">
        <v>45.27</v>
      </c>
      <c r="Z550" s="382" t="s">
        <v>934</v>
      </c>
      <c r="AA550" s="372">
        <v>1713.2454898999999</v>
      </c>
      <c r="AB550" s="372">
        <v>1911.1772851000001</v>
      </c>
      <c r="AC550" s="372">
        <v>2327.2514682000001</v>
      </c>
      <c r="AD550" s="372">
        <v>2335.2188817000001</v>
      </c>
      <c r="AE550" s="372">
        <v>0</v>
      </c>
      <c r="AF550" s="372">
        <v>0</v>
      </c>
      <c r="AG550" s="372">
        <v>0</v>
      </c>
      <c r="AH550" s="372">
        <v>0</v>
      </c>
    </row>
    <row r="551" spans="1:34">
      <c r="A551" s="372" t="s">
        <v>4298</v>
      </c>
      <c r="B551" s="373" t="s">
        <v>4299</v>
      </c>
      <c r="C551" s="372" t="s">
        <v>4300</v>
      </c>
      <c r="D551" s="374">
        <v>1101111670044</v>
      </c>
      <c r="E551" s="372" t="s">
        <v>4301</v>
      </c>
      <c r="F551" s="372" t="s">
        <v>2450</v>
      </c>
      <c r="G551" s="375" t="s">
        <v>2451</v>
      </c>
      <c r="H551" s="375" t="s">
        <v>1693</v>
      </c>
      <c r="I551" s="375" t="s">
        <v>869</v>
      </c>
      <c r="J551" s="375">
        <v>29127.949479999999</v>
      </c>
      <c r="K551" s="375">
        <v>-5298.7967399999998</v>
      </c>
      <c r="L551" s="375">
        <v>-2635.5475900000001</v>
      </c>
      <c r="M551" s="375">
        <v>95840.881729999994</v>
      </c>
      <c r="N551" s="372">
        <v>1.1659999999999999</v>
      </c>
      <c r="O551" s="703">
        <v>3.0980889249390362</v>
      </c>
      <c r="P551" s="375" t="s">
        <v>623</v>
      </c>
      <c r="Q551" s="375" t="s">
        <v>623</v>
      </c>
      <c r="R551" s="695">
        <v>20181026</v>
      </c>
      <c r="S551" s="375" t="s">
        <v>4302</v>
      </c>
      <c r="T551" s="696" t="s">
        <v>772</v>
      </c>
      <c r="U551" s="375" t="s">
        <v>4303</v>
      </c>
      <c r="V551" s="722" t="s">
        <v>774</v>
      </c>
      <c r="W551" s="722">
        <v>4.0199999999999996</v>
      </c>
      <c r="X551" s="722">
        <v>13.53</v>
      </c>
      <c r="Y551" s="722" t="s">
        <v>774</v>
      </c>
      <c r="Z551" s="382" t="s">
        <v>934</v>
      </c>
      <c r="AA551" s="372">
        <v>192.31375420000001</v>
      </c>
      <c r="AB551" s="372">
        <v>223.5819324</v>
      </c>
      <c r="AC551" s="372">
        <v>258.56449320000002</v>
      </c>
      <c r="AD551" s="372">
        <v>291.27949480000001</v>
      </c>
      <c r="AE551" s="372">
        <v>333</v>
      </c>
      <c r="AF551" s="372">
        <v>0</v>
      </c>
      <c r="AG551" s="372">
        <v>0</v>
      </c>
      <c r="AH551" s="372">
        <v>0</v>
      </c>
    </row>
    <row r="552" spans="1:34">
      <c r="A552" s="372" t="s">
        <v>4304</v>
      </c>
      <c r="B552" s="373" t="s">
        <v>4305</v>
      </c>
      <c r="C552" s="372" t="s">
        <v>4306</v>
      </c>
      <c r="D552" s="374">
        <v>1101110842785</v>
      </c>
      <c r="E552" s="372" t="s">
        <v>4307</v>
      </c>
      <c r="F552" s="375" t="s">
        <v>4308</v>
      </c>
      <c r="G552" s="375" t="s">
        <v>4309</v>
      </c>
      <c r="H552" s="375" t="s">
        <v>998</v>
      </c>
      <c r="I552" s="375" t="s">
        <v>755</v>
      </c>
      <c r="J552" s="375">
        <v>168614.98986999999</v>
      </c>
      <c r="K552" s="375">
        <v>2453.17724</v>
      </c>
      <c r="L552" s="375">
        <v>7512.94686</v>
      </c>
      <c r="M552" s="375">
        <v>836731.59195000003</v>
      </c>
      <c r="N552" s="372">
        <v>0.68100000000000005</v>
      </c>
      <c r="O552" s="703">
        <v>6.9779033377541104</v>
      </c>
      <c r="P552" s="375" t="s">
        <v>623</v>
      </c>
      <c r="Q552" s="372" t="s">
        <v>623</v>
      </c>
      <c r="R552" s="695">
        <v>20101223</v>
      </c>
      <c r="S552" s="372" t="s">
        <v>4310</v>
      </c>
      <c r="T552" s="696">
        <v>0.20900000000000002</v>
      </c>
      <c r="U552" s="372" t="s">
        <v>4311</v>
      </c>
      <c r="V552" s="722">
        <v>29.58</v>
      </c>
      <c r="W552" s="722">
        <v>0.47</v>
      </c>
      <c r="X552" s="722">
        <v>2.08</v>
      </c>
      <c r="Y552" s="722" t="s">
        <v>774</v>
      </c>
      <c r="Z552" s="382" t="s">
        <v>934</v>
      </c>
      <c r="AA552" s="372">
        <v>395.7915069</v>
      </c>
      <c r="AB552" s="372">
        <v>1367.0071914</v>
      </c>
      <c r="AC552" s="372">
        <v>1542.1323504</v>
      </c>
      <c r="AD552" s="372">
        <v>1686.1498987</v>
      </c>
      <c r="AE552" s="372">
        <v>0</v>
      </c>
      <c r="AF552" s="372">
        <v>0</v>
      </c>
      <c r="AG552" s="372">
        <v>0</v>
      </c>
      <c r="AH552" s="372">
        <v>0</v>
      </c>
    </row>
    <row r="553" spans="1:34">
      <c r="A553" s="372" t="s">
        <v>4312</v>
      </c>
      <c r="B553" s="373" t="s">
        <v>4313</v>
      </c>
      <c r="C553" s="372" t="s">
        <v>4314</v>
      </c>
      <c r="D553" s="374">
        <v>1101111602667</v>
      </c>
      <c r="E553" s="372" t="s">
        <v>4315</v>
      </c>
      <c r="F553" s="375" t="s">
        <v>1814</v>
      </c>
      <c r="G553" s="375" t="s">
        <v>2821</v>
      </c>
      <c r="H553" s="375" t="s">
        <v>1693</v>
      </c>
      <c r="I553" s="375" t="s">
        <v>869</v>
      </c>
      <c r="J553" s="375">
        <v>1344791.8531800001</v>
      </c>
      <c r="K553" s="375">
        <v>106275.40244999999</v>
      </c>
      <c r="L553" s="375">
        <v>122265.72960999999</v>
      </c>
      <c r="M553" s="375">
        <v>695435.43359000003</v>
      </c>
      <c r="N553" s="372">
        <v>0.95599999999999996</v>
      </c>
      <c r="O553" s="703">
        <v>117.08732125528081</v>
      </c>
      <c r="P553" s="375" t="s">
        <v>623</v>
      </c>
      <c r="Q553" s="375" t="s">
        <v>623</v>
      </c>
      <c r="R553" s="695">
        <v>20021120</v>
      </c>
      <c r="S553" s="375" t="s">
        <v>4316</v>
      </c>
      <c r="T553" s="696">
        <v>0.23100000000000001</v>
      </c>
      <c r="U553" s="375" t="s">
        <v>4317</v>
      </c>
      <c r="V553" s="722">
        <v>4.22</v>
      </c>
      <c r="W553" s="722">
        <v>0.68</v>
      </c>
      <c r="X553" s="722">
        <v>0.25</v>
      </c>
      <c r="Y553" s="722">
        <v>4.32</v>
      </c>
      <c r="Z553" s="382">
        <v>6.9157117095328458E-2</v>
      </c>
      <c r="AA553" s="372">
        <v>8101.5451432</v>
      </c>
      <c r="AB553" s="372">
        <v>10119.745541800001</v>
      </c>
      <c r="AC553" s="372">
        <v>11776.2455273</v>
      </c>
      <c r="AD553" s="372">
        <v>13447.9185318</v>
      </c>
      <c r="AE553" s="372">
        <v>14618.75</v>
      </c>
      <c r="AF553" s="372">
        <v>15772.5</v>
      </c>
      <c r="AG553" s="372">
        <v>17572</v>
      </c>
      <c r="AH553" s="372">
        <v>0</v>
      </c>
    </row>
    <row r="554" spans="1:34">
      <c r="A554" s="372" t="s">
        <v>4318</v>
      </c>
      <c r="B554" s="373" t="s">
        <v>4319</v>
      </c>
      <c r="C554" s="372" t="s">
        <v>4320</v>
      </c>
      <c r="D554" s="374">
        <v>1341110618279</v>
      </c>
      <c r="E554" s="372" t="s">
        <v>4321</v>
      </c>
      <c r="F554" s="375" t="s">
        <v>1286</v>
      </c>
      <c r="G554" s="375" t="s">
        <v>1465</v>
      </c>
      <c r="H554" s="375" t="s">
        <v>1388</v>
      </c>
      <c r="I554" s="375" t="s">
        <v>869</v>
      </c>
      <c r="J554" s="375">
        <v>380029.51513999997</v>
      </c>
      <c r="K554" s="375">
        <v>20333.86678</v>
      </c>
      <c r="L554" s="375">
        <v>14611.28501</v>
      </c>
      <c r="M554" s="375">
        <v>174005.69261999999</v>
      </c>
      <c r="N554" s="372" t="s">
        <v>1033</v>
      </c>
      <c r="O554" s="703">
        <v>19.917984418302332</v>
      </c>
      <c r="P554" s="375" t="s">
        <v>623</v>
      </c>
      <c r="Q554" s="375" t="s">
        <v>623</v>
      </c>
      <c r="R554" s="695">
        <v>20221007</v>
      </c>
      <c r="S554" s="375" t="s">
        <v>4322</v>
      </c>
      <c r="T554" s="696">
        <v>0.20900000000000002</v>
      </c>
      <c r="U554" s="375" t="s">
        <v>4323</v>
      </c>
      <c r="V554" s="722">
        <v>12.01</v>
      </c>
      <c r="W554" s="722">
        <v>2.21</v>
      </c>
      <c r="X554" s="722">
        <v>0.86</v>
      </c>
      <c r="Y554" s="722">
        <v>31.14</v>
      </c>
      <c r="Z554" s="382">
        <v>0.21676558731097728</v>
      </c>
      <c r="AA554" s="372">
        <v>0</v>
      </c>
      <c r="AB554" s="372">
        <v>0</v>
      </c>
      <c r="AC554" s="372">
        <v>1163.7275523999999</v>
      </c>
      <c r="AD554" s="372">
        <v>3800.2951514000001</v>
      </c>
      <c r="AE554" s="372">
        <v>5699.6</v>
      </c>
      <c r="AF554" s="372">
        <v>6974</v>
      </c>
      <c r="AG554" s="372">
        <v>8330</v>
      </c>
      <c r="AH554" s="372">
        <v>0</v>
      </c>
    </row>
    <row r="555" spans="1:34">
      <c r="A555" s="372" t="s">
        <v>4324</v>
      </c>
      <c r="B555" s="373" t="s">
        <v>4325</v>
      </c>
      <c r="C555" s="372" t="s">
        <v>4326</v>
      </c>
      <c r="D555" s="374">
        <v>1101110079817</v>
      </c>
      <c r="E555" s="372" t="s">
        <v>4327</v>
      </c>
      <c r="F555" s="375" t="s">
        <v>4328</v>
      </c>
      <c r="G555" s="375" t="s">
        <v>4328</v>
      </c>
      <c r="H555" s="375" t="s">
        <v>953</v>
      </c>
      <c r="I555" s="375" t="s">
        <v>755</v>
      </c>
      <c r="J555" s="375">
        <v>3024051.6352200001</v>
      </c>
      <c r="K555" s="375">
        <v>106822.96377</v>
      </c>
      <c r="L555" s="375">
        <v>28376.334210000001</v>
      </c>
      <c r="M555" s="375">
        <v>868796.19380999997</v>
      </c>
      <c r="N555" s="372">
        <v>0.91500000000000004</v>
      </c>
      <c r="O555" s="703">
        <v>407.12999830463616</v>
      </c>
      <c r="P555" s="375" t="s">
        <v>623</v>
      </c>
      <c r="Q555" s="375" t="s">
        <v>623</v>
      </c>
      <c r="R555" s="695">
        <v>19930106</v>
      </c>
      <c r="S555" s="375" t="s">
        <v>4329</v>
      </c>
      <c r="T555" s="696">
        <v>0.23100000000000001</v>
      </c>
      <c r="U555" s="375" t="s">
        <v>4330</v>
      </c>
      <c r="V555" s="722">
        <v>7.38</v>
      </c>
      <c r="W555" s="722">
        <v>0.55000000000000004</v>
      </c>
      <c r="X555" s="722">
        <v>0.13</v>
      </c>
      <c r="Y555" s="722">
        <v>9.48</v>
      </c>
      <c r="Z555" s="382">
        <v>-2.611316235323291E-2</v>
      </c>
      <c r="AA555" s="372">
        <v>1065.4836657999999</v>
      </c>
      <c r="AB555" s="372">
        <v>18983.868095999998</v>
      </c>
      <c r="AC555" s="372">
        <v>28233.3406583</v>
      </c>
      <c r="AD555" s="372">
        <v>30240.5163522</v>
      </c>
      <c r="AE555" s="372">
        <v>25006.799999999999</v>
      </c>
      <c r="AF555" s="372">
        <v>26829.200000000001</v>
      </c>
      <c r="AG555" s="372">
        <v>27203.4</v>
      </c>
      <c r="AH555" s="372">
        <v>0</v>
      </c>
    </row>
    <row r="556" spans="1:34">
      <c r="A556" s="372" t="s">
        <v>4331</v>
      </c>
      <c r="B556" s="373" t="s">
        <v>4332</v>
      </c>
      <c r="C556" s="372" t="s">
        <v>4333</v>
      </c>
      <c r="D556" s="374">
        <v>1601110005177</v>
      </c>
      <c r="E556" s="372" t="s">
        <v>4334</v>
      </c>
      <c r="F556" s="375" t="s">
        <v>786</v>
      </c>
      <c r="G556" s="375" t="s">
        <v>787</v>
      </c>
      <c r="H556" s="375" t="s">
        <v>788</v>
      </c>
      <c r="I556" s="375" t="s">
        <v>755</v>
      </c>
      <c r="J556" s="375">
        <v>56227.378920000003</v>
      </c>
      <c r="K556" s="375">
        <v>1295.9964600000001</v>
      </c>
      <c r="L556" s="375">
        <v>4732.0571799999998</v>
      </c>
      <c r="M556" s="375">
        <v>80396.946320000003</v>
      </c>
      <c r="N556" s="372">
        <v>0.99099999999999999</v>
      </c>
      <c r="O556" s="703">
        <v>0.85668751782577057</v>
      </c>
      <c r="P556" s="375" t="s">
        <v>623</v>
      </c>
      <c r="Q556" s="375" t="s">
        <v>623</v>
      </c>
      <c r="R556" s="695">
        <v>19880520</v>
      </c>
      <c r="S556" s="375" t="s">
        <v>4335</v>
      </c>
      <c r="T556" s="696">
        <v>0.20900000000000002</v>
      </c>
      <c r="U556" s="375" t="s">
        <v>4336</v>
      </c>
      <c r="V556" s="722">
        <v>0</v>
      </c>
      <c r="W556" s="722">
        <v>4.5199999999999996</v>
      </c>
      <c r="X556" s="722">
        <v>0</v>
      </c>
      <c r="Y556" s="722">
        <v>0</v>
      </c>
      <c r="Z556" s="382" t="s">
        <v>934</v>
      </c>
      <c r="AA556" s="372">
        <v>377.52047599999997</v>
      </c>
      <c r="AB556" s="372">
        <v>518.11620500000004</v>
      </c>
      <c r="AC556" s="372">
        <v>601.81806970000002</v>
      </c>
      <c r="AD556" s="372">
        <v>562.27378920000001</v>
      </c>
      <c r="AE556" s="372">
        <v>0</v>
      </c>
      <c r="AF556" s="372">
        <v>0</v>
      </c>
      <c r="AG556" s="372">
        <v>0</v>
      </c>
      <c r="AH556" s="372">
        <v>0</v>
      </c>
    </row>
    <row r="557" spans="1:34">
      <c r="A557" s="372" t="s">
        <v>4337</v>
      </c>
      <c r="B557" s="373" t="s">
        <v>4338</v>
      </c>
      <c r="C557" s="372" t="s">
        <v>4339</v>
      </c>
      <c r="D557" s="374">
        <v>1501110001036</v>
      </c>
      <c r="E557" s="372" t="s">
        <v>4340</v>
      </c>
      <c r="F557" s="375" t="s">
        <v>4341</v>
      </c>
      <c r="G557" s="375" t="s">
        <v>4341</v>
      </c>
      <c r="H557" s="375" t="s">
        <v>975</v>
      </c>
      <c r="I557" s="375" t="s">
        <v>755</v>
      </c>
      <c r="J557" s="375">
        <v>126567.00919</v>
      </c>
      <c r="K557" s="375">
        <v>6344.1693599999999</v>
      </c>
      <c r="L557" s="375">
        <v>11569.845569999999</v>
      </c>
      <c r="M557" s="375">
        <v>434710.15100999997</v>
      </c>
      <c r="N557" s="372">
        <v>0.61099999999999999</v>
      </c>
      <c r="O557" s="703">
        <v>12.282062405439691</v>
      </c>
      <c r="P557" s="375" t="s">
        <v>623</v>
      </c>
      <c r="Q557" s="372" t="s">
        <v>623</v>
      </c>
      <c r="R557" s="695">
        <v>19770527</v>
      </c>
      <c r="S557" s="372" t="s">
        <v>4342</v>
      </c>
      <c r="T557" s="696">
        <v>0.20900000000000002</v>
      </c>
      <c r="U557" s="372" t="s">
        <v>4343</v>
      </c>
      <c r="V557" s="722">
        <v>0</v>
      </c>
      <c r="W557" s="722">
        <v>0.73</v>
      </c>
      <c r="X557" s="722">
        <v>0</v>
      </c>
      <c r="Y557" s="722">
        <v>0</v>
      </c>
      <c r="Z557" s="382" t="s">
        <v>934</v>
      </c>
      <c r="AA557" s="372">
        <v>973.16423369999995</v>
      </c>
      <c r="AB557" s="372">
        <v>1042.4854858000001</v>
      </c>
      <c r="AC557" s="372">
        <v>1220.0578321999999</v>
      </c>
      <c r="AD557" s="372">
        <v>1265.6700919</v>
      </c>
      <c r="AE557" s="372">
        <v>0</v>
      </c>
      <c r="AF557" s="372">
        <v>0</v>
      </c>
      <c r="AG557" s="372">
        <v>0</v>
      </c>
      <c r="AH557" s="372">
        <v>0</v>
      </c>
    </row>
    <row r="558" spans="1:34">
      <c r="A558" s="372" t="s">
        <v>4344</v>
      </c>
      <c r="B558" s="373" t="s">
        <v>4345</v>
      </c>
      <c r="C558" s="372" t="s">
        <v>4346</v>
      </c>
      <c r="D558" s="374">
        <v>1101110040165</v>
      </c>
      <c r="E558" s="372" t="s">
        <v>4347</v>
      </c>
      <c r="F558" s="375" t="s">
        <v>1479</v>
      </c>
      <c r="G558" s="375" t="s">
        <v>1480</v>
      </c>
      <c r="H558" s="375" t="s">
        <v>1481</v>
      </c>
      <c r="I558" s="375" t="s">
        <v>755</v>
      </c>
      <c r="J558" s="375">
        <v>2363057.1893500001</v>
      </c>
      <c r="K558" s="375">
        <v>262027.02621000001</v>
      </c>
      <c r="L558" s="375">
        <v>245320.64984999999</v>
      </c>
      <c r="M558" s="375">
        <v>2197825.20365</v>
      </c>
      <c r="N558" s="372">
        <v>0.67700000000000005</v>
      </c>
      <c r="O558" s="703">
        <v>205.09523901263219</v>
      </c>
      <c r="P558" s="375" t="s">
        <v>623</v>
      </c>
      <c r="Q558" s="375" t="s">
        <v>623</v>
      </c>
      <c r="R558" s="695">
        <v>19691120</v>
      </c>
      <c r="S558" s="375" t="s">
        <v>2662</v>
      </c>
      <c r="T558" s="696">
        <v>0.23100000000000001</v>
      </c>
      <c r="U558" s="375" t="s">
        <v>4348</v>
      </c>
      <c r="V558" s="722">
        <v>4.1500000000000004</v>
      </c>
      <c r="W558" s="722">
        <v>0.23</v>
      </c>
      <c r="X558" s="722">
        <v>0.15</v>
      </c>
      <c r="Y558" s="722">
        <v>3.3</v>
      </c>
      <c r="Z558" s="382" t="s">
        <v>934</v>
      </c>
      <c r="AA558" s="372">
        <v>15333.7430726</v>
      </c>
      <c r="AB558" s="372">
        <v>16503.4319277</v>
      </c>
      <c r="AC558" s="372">
        <v>19656.117300599999</v>
      </c>
      <c r="AD558" s="372">
        <v>23630.5718935</v>
      </c>
      <c r="AE558" s="372">
        <v>0</v>
      </c>
      <c r="AF558" s="372">
        <v>0</v>
      </c>
      <c r="AG558" s="372">
        <v>0</v>
      </c>
      <c r="AH558" s="372">
        <v>0</v>
      </c>
    </row>
    <row r="559" spans="1:34">
      <c r="A559" s="372" t="s">
        <v>4349</v>
      </c>
      <c r="B559" s="373" t="s">
        <v>4350</v>
      </c>
      <c r="C559" s="372" t="s">
        <v>4351</v>
      </c>
      <c r="D559" s="374">
        <v>1101111081928</v>
      </c>
      <c r="E559" s="372" t="s">
        <v>4352</v>
      </c>
      <c r="F559" s="375" t="s">
        <v>1814</v>
      </c>
      <c r="G559" s="375" t="s">
        <v>2821</v>
      </c>
      <c r="H559" s="375" t="s">
        <v>1693</v>
      </c>
      <c r="I559" s="375" t="s">
        <v>869</v>
      </c>
      <c r="J559" s="375">
        <v>132389.8248</v>
      </c>
      <c r="K559" s="375">
        <v>9240.64</v>
      </c>
      <c r="L559" s="375">
        <v>1615.97666</v>
      </c>
      <c r="M559" s="375">
        <v>113356.32587</v>
      </c>
      <c r="N559" s="372">
        <v>1.512</v>
      </c>
      <c r="O559" s="703">
        <v>30.318263427691889</v>
      </c>
      <c r="P559" s="375" t="s">
        <v>623</v>
      </c>
      <c r="Q559" s="372" t="s">
        <v>623</v>
      </c>
      <c r="R559" s="695">
        <v>20070720</v>
      </c>
      <c r="S559" s="375" t="s">
        <v>4353</v>
      </c>
      <c r="T559" s="696">
        <v>0.20900000000000002</v>
      </c>
      <c r="U559" s="372" t="s">
        <v>4354</v>
      </c>
      <c r="V559" s="722">
        <v>46.27</v>
      </c>
      <c r="W559" s="722">
        <v>3.95</v>
      </c>
      <c r="X559" s="722">
        <v>3.39</v>
      </c>
      <c r="Y559" s="722" t="s">
        <v>774</v>
      </c>
      <c r="Z559" s="382" t="s">
        <v>934</v>
      </c>
      <c r="AA559" s="372">
        <v>812.30421179999996</v>
      </c>
      <c r="AB559" s="372">
        <v>944.61899630000005</v>
      </c>
      <c r="AC559" s="372">
        <v>1122.8644191999999</v>
      </c>
      <c r="AD559" s="372">
        <v>1323.898248</v>
      </c>
      <c r="AE559" s="372">
        <v>0</v>
      </c>
      <c r="AF559" s="372">
        <v>0</v>
      </c>
      <c r="AG559" s="372">
        <v>0</v>
      </c>
      <c r="AH559" s="372">
        <v>0</v>
      </c>
    </row>
    <row r="560" spans="1:34">
      <c r="A560" s="372" t="s">
        <v>4355</v>
      </c>
      <c r="B560" s="373" t="s">
        <v>4356</v>
      </c>
      <c r="C560" s="372" t="s">
        <v>4357</v>
      </c>
      <c r="D560" s="374">
        <v>1101110404361</v>
      </c>
      <c r="E560" s="372" t="s">
        <v>4358</v>
      </c>
      <c r="F560" s="375" t="s">
        <v>1313</v>
      </c>
      <c r="G560" s="375" t="s">
        <v>1313</v>
      </c>
      <c r="H560" s="375" t="s">
        <v>868</v>
      </c>
      <c r="I560" s="375" t="s">
        <v>869</v>
      </c>
      <c r="J560" s="375">
        <v>531408.73803000001</v>
      </c>
      <c r="K560" s="375">
        <v>37339.851390000003</v>
      </c>
      <c r="L560" s="375">
        <v>36879.574930000002</v>
      </c>
      <c r="M560" s="375">
        <v>168856.53802000001</v>
      </c>
      <c r="N560" s="372">
        <v>0.63300000000000001</v>
      </c>
      <c r="O560" s="703">
        <v>10.728479966278901</v>
      </c>
      <c r="P560" s="375" t="s">
        <v>623</v>
      </c>
      <c r="Q560" s="372" t="s">
        <v>623</v>
      </c>
      <c r="R560" s="695">
        <v>19971219</v>
      </c>
      <c r="S560" s="372" t="s">
        <v>4359</v>
      </c>
      <c r="T560" s="696">
        <v>0.23100000000000001</v>
      </c>
      <c r="U560" s="372" t="s">
        <v>4360</v>
      </c>
      <c r="V560" s="722">
        <v>8.09</v>
      </c>
      <c r="W560" s="722">
        <v>2.0699999999999998</v>
      </c>
      <c r="X560" s="722">
        <v>0.69</v>
      </c>
      <c r="Y560" s="722">
        <v>12.75</v>
      </c>
      <c r="Z560" s="382">
        <v>6.0082430941954756E-2</v>
      </c>
      <c r="AA560" s="372">
        <v>3879.8598170999999</v>
      </c>
      <c r="AB560" s="372">
        <v>3650.3920942</v>
      </c>
      <c r="AC560" s="372">
        <v>4341.5155235000002</v>
      </c>
      <c r="AD560" s="372">
        <v>5314.0873803000004</v>
      </c>
      <c r="AE560" s="372">
        <v>5693.75</v>
      </c>
      <c r="AF560" s="372">
        <v>6541</v>
      </c>
      <c r="AG560" s="372">
        <v>6711</v>
      </c>
      <c r="AH560" s="372">
        <v>0</v>
      </c>
    </row>
    <row r="561" spans="1:34">
      <c r="A561" s="372" t="s">
        <v>4361</v>
      </c>
      <c r="B561" s="373" t="s">
        <v>4362</v>
      </c>
      <c r="C561" s="372" t="s">
        <v>4363</v>
      </c>
      <c r="D561" s="374">
        <v>1345110028404</v>
      </c>
      <c r="E561" s="372" t="s">
        <v>4364</v>
      </c>
      <c r="F561" s="375" t="s">
        <v>1062</v>
      </c>
      <c r="G561" s="375" t="s">
        <v>1062</v>
      </c>
      <c r="H561" s="375" t="s">
        <v>868</v>
      </c>
      <c r="I561" s="375" t="s">
        <v>869</v>
      </c>
      <c r="J561" s="375">
        <v>115461.31894</v>
      </c>
      <c r="K561" s="375">
        <v>30839.185030000001</v>
      </c>
      <c r="L561" s="375">
        <v>33059.714180000003</v>
      </c>
      <c r="M561" s="375">
        <v>129553.11408</v>
      </c>
      <c r="N561" s="372">
        <v>0.46700000000000003</v>
      </c>
      <c r="O561" s="703">
        <v>2.3017713728412416E-2</v>
      </c>
      <c r="P561" s="375" t="s">
        <v>623</v>
      </c>
      <c r="Q561" s="372" t="s">
        <v>623</v>
      </c>
      <c r="R561" s="695">
        <v>20201120</v>
      </c>
      <c r="S561" s="372" t="s">
        <v>4365</v>
      </c>
      <c r="T561" s="696">
        <v>0.23100000000000001</v>
      </c>
      <c r="U561" s="372" t="s">
        <v>4366</v>
      </c>
      <c r="V561" s="722">
        <v>9.67</v>
      </c>
      <c r="W561" s="722">
        <v>2.4700000000000002</v>
      </c>
      <c r="X561" s="722">
        <v>2.82</v>
      </c>
      <c r="Y561" s="722">
        <v>11.85</v>
      </c>
      <c r="Z561" s="382">
        <v>0.16556563354580756</v>
      </c>
      <c r="AA561" s="372">
        <v>406.3312449</v>
      </c>
      <c r="AB561" s="372">
        <v>718.9588546</v>
      </c>
      <c r="AC561" s="372">
        <v>815.77391439999997</v>
      </c>
      <c r="AD561" s="372">
        <v>1154.6131894</v>
      </c>
      <c r="AE561" s="372">
        <v>1491.25</v>
      </c>
      <c r="AF561" s="372">
        <v>1768.67</v>
      </c>
      <c r="AG561" s="372">
        <v>2131</v>
      </c>
      <c r="AH561" s="372">
        <v>0</v>
      </c>
    </row>
    <row r="562" spans="1:34">
      <c r="A562" s="372" t="s">
        <v>4367</v>
      </c>
      <c r="B562" s="373" t="s">
        <v>4368</v>
      </c>
      <c r="C562" s="372" t="s">
        <v>4369</v>
      </c>
      <c r="D562" s="374">
        <v>1313110030042</v>
      </c>
      <c r="E562" s="372" t="s">
        <v>4370</v>
      </c>
      <c r="F562" s="372" t="s">
        <v>900</v>
      </c>
      <c r="G562" s="375" t="s">
        <v>901</v>
      </c>
      <c r="H562" s="375" t="s">
        <v>862</v>
      </c>
      <c r="I562" s="375" t="s">
        <v>755</v>
      </c>
      <c r="J562" s="375">
        <v>1285533.41664</v>
      </c>
      <c r="K562" s="375">
        <v>92173.966190000006</v>
      </c>
      <c r="L562" s="375">
        <v>61447.205730000001</v>
      </c>
      <c r="M562" s="375">
        <v>1010313.28886</v>
      </c>
      <c r="N562" s="372">
        <v>0.76800000000000002</v>
      </c>
      <c r="O562" s="703">
        <v>286.0037123427125</v>
      </c>
      <c r="P562" s="375" t="s">
        <v>623</v>
      </c>
      <c r="Q562" s="375" t="s">
        <v>623</v>
      </c>
      <c r="R562" s="695">
        <v>20100519</v>
      </c>
      <c r="S562" s="375" t="s">
        <v>4371</v>
      </c>
      <c r="T562" s="696">
        <v>0.23100000000000001</v>
      </c>
      <c r="U562" s="375" t="s">
        <v>4372</v>
      </c>
      <c r="V562" s="722">
        <v>8.31</v>
      </c>
      <c r="W562" s="722">
        <v>0.33</v>
      </c>
      <c r="X562" s="722">
        <v>0.27</v>
      </c>
      <c r="Y562" s="722">
        <v>6.78</v>
      </c>
      <c r="Z562" s="382">
        <v>2.0457332977932952E-2</v>
      </c>
      <c r="AA562" s="372">
        <v>7357.9763933000004</v>
      </c>
      <c r="AB562" s="372">
        <v>10411.584124000001</v>
      </c>
      <c r="AC562" s="372">
        <v>12771.0607005</v>
      </c>
      <c r="AD562" s="372">
        <v>12855.3341664</v>
      </c>
      <c r="AE562" s="372">
        <v>13628.8</v>
      </c>
      <c r="AF562" s="372">
        <v>14502.8</v>
      </c>
      <c r="AG562" s="372">
        <v>13940</v>
      </c>
      <c r="AH562" s="372">
        <v>0</v>
      </c>
    </row>
    <row r="563" spans="1:34">
      <c r="A563" s="372" t="s">
        <v>4373</v>
      </c>
      <c r="B563" s="373" t="s">
        <v>4374</v>
      </c>
      <c r="C563" s="372" t="s">
        <v>4375</v>
      </c>
      <c r="D563" s="374">
        <v>1101110191398</v>
      </c>
      <c r="E563" s="372" t="s">
        <v>4376</v>
      </c>
      <c r="F563" s="375" t="s">
        <v>5742</v>
      </c>
      <c r="G563" s="375" t="s">
        <v>5742</v>
      </c>
      <c r="H563" s="375" t="s">
        <v>868</v>
      </c>
      <c r="I563" s="375" t="s">
        <v>869</v>
      </c>
      <c r="J563" s="375">
        <v>139211.24178000001</v>
      </c>
      <c r="K563" s="375">
        <v>6927.8494600000004</v>
      </c>
      <c r="L563" s="375">
        <v>3804.77945</v>
      </c>
      <c r="M563" s="375">
        <v>42520.244079999997</v>
      </c>
      <c r="N563" s="372">
        <v>0.53200000000000003</v>
      </c>
      <c r="O563" s="703">
        <v>13.174101374520902</v>
      </c>
      <c r="P563" s="375" t="s">
        <v>623</v>
      </c>
      <c r="Q563" s="375" t="s">
        <v>623</v>
      </c>
      <c r="R563" s="695">
        <v>20091120</v>
      </c>
      <c r="S563" s="375" t="s">
        <v>4379</v>
      </c>
      <c r="T563" s="696">
        <v>0.20900000000000002</v>
      </c>
      <c r="U563" s="372" t="s">
        <v>4380</v>
      </c>
      <c r="V563" s="722">
        <v>57.49</v>
      </c>
      <c r="W563" s="722">
        <v>11.98</v>
      </c>
      <c r="X563" s="722">
        <v>3.36</v>
      </c>
      <c r="Y563" s="722">
        <v>106.37</v>
      </c>
      <c r="Z563" s="382" t="s">
        <v>934</v>
      </c>
      <c r="AA563" s="372">
        <v>383.4516567</v>
      </c>
      <c r="AB563" s="372">
        <v>441.6315108</v>
      </c>
      <c r="AC563" s="372">
        <v>713.79940390000002</v>
      </c>
      <c r="AD563" s="372">
        <v>1392.1124178</v>
      </c>
      <c r="AE563" s="372">
        <v>0</v>
      </c>
      <c r="AF563" s="372">
        <v>0</v>
      </c>
      <c r="AG563" s="372">
        <v>0</v>
      </c>
      <c r="AH563" s="372">
        <v>0</v>
      </c>
    </row>
    <row r="564" spans="1:34">
      <c r="A564" s="372" t="s">
        <v>4381</v>
      </c>
      <c r="B564" s="373" t="s">
        <v>4382</v>
      </c>
      <c r="C564" s="372" t="s">
        <v>4383</v>
      </c>
      <c r="D564" s="374">
        <v>2301110120607</v>
      </c>
      <c r="E564" s="372" t="s">
        <v>4384</v>
      </c>
      <c r="F564" s="372" t="s">
        <v>1782</v>
      </c>
      <c r="G564" s="375" t="s">
        <v>1782</v>
      </c>
      <c r="H564" s="375" t="s">
        <v>1388</v>
      </c>
      <c r="I564" s="375" t="s">
        <v>869</v>
      </c>
      <c r="J564" s="375">
        <v>94076.712270000004</v>
      </c>
      <c r="K564" s="375">
        <v>-6225.4744300000002</v>
      </c>
      <c r="L564" s="375">
        <v>-20751.597539999999</v>
      </c>
      <c r="M564" s="375">
        <v>184305.53903000001</v>
      </c>
      <c r="N564" s="372">
        <v>1.046</v>
      </c>
      <c r="O564" s="703">
        <v>25.413068379981723</v>
      </c>
      <c r="P564" s="375" t="s">
        <v>623</v>
      </c>
      <c r="Q564" s="375" t="s">
        <v>623</v>
      </c>
      <c r="R564" s="695">
        <v>20190802</v>
      </c>
      <c r="S564" s="375" t="s">
        <v>4385</v>
      </c>
      <c r="T564" s="696" t="s">
        <v>772</v>
      </c>
      <c r="U564" s="375" t="s">
        <v>4386</v>
      </c>
      <c r="V564" s="722">
        <v>43.51</v>
      </c>
      <c r="W564" s="722">
        <v>1.89</v>
      </c>
      <c r="X564" s="722">
        <v>3.65</v>
      </c>
      <c r="Y564" s="722" t="s">
        <v>774</v>
      </c>
      <c r="Z564" s="382" t="s">
        <v>934</v>
      </c>
      <c r="AA564" s="372">
        <v>783.79152079999994</v>
      </c>
      <c r="AB564" s="372">
        <v>1123.8315591</v>
      </c>
      <c r="AC564" s="372">
        <v>1110.0512106000001</v>
      </c>
      <c r="AD564" s="372">
        <v>940.76712269999996</v>
      </c>
      <c r="AE564" s="372">
        <v>1263.2</v>
      </c>
      <c r="AF564" s="372">
        <v>1080</v>
      </c>
      <c r="AG564" s="372">
        <v>0</v>
      </c>
      <c r="AH564" s="372">
        <v>0</v>
      </c>
    </row>
    <row r="565" spans="1:34">
      <c r="A565" s="372" t="s">
        <v>4387</v>
      </c>
      <c r="B565" s="373" t="s">
        <v>4388</v>
      </c>
      <c r="C565" s="372" t="s">
        <v>4389</v>
      </c>
      <c r="D565" s="374">
        <v>1911110019783</v>
      </c>
      <c r="E565" s="372" t="s">
        <v>4390</v>
      </c>
      <c r="F565" s="375" t="s">
        <v>1915</v>
      </c>
      <c r="G565" s="375" t="s">
        <v>1916</v>
      </c>
      <c r="H565" s="375" t="s">
        <v>868</v>
      </c>
      <c r="I565" s="375" t="s">
        <v>869</v>
      </c>
      <c r="J565" s="375">
        <v>159904.28909999999</v>
      </c>
      <c r="K565" s="375">
        <v>2056.1408299999998</v>
      </c>
      <c r="L565" s="375">
        <v>-23230.23546</v>
      </c>
      <c r="M565" s="375">
        <v>218973.83230000001</v>
      </c>
      <c r="N565" s="372">
        <v>1.113</v>
      </c>
      <c r="O565" s="703">
        <v>35.699174862678561</v>
      </c>
      <c r="P565" s="375" t="s">
        <v>623</v>
      </c>
      <c r="Q565" s="375" t="s">
        <v>623</v>
      </c>
      <c r="R565" s="695">
        <v>20130912</v>
      </c>
      <c r="S565" s="375" t="s">
        <v>4391</v>
      </c>
      <c r="T565" s="696" t="s">
        <v>772</v>
      </c>
      <c r="U565" s="375" t="s">
        <v>4392</v>
      </c>
      <c r="V565" s="722">
        <v>37.01</v>
      </c>
      <c r="W565" s="722">
        <v>2.29</v>
      </c>
      <c r="X565" s="722">
        <v>2.08</v>
      </c>
      <c r="Y565" s="722" t="s">
        <v>774</v>
      </c>
      <c r="Z565" s="382" t="s">
        <v>934</v>
      </c>
      <c r="AA565" s="372">
        <v>1158.5606871</v>
      </c>
      <c r="AB565" s="372">
        <v>1248.8096714000001</v>
      </c>
      <c r="AC565" s="372">
        <v>1442.9572734000001</v>
      </c>
      <c r="AD565" s="372">
        <v>1599.0428910000001</v>
      </c>
      <c r="AE565" s="372">
        <v>7060</v>
      </c>
      <c r="AF565" s="372">
        <v>0</v>
      </c>
      <c r="AG565" s="372">
        <v>0</v>
      </c>
      <c r="AH565" s="372">
        <v>0</v>
      </c>
    </row>
    <row r="566" spans="1:34">
      <c r="A566" s="372" t="s">
        <v>4393</v>
      </c>
      <c r="B566" s="373" t="s">
        <v>4394</v>
      </c>
      <c r="C566" s="372" t="s">
        <v>4395</v>
      </c>
      <c r="D566" s="374">
        <v>1159110017303</v>
      </c>
      <c r="E566" s="372" t="s">
        <v>4396</v>
      </c>
      <c r="F566" s="375" t="s">
        <v>4397</v>
      </c>
      <c r="G566" s="375" t="s">
        <v>4397</v>
      </c>
      <c r="H566" s="375" t="s">
        <v>1348</v>
      </c>
      <c r="I566" s="375" t="s">
        <v>869</v>
      </c>
      <c r="J566" s="375">
        <v>220959.19962</v>
      </c>
      <c r="K566" s="375">
        <v>25808.068429999999</v>
      </c>
      <c r="L566" s="375">
        <v>-1919.93353</v>
      </c>
      <c r="M566" s="375">
        <v>343604.58558999997</v>
      </c>
      <c r="N566" s="372">
        <v>0.88600000000000001</v>
      </c>
      <c r="O566" s="703">
        <v>51.208924121957146</v>
      </c>
      <c r="P566" s="375" t="s">
        <v>623</v>
      </c>
      <c r="Q566" s="375" t="s">
        <v>623</v>
      </c>
      <c r="R566" s="695">
        <v>20020611</v>
      </c>
      <c r="S566" s="375" t="s">
        <v>4398</v>
      </c>
      <c r="T566" s="696" t="s">
        <v>772</v>
      </c>
      <c r="U566" s="375" t="s">
        <v>4399</v>
      </c>
      <c r="V566" s="722">
        <v>9.91</v>
      </c>
      <c r="W566" s="722">
        <v>0.95</v>
      </c>
      <c r="X566" s="722">
        <v>1.55</v>
      </c>
      <c r="Y566" s="722">
        <v>200.2</v>
      </c>
      <c r="Z566" s="382" t="s">
        <v>934</v>
      </c>
      <c r="AA566" s="372">
        <v>2085.6653941999998</v>
      </c>
      <c r="AB566" s="372">
        <v>2464.1162054000001</v>
      </c>
      <c r="AC566" s="372">
        <v>2376.1665352</v>
      </c>
      <c r="AD566" s="372">
        <v>2209.5919961999998</v>
      </c>
      <c r="AE566" s="372">
        <v>2692</v>
      </c>
      <c r="AF566" s="372">
        <v>2885</v>
      </c>
      <c r="AG566" s="372">
        <v>0</v>
      </c>
      <c r="AH566" s="372">
        <v>0</v>
      </c>
    </row>
    <row r="567" spans="1:34">
      <c r="A567" s="372" t="s">
        <v>4400</v>
      </c>
      <c r="B567" s="373" t="s">
        <v>4401</v>
      </c>
      <c r="C567" s="372" t="s">
        <v>4402</v>
      </c>
      <c r="D567" s="374">
        <v>2301110056969</v>
      </c>
      <c r="E567" s="372" t="s">
        <v>4403</v>
      </c>
      <c r="F567" s="375" t="s">
        <v>3266</v>
      </c>
      <c r="G567" s="375" t="s">
        <v>3266</v>
      </c>
      <c r="H567" s="375" t="s">
        <v>868</v>
      </c>
      <c r="I567" s="375" t="s">
        <v>869</v>
      </c>
      <c r="J567" s="375">
        <v>144452.97589999999</v>
      </c>
      <c r="K567" s="375">
        <v>-10965.930539999999</v>
      </c>
      <c r="L567" s="375">
        <v>-13699.43117</v>
      </c>
      <c r="M567" s="375">
        <v>421359.74419</v>
      </c>
      <c r="N567" s="372">
        <v>1.0369999999999999</v>
      </c>
      <c r="O567" s="703">
        <v>74.175844197587452</v>
      </c>
      <c r="P567" s="375" t="s">
        <v>623</v>
      </c>
      <c r="Q567" s="375" t="s">
        <v>623</v>
      </c>
      <c r="R567" s="695">
        <v>20051014</v>
      </c>
      <c r="S567" s="375" t="s">
        <v>4404</v>
      </c>
      <c r="T567" s="696" t="s">
        <v>772</v>
      </c>
      <c r="U567" s="372" t="s">
        <v>4405</v>
      </c>
      <c r="V567" s="722" t="s">
        <v>774</v>
      </c>
      <c r="W567" s="722">
        <v>1.1200000000000001</v>
      </c>
      <c r="X567" s="722">
        <v>2.25</v>
      </c>
      <c r="Y567" s="722">
        <v>57.48</v>
      </c>
      <c r="Z567" s="382" t="s">
        <v>934</v>
      </c>
      <c r="AA567" s="372">
        <v>552.3407866</v>
      </c>
      <c r="AB567" s="372">
        <v>927.23328719999995</v>
      </c>
      <c r="AC567" s="372">
        <v>1644.0124777000001</v>
      </c>
      <c r="AD567" s="372">
        <v>1444.529759</v>
      </c>
      <c r="AE567" s="372">
        <v>2510</v>
      </c>
      <c r="AF567" s="372">
        <v>0</v>
      </c>
      <c r="AG567" s="372">
        <v>0</v>
      </c>
      <c r="AH567" s="372">
        <v>0</v>
      </c>
    </row>
    <row r="568" spans="1:34">
      <c r="A568" s="372" t="s">
        <v>4406</v>
      </c>
      <c r="B568" s="373" t="s">
        <v>4407</v>
      </c>
      <c r="C568" s="372" t="s">
        <v>16151</v>
      </c>
      <c r="D568" s="374">
        <v>1348110068248</v>
      </c>
      <c r="E568" s="372" t="s">
        <v>16152</v>
      </c>
      <c r="F568" s="375" t="s">
        <v>1195</v>
      </c>
      <c r="G568" s="375" t="s">
        <v>1196</v>
      </c>
      <c r="H568" s="375" t="s">
        <v>868</v>
      </c>
      <c r="I568" s="375" t="s">
        <v>869</v>
      </c>
      <c r="J568" s="375">
        <v>26008.551329999998</v>
      </c>
      <c r="K568" s="375">
        <v>-10962.872789999999</v>
      </c>
      <c r="L568" s="375">
        <v>-7267.7964499999998</v>
      </c>
      <c r="M568" s="375">
        <v>122174.35992</v>
      </c>
      <c r="N568" s="372">
        <v>1.101</v>
      </c>
      <c r="O568" s="703">
        <v>4.6535207213998762</v>
      </c>
      <c r="P568" s="375" t="s">
        <v>623</v>
      </c>
      <c r="Q568" s="375" t="s">
        <v>623</v>
      </c>
      <c r="R568" s="695">
        <v>20180823</v>
      </c>
      <c r="S568" s="372" t="s">
        <v>4408</v>
      </c>
      <c r="T568" s="696" t="s">
        <v>772</v>
      </c>
      <c r="U568" s="375" t="s">
        <v>4409</v>
      </c>
      <c r="V568" s="722" t="s">
        <v>774</v>
      </c>
      <c r="W568" s="722">
        <v>2.48</v>
      </c>
      <c r="X568" s="722">
        <v>13.84</v>
      </c>
      <c r="Y568" s="722" t="s">
        <v>774</v>
      </c>
      <c r="Z568" s="382" t="s">
        <v>934</v>
      </c>
      <c r="AA568" s="372">
        <v>930.30435629999999</v>
      </c>
      <c r="AB568" s="372">
        <v>1780.5400916999999</v>
      </c>
      <c r="AC568" s="372">
        <v>1413.8525824999999</v>
      </c>
      <c r="AD568" s="372">
        <v>260.0855133</v>
      </c>
      <c r="AE568" s="372">
        <v>0</v>
      </c>
      <c r="AF568" s="372">
        <v>0</v>
      </c>
      <c r="AG568" s="372">
        <v>0</v>
      </c>
      <c r="AH568" s="372">
        <v>0</v>
      </c>
    </row>
    <row r="569" spans="1:34">
      <c r="A569" s="372" t="s">
        <v>4410</v>
      </c>
      <c r="B569" s="373" t="s">
        <v>4411</v>
      </c>
      <c r="C569" s="372" t="s">
        <v>4412</v>
      </c>
      <c r="D569" s="374">
        <v>1348110178873</v>
      </c>
      <c r="E569" s="372" t="s">
        <v>4413</v>
      </c>
      <c r="F569" s="372" t="s">
        <v>779</v>
      </c>
      <c r="G569" s="375" t="s">
        <v>839</v>
      </c>
      <c r="H569" s="375" t="s">
        <v>1388</v>
      </c>
      <c r="I569" s="375" t="s">
        <v>869</v>
      </c>
      <c r="J569" s="375">
        <v>539851.98156999995</v>
      </c>
      <c r="K569" s="375">
        <v>43651.743020000002</v>
      </c>
      <c r="L569" s="375">
        <v>35513.333319999998</v>
      </c>
      <c r="M569" s="375">
        <v>337868.23864</v>
      </c>
      <c r="N569" s="372">
        <v>1.05</v>
      </c>
      <c r="O569" s="703">
        <v>99.844699224667835</v>
      </c>
      <c r="P569" s="375" t="s">
        <v>623</v>
      </c>
      <c r="Q569" s="375" t="s">
        <v>623</v>
      </c>
      <c r="R569" s="695">
        <v>20170927</v>
      </c>
      <c r="S569" s="375" t="s">
        <v>4414</v>
      </c>
      <c r="T569" s="696">
        <v>0.23100000000000001</v>
      </c>
      <c r="U569" s="372" t="s">
        <v>4415</v>
      </c>
      <c r="V569" s="722">
        <v>7.38</v>
      </c>
      <c r="W569" s="722">
        <v>1.26</v>
      </c>
      <c r="X569" s="722">
        <v>0.79</v>
      </c>
      <c r="Y569" s="722">
        <v>13.77</v>
      </c>
      <c r="Z569" s="382">
        <v>0.13280919438147731</v>
      </c>
      <c r="AA569" s="372">
        <v>2800.6829031000002</v>
      </c>
      <c r="AB569" s="372">
        <v>3662.5341887999998</v>
      </c>
      <c r="AC569" s="372">
        <v>4778.2468968000003</v>
      </c>
      <c r="AD569" s="372">
        <v>5398.5198157000004</v>
      </c>
      <c r="AE569" s="372">
        <v>6371.5</v>
      </c>
      <c r="AF569" s="372">
        <v>8308.5</v>
      </c>
      <c r="AG569" s="372">
        <v>8890</v>
      </c>
      <c r="AH569" s="372">
        <v>0</v>
      </c>
    </row>
    <row r="570" spans="1:34">
      <c r="A570" s="372" t="s">
        <v>4416</v>
      </c>
      <c r="B570" s="373" t="s">
        <v>4417</v>
      </c>
      <c r="C570" s="372" t="s">
        <v>4418</v>
      </c>
      <c r="D570" s="374">
        <v>1801110045559</v>
      </c>
      <c r="E570" s="372" t="s">
        <v>4419</v>
      </c>
      <c r="F570" s="375" t="s">
        <v>2509</v>
      </c>
      <c r="G570" s="375" t="s">
        <v>2510</v>
      </c>
      <c r="H570" s="375" t="s">
        <v>868</v>
      </c>
      <c r="I570" s="375" t="s">
        <v>869</v>
      </c>
      <c r="J570" s="375">
        <v>312067.46808999998</v>
      </c>
      <c r="K570" s="375">
        <v>57724.09575</v>
      </c>
      <c r="L570" s="375">
        <v>70645.119399999996</v>
      </c>
      <c r="M570" s="375">
        <v>575391.43250999996</v>
      </c>
      <c r="N570" s="372">
        <v>0.77800000000000002</v>
      </c>
      <c r="O570" s="703">
        <v>0.87684186209609372</v>
      </c>
      <c r="P570" s="375" t="s">
        <v>623</v>
      </c>
      <c r="Q570" s="375" t="s">
        <v>623</v>
      </c>
      <c r="R570" s="695">
        <v>19940831</v>
      </c>
      <c r="S570" s="375" t="s">
        <v>4420</v>
      </c>
      <c r="T570" s="696">
        <v>0.23100000000000001</v>
      </c>
      <c r="U570" s="372" t="s">
        <v>4421</v>
      </c>
      <c r="V570" s="722">
        <v>6.52</v>
      </c>
      <c r="W570" s="722">
        <v>0.72</v>
      </c>
      <c r="X570" s="722">
        <v>1.25</v>
      </c>
      <c r="Y570" s="722">
        <v>7.09</v>
      </c>
      <c r="Z570" s="382">
        <v>1.993064488161056E-2</v>
      </c>
      <c r="AA570" s="372">
        <v>1884.0425835999999</v>
      </c>
      <c r="AB570" s="372">
        <v>1851.4791327</v>
      </c>
      <c r="AC570" s="372">
        <v>2497.4267418999998</v>
      </c>
      <c r="AD570" s="372">
        <v>3120.6746809000001</v>
      </c>
      <c r="AE570" s="372">
        <v>3042</v>
      </c>
      <c r="AF570" s="372">
        <v>3280.5</v>
      </c>
      <c r="AG570" s="372">
        <v>3377</v>
      </c>
      <c r="AH570" s="372">
        <v>0</v>
      </c>
    </row>
    <row r="571" spans="1:34">
      <c r="A571" s="372" t="s">
        <v>4422</v>
      </c>
      <c r="B571" s="373" t="s">
        <v>4423</v>
      </c>
      <c r="C571" s="372" t="s">
        <v>4424</v>
      </c>
      <c r="D571" s="374">
        <v>1101113085598</v>
      </c>
      <c r="E571" s="372" t="s">
        <v>4425</v>
      </c>
      <c r="F571" s="372" t="s">
        <v>1368</v>
      </c>
      <c r="G571" s="375" t="s">
        <v>1368</v>
      </c>
      <c r="H571" s="375" t="s">
        <v>868</v>
      </c>
      <c r="I571" s="375" t="s">
        <v>869</v>
      </c>
      <c r="J571" s="375">
        <v>51455.287300000004</v>
      </c>
      <c r="K571" s="375">
        <v>-2967.4154100000001</v>
      </c>
      <c r="L571" s="375">
        <v>-12336.70118</v>
      </c>
      <c r="M571" s="375">
        <v>100890.20396</v>
      </c>
      <c r="N571" s="372">
        <v>1.296</v>
      </c>
      <c r="O571" s="703">
        <v>8.2416184682009135</v>
      </c>
      <c r="P571" s="375" t="s">
        <v>623</v>
      </c>
      <c r="Q571" s="372" t="s">
        <v>623</v>
      </c>
      <c r="R571" s="695">
        <v>20130701</v>
      </c>
      <c r="S571" s="375" t="s">
        <v>4426</v>
      </c>
      <c r="T571" s="696" t="s">
        <v>772</v>
      </c>
      <c r="U571" s="375" t="s">
        <v>4427</v>
      </c>
      <c r="V571" s="722" t="s">
        <v>774</v>
      </c>
      <c r="W571" s="722">
        <v>2.5099999999999998</v>
      </c>
      <c r="X571" s="722">
        <v>4.92</v>
      </c>
      <c r="Y571" s="722" t="s">
        <v>774</v>
      </c>
      <c r="Z571" s="382" t="s">
        <v>934</v>
      </c>
      <c r="AA571" s="372">
        <v>923.19592450000005</v>
      </c>
      <c r="AB571" s="372">
        <v>774.43553589999999</v>
      </c>
      <c r="AC571" s="372">
        <v>605.22326099999998</v>
      </c>
      <c r="AD571" s="372">
        <v>514.55287299999998</v>
      </c>
      <c r="AE571" s="372">
        <v>0</v>
      </c>
      <c r="AF571" s="372">
        <v>0</v>
      </c>
      <c r="AG571" s="372">
        <v>0</v>
      </c>
      <c r="AH571" s="372">
        <v>0</v>
      </c>
    </row>
    <row r="572" spans="1:34">
      <c r="A572" s="372" t="s">
        <v>4428</v>
      </c>
      <c r="B572" s="373" t="s">
        <v>4429</v>
      </c>
      <c r="C572" s="372" t="s">
        <v>4430</v>
      </c>
      <c r="D572" s="374">
        <v>1243110025472</v>
      </c>
      <c r="E572" s="372" t="s">
        <v>4431</v>
      </c>
      <c r="F572" s="372" t="s">
        <v>1854</v>
      </c>
      <c r="G572" s="375" t="s">
        <v>1854</v>
      </c>
      <c r="H572" s="375" t="s">
        <v>1388</v>
      </c>
      <c r="I572" s="375" t="s">
        <v>869</v>
      </c>
      <c r="J572" s="375">
        <v>5827.09076</v>
      </c>
      <c r="K572" s="375">
        <v>-26040.97682</v>
      </c>
      <c r="L572" s="375">
        <v>-24499.001250000001</v>
      </c>
      <c r="M572" s="375">
        <v>35308.187449999998</v>
      </c>
      <c r="N572" s="372">
        <v>0.61199999999999999</v>
      </c>
      <c r="O572" s="703">
        <v>0.57530861968366953</v>
      </c>
      <c r="P572" s="375" t="s">
        <v>623</v>
      </c>
      <c r="Q572" s="372" t="s">
        <v>16145</v>
      </c>
      <c r="R572" s="695">
        <v>20010703</v>
      </c>
      <c r="S572" s="375" t="s">
        <v>4432</v>
      </c>
      <c r="T572" s="696" t="s">
        <v>772</v>
      </c>
      <c r="U572" s="375" t="s">
        <v>4433</v>
      </c>
      <c r="V572" s="722" t="s">
        <v>774</v>
      </c>
      <c r="W572" s="722">
        <v>15.6</v>
      </c>
      <c r="X572" s="722">
        <v>94.6</v>
      </c>
      <c r="Y572" s="722" t="s">
        <v>774</v>
      </c>
      <c r="Z572" s="382" t="s">
        <v>934</v>
      </c>
      <c r="AA572" s="372">
        <v>101.2180604</v>
      </c>
      <c r="AB572" s="372">
        <v>79.260182400000005</v>
      </c>
      <c r="AC572" s="372">
        <v>63.023366799999998</v>
      </c>
      <c r="AD572" s="372">
        <v>58.270907600000001</v>
      </c>
      <c r="AE572" s="372">
        <v>0</v>
      </c>
      <c r="AF572" s="372">
        <v>0</v>
      </c>
      <c r="AG572" s="372">
        <v>0</v>
      </c>
      <c r="AH572" s="372">
        <v>0</v>
      </c>
    </row>
    <row r="573" spans="1:34">
      <c r="A573" s="372" t="s">
        <v>4434</v>
      </c>
      <c r="B573" s="373" t="s">
        <v>4435</v>
      </c>
      <c r="C573" s="372" t="s">
        <v>4436</v>
      </c>
      <c r="D573" s="374">
        <v>1311110028116</v>
      </c>
      <c r="E573" s="372" t="s">
        <v>4437</v>
      </c>
      <c r="F573" s="375" t="s">
        <v>1368</v>
      </c>
      <c r="G573" s="375" t="s">
        <v>1368</v>
      </c>
      <c r="H573" s="375" t="s">
        <v>868</v>
      </c>
      <c r="I573" s="375" t="s">
        <v>869</v>
      </c>
      <c r="J573" s="375">
        <v>542256.79628999997</v>
      </c>
      <c r="K573" s="375">
        <v>19115.114799999999</v>
      </c>
      <c r="L573" s="375">
        <v>-6018.6350899999998</v>
      </c>
      <c r="M573" s="375">
        <v>182161.69991</v>
      </c>
      <c r="N573" s="372">
        <v>1.2490000000000001</v>
      </c>
      <c r="O573" s="703">
        <v>59.767988738413592</v>
      </c>
      <c r="P573" s="375" t="s">
        <v>623</v>
      </c>
      <c r="Q573" s="375" t="s">
        <v>623</v>
      </c>
      <c r="R573" s="695">
        <v>20070117</v>
      </c>
      <c r="S573" s="375" t="s">
        <v>4438</v>
      </c>
      <c r="T573" s="696" t="s">
        <v>772</v>
      </c>
      <c r="U573" s="375" t="s">
        <v>4439</v>
      </c>
      <c r="V573" s="722">
        <v>12.37</v>
      </c>
      <c r="W573" s="722">
        <v>2.2200000000000002</v>
      </c>
      <c r="X573" s="722">
        <v>0.72</v>
      </c>
      <c r="Y573" s="722" t="s">
        <v>774</v>
      </c>
      <c r="Z573" s="382">
        <v>7.9950813754007255E-2</v>
      </c>
      <c r="AA573" s="372">
        <v>5300.2368393999996</v>
      </c>
      <c r="AB573" s="372">
        <v>5633.8150770000002</v>
      </c>
      <c r="AC573" s="372">
        <v>6209.6339385000001</v>
      </c>
      <c r="AD573" s="372">
        <v>5422.5679628999997</v>
      </c>
      <c r="AE573" s="372">
        <v>6210.5</v>
      </c>
      <c r="AF573" s="372">
        <v>6749</v>
      </c>
      <c r="AG573" s="372">
        <v>7376</v>
      </c>
      <c r="AH573" s="372">
        <v>0</v>
      </c>
    </row>
    <row r="574" spans="1:34">
      <c r="A574" s="372" t="s">
        <v>4440</v>
      </c>
      <c r="B574" s="373" t="s">
        <v>4441</v>
      </c>
      <c r="C574" s="372" t="s">
        <v>4442</v>
      </c>
      <c r="D574" s="374">
        <v>1101113525750</v>
      </c>
      <c r="E574" s="372" t="s">
        <v>4443</v>
      </c>
      <c r="F574" s="375" t="s">
        <v>770</v>
      </c>
      <c r="G574" s="375" t="s">
        <v>770</v>
      </c>
      <c r="H574" s="375" t="s">
        <v>754</v>
      </c>
      <c r="I574" s="375" t="s">
        <v>755</v>
      </c>
      <c r="J574" s="375">
        <v>206935.26014</v>
      </c>
      <c r="K574" s="375">
        <v>-33000.542020000001</v>
      </c>
      <c r="L574" s="375">
        <v>-34803.667099999999</v>
      </c>
      <c r="M574" s="375">
        <v>356705.35956999997</v>
      </c>
      <c r="N574" s="372">
        <v>0.95</v>
      </c>
      <c r="O574" s="703">
        <v>15.985539342210645</v>
      </c>
      <c r="P574" s="375" t="s">
        <v>623</v>
      </c>
      <c r="Q574" s="375" t="s">
        <v>623</v>
      </c>
      <c r="R574" s="695">
        <v>20061016</v>
      </c>
      <c r="S574" s="375" t="s">
        <v>1674</v>
      </c>
      <c r="T574" s="696" t="s">
        <v>772</v>
      </c>
      <c r="U574" s="372" t="s">
        <v>16011</v>
      </c>
      <c r="V574" s="722" t="s">
        <v>774</v>
      </c>
      <c r="W574" s="722">
        <v>0.9</v>
      </c>
      <c r="X574" s="722">
        <v>1.33</v>
      </c>
      <c r="Y574" s="722" t="s">
        <v>774</v>
      </c>
      <c r="Z574" s="382" t="s">
        <v>934</v>
      </c>
      <c r="AA574" s="372">
        <v>2010.4648087</v>
      </c>
      <c r="AB574" s="372">
        <v>2674.7259107999998</v>
      </c>
      <c r="AC574" s="372">
        <v>2561.7126259000001</v>
      </c>
      <c r="AD574" s="372">
        <v>2069.3526013999999</v>
      </c>
      <c r="AE574" s="372">
        <v>3360</v>
      </c>
      <c r="AF574" s="372">
        <v>0</v>
      </c>
      <c r="AG574" s="372">
        <v>0</v>
      </c>
      <c r="AH574" s="372">
        <v>0</v>
      </c>
    </row>
    <row r="575" spans="1:34">
      <c r="A575" s="372" t="s">
        <v>4444</v>
      </c>
      <c r="B575" s="373" t="s">
        <v>4445</v>
      </c>
      <c r="C575" s="372" t="s">
        <v>4446</v>
      </c>
      <c r="D575" s="374">
        <v>1101113909839</v>
      </c>
      <c r="E575" s="372" t="s">
        <v>4447</v>
      </c>
      <c r="F575" s="372" t="s">
        <v>2055</v>
      </c>
      <c r="G575" s="375" t="s">
        <v>4448</v>
      </c>
      <c r="H575" s="375" t="s">
        <v>1547</v>
      </c>
      <c r="I575" s="375" t="s">
        <v>869</v>
      </c>
      <c r="J575" s="375">
        <v>42309.465920000002</v>
      </c>
      <c r="K575" s="375">
        <v>-26059.397730000001</v>
      </c>
      <c r="L575" s="375">
        <v>-25145.997019999999</v>
      </c>
      <c r="M575" s="375">
        <v>98623.931450000004</v>
      </c>
      <c r="N575" s="372">
        <v>1.2689999999999999</v>
      </c>
      <c r="O575" s="703">
        <v>5.1927887409430431</v>
      </c>
      <c r="P575" s="375" t="s">
        <v>623</v>
      </c>
      <c r="Q575" s="375" t="s">
        <v>623</v>
      </c>
      <c r="R575" s="695">
        <v>20210324</v>
      </c>
      <c r="S575" s="375" t="s">
        <v>4449</v>
      </c>
      <c r="T575" s="696" t="s">
        <v>772</v>
      </c>
      <c r="U575" s="375" t="s">
        <v>4450</v>
      </c>
      <c r="V575" s="722" t="s">
        <v>774</v>
      </c>
      <c r="W575" s="722">
        <v>2.87</v>
      </c>
      <c r="X575" s="722">
        <v>6.47</v>
      </c>
      <c r="Y575" s="722" t="s">
        <v>774</v>
      </c>
      <c r="Z575" s="382" t="s">
        <v>934</v>
      </c>
      <c r="AA575" s="372">
        <v>202.2310741</v>
      </c>
      <c r="AB575" s="372">
        <v>331.57055209999999</v>
      </c>
      <c r="AC575" s="372">
        <v>406.19850150000002</v>
      </c>
      <c r="AD575" s="372">
        <v>423.09465920000002</v>
      </c>
      <c r="AE575" s="372">
        <v>744</v>
      </c>
      <c r="AF575" s="372">
        <v>0</v>
      </c>
      <c r="AG575" s="372">
        <v>0</v>
      </c>
      <c r="AH575" s="372">
        <v>0</v>
      </c>
    </row>
    <row r="576" spans="1:34">
      <c r="A576" s="372" t="s">
        <v>4451</v>
      </c>
      <c r="B576" s="373" t="s">
        <v>4452</v>
      </c>
      <c r="C576" s="372" t="s">
        <v>4453</v>
      </c>
      <c r="D576" s="374">
        <v>1101110163115</v>
      </c>
      <c r="E576" s="372" t="s">
        <v>4454</v>
      </c>
      <c r="F576" s="372" t="s">
        <v>2282</v>
      </c>
      <c r="G576" s="375" t="s">
        <v>2282</v>
      </c>
      <c r="H576" s="375" t="s">
        <v>1397</v>
      </c>
      <c r="I576" s="375" t="s">
        <v>4455</v>
      </c>
      <c r="J576" s="375">
        <v>0</v>
      </c>
      <c r="K576" s="375">
        <v>0</v>
      </c>
      <c r="L576" s="375">
        <v>0</v>
      </c>
      <c r="M576" s="375">
        <v>1028728.33877</v>
      </c>
      <c r="N576" s="372">
        <v>0.77500000000000002</v>
      </c>
      <c r="O576" s="703" t="e">
        <v>#DIV/0!</v>
      </c>
      <c r="P576" s="375" t="s">
        <v>623</v>
      </c>
      <c r="Q576" s="375" t="s">
        <v>623</v>
      </c>
      <c r="R576" s="695">
        <v>19771222</v>
      </c>
      <c r="S576" s="375" t="e">
        <v>#N/A</v>
      </c>
      <c r="T576" s="696" t="s">
        <v>772</v>
      </c>
      <c r="U576" s="375" t="s">
        <v>4456</v>
      </c>
      <c r="V576" s="722">
        <v>0</v>
      </c>
      <c r="W576" s="722">
        <v>0.28999999999999998</v>
      </c>
      <c r="X576" s="722">
        <v>0</v>
      </c>
      <c r="Y576" s="722">
        <v>0</v>
      </c>
      <c r="Z576" s="382" t="s">
        <v>934</v>
      </c>
      <c r="AA576" s="372">
        <v>17346.373837700001</v>
      </c>
      <c r="AB576" s="372">
        <v>20103.443227899999</v>
      </c>
      <c r="AC576" s="372">
        <v>19624.1933479</v>
      </c>
      <c r="AD576" s="372">
        <v>24300.330423899999</v>
      </c>
      <c r="AE576" s="372">
        <v>0</v>
      </c>
      <c r="AF576" s="372">
        <v>0</v>
      </c>
      <c r="AG576" s="372">
        <v>0</v>
      </c>
      <c r="AH576" s="372">
        <v>0</v>
      </c>
    </row>
    <row r="577" spans="1:34">
      <c r="A577" s="372" t="s">
        <v>4457</v>
      </c>
      <c r="B577" s="373" t="s">
        <v>4458</v>
      </c>
      <c r="C577" s="372" t="s">
        <v>4459</v>
      </c>
      <c r="D577" s="374">
        <v>1101111710527</v>
      </c>
      <c r="E577" s="372" t="s">
        <v>4460</v>
      </c>
      <c r="F577" s="375" t="s">
        <v>860</v>
      </c>
      <c r="G577" s="375" t="s">
        <v>4461</v>
      </c>
      <c r="H577" s="375" t="s">
        <v>902</v>
      </c>
      <c r="I577" s="375" t="s">
        <v>869</v>
      </c>
      <c r="J577" s="375">
        <v>217046.63198999999</v>
      </c>
      <c r="K577" s="375">
        <v>31925.038380000002</v>
      </c>
      <c r="L577" s="375">
        <v>31998.47781</v>
      </c>
      <c r="M577" s="375">
        <v>342356.66145999997</v>
      </c>
      <c r="N577" s="372">
        <v>1.0980000000000001</v>
      </c>
      <c r="O577" s="703">
        <v>6.3523232843408124</v>
      </c>
      <c r="P577" s="375" t="s">
        <v>623</v>
      </c>
      <c r="Q577" s="372" t="s">
        <v>623</v>
      </c>
      <c r="R577" s="695">
        <v>20190315</v>
      </c>
      <c r="S577" s="372" t="s">
        <v>4462</v>
      </c>
      <c r="T577" s="696">
        <v>0.23100000000000001</v>
      </c>
      <c r="U577" s="375" t="s">
        <v>4463</v>
      </c>
      <c r="V577" s="722">
        <v>0</v>
      </c>
      <c r="W577" s="722">
        <v>0.89</v>
      </c>
      <c r="X577" s="722">
        <v>1.43</v>
      </c>
      <c r="Y577" s="722">
        <v>12.65</v>
      </c>
      <c r="Z577" s="382" t="s">
        <v>934</v>
      </c>
      <c r="AA577" s="372">
        <v>1280.8332361</v>
      </c>
      <c r="AB577" s="372">
        <v>2748.2505498999999</v>
      </c>
      <c r="AC577" s="372">
        <v>2179.6257609999998</v>
      </c>
      <c r="AD577" s="372">
        <v>2170.4663199000001</v>
      </c>
      <c r="AE577" s="372">
        <v>0</v>
      </c>
      <c r="AF577" s="372">
        <v>0</v>
      </c>
      <c r="AG577" s="372">
        <v>0</v>
      </c>
      <c r="AH577" s="372">
        <v>0</v>
      </c>
    </row>
    <row r="578" spans="1:34">
      <c r="A578" s="372" t="s">
        <v>4464</v>
      </c>
      <c r="B578" s="373" t="s">
        <v>4465</v>
      </c>
      <c r="C578" s="372" t="s">
        <v>4466</v>
      </c>
      <c r="D578" s="374">
        <v>1101110103955</v>
      </c>
      <c r="E578" s="372" t="s">
        <v>4467</v>
      </c>
      <c r="F578" s="372" t="s">
        <v>1334</v>
      </c>
      <c r="G578" s="375" t="s">
        <v>1334</v>
      </c>
      <c r="H578" s="375" t="s">
        <v>788</v>
      </c>
      <c r="I578" s="375" t="s">
        <v>755</v>
      </c>
      <c r="J578" s="375">
        <v>526952.04506000003</v>
      </c>
      <c r="K578" s="375">
        <v>32232.798510000001</v>
      </c>
      <c r="L578" s="375">
        <v>25830.189979999999</v>
      </c>
      <c r="M578" s="375">
        <v>264264.47256999998</v>
      </c>
      <c r="N578" s="372">
        <v>0.45400000000000001</v>
      </c>
      <c r="O578" s="703">
        <v>46.058958237564873</v>
      </c>
      <c r="P578" s="375" t="s">
        <v>623</v>
      </c>
      <c r="Q578" s="375" t="s">
        <v>623</v>
      </c>
      <c r="R578" s="695">
        <v>19991215</v>
      </c>
      <c r="S578" s="375" t="s">
        <v>4468</v>
      </c>
      <c r="T578" s="696">
        <v>0.23100000000000001</v>
      </c>
      <c r="U578" s="375" t="s">
        <v>4469</v>
      </c>
      <c r="V578" s="722">
        <v>9.27</v>
      </c>
      <c r="W578" s="722">
        <v>1.24</v>
      </c>
      <c r="X578" s="722">
        <v>0.66</v>
      </c>
      <c r="Y578" s="722">
        <v>14.53</v>
      </c>
      <c r="Z578" s="382">
        <v>7.0299376754365372E-2</v>
      </c>
      <c r="AA578" s="372">
        <v>3085.0101586000001</v>
      </c>
      <c r="AB578" s="372">
        <v>3541.7643515999998</v>
      </c>
      <c r="AC578" s="372">
        <v>4788.8465636000001</v>
      </c>
      <c r="AD578" s="372">
        <v>5269.5204506</v>
      </c>
      <c r="AE578" s="372">
        <v>5900</v>
      </c>
      <c r="AF578" s="372">
        <v>6290.4</v>
      </c>
      <c r="AG578" s="372">
        <v>6915</v>
      </c>
      <c r="AH578" s="372">
        <v>0</v>
      </c>
    </row>
    <row r="579" spans="1:34">
      <c r="A579" s="372" t="s">
        <v>4470</v>
      </c>
      <c r="B579" s="373" t="s">
        <v>4471</v>
      </c>
      <c r="C579" s="372" t="s">
        <v>4472</v>
      </c>
      <c r="D579" s="374">
        <v>1101110426688</v>
      </c>
      <c r="E579" s="372" t="s">
        <v>4473</v>
      </c>
      <c r="F579" s="375" t="s">
        <v>4308</v>
      </c>
      <c r="G579" s="375" t="s">
        <v>4309</v>
      </c>
      <c r="H579" s="375" t="s">
        <v>1950</v>
      </c>
      <c r="I579" s="375" t="s">
        <v>869</v>
      </c>
      <c r="J579" s="375">
        <v>725118.196</v>
      </c>
      <c r="K579" s="375">
        <v>35677.366000000002</v>
      </c>
      <c r="L579" s="375">
        <v>38759.379999999997</v>
      </c>
      <c r="M579" s="375">
        <v>271223.701</v>
      </c>
      <c r="N579" s="372">
        <v>0.72799999999999998</v>
      </c>
      <c r="O579" s="703">
        <v>2.9242260736501255</v>
      </c>
      <c r="P579" s="375" t="s">
        <v>623</v>
      </c>
      <c r="Q579" s="375" t="s">
        <v>623</v>
      </c>
      <c r="R579" s="695">
        <v>19980120</v>
      </c>
      <c r="S579" s="375" t="s">
        <v>4474</v>
      </c>
      <c r="T579" s="696">
        <v>0.23100000000000001</v>
      </c>
      <c r="U579" s="372" t="s">
        <v>4475</v>
      </c>
      <c r="V579" s="722">
        <v>7.66</v>
      </c>
      <c r="W579" s="722">
        <v>1.25</v>
      </c>
      <c r="X579" s="722">
        <v>0.49</v>
      </c>
      <c r="Y579" s="722">
        <v>11.81</v>
      </c>
      <c r="Z579" s="382" t="s">
        <v>934</v>
      </c>
      <c r="AA579" s="372">
        <v>4952.3645900000001</v>
      </c>
      <c r="AB579" s="372">
        <v>5402.4381899999998</v>
      </c>
      <c r="AC579" s="372">
        <v>5954.5048100000004</v>
      </c>
      <c r="AD579" s="372">
        <v>7251.1819599999999</v>
      </c>
      <c r="AE579" s="372">
        <v>0</v>
      </c>
      <c r="AF579" s="372">
        <v>0</v>
      </c>
      <c r="AG579" s="372">
        <v>0</v>
      </c>
      <c r="AH579" s="372">
        <v>0</v>
      </c>
    </row>
    <row r="580" spans="1:34">
      <c r="A580" s="372" t="s">
        <v>4476</v>
      </c>
      <c r="B580" s="373" t="s">
        <v>4477</v>
      </c>
      <c r="C580" s="372" t="s">
        <v>4478</v>
      </c>
      <c r="D580" s="374">
        <v>1243110041444</v>
      </c>
      <c r="E580" s="372" t="s">
        <v>4479</v>
      </c>
      <c r="F580" s="375" t="s">
        <v>1195</v>
      </c>
      <c r="G580" s="375" t="s">
        <v>1196</v>
      </c>
      <c r="H580" s="375" t="s">
        <v>1388</v>
      </c>
      <c r="I580" s="375" t="s">
        <v>869</v>
      </c>
      <c r="J580" s="375">
        <v>95650.538589999996</v>
      </c>
      <c r="K580" s="375">
        <v>8017.3184600000004</v>
      </c>
      <c r="L580" s="375">
        <v>8770.8365400000002</v>
      </c>
      <c r="M580" s="375">
        <v>66440.394839999994</v>
      </c>
      <c r="N580" s="372">
        <v>1.1200000000000001</v>
      </c>
      <c r="O580" s="703">
        <v>5.6512315793382228</v>
      </c>
      <c r="P580" s="375" t="s">
        <v>623</v>
      </c>
      <c r="Q580" s="372" t="s">
        <v>623</v>
      </c>
      <c r="R580" s="695">
        <v>20061108</v>
      </c>
      <c r="S580" s="375" t="s">
        <v>4480</v>
      </c>
      <c r="T580" s="696">
        <v>0.20900000000000002</v>
      </c>
      <c r="U580" s="375" t="s">
        <v>4481</v>
      </c>
      <c r="V580" s="722">
        <v>0</v>
      </c>
      <c r="W580" s="722">
        <v>2.69</v>
      </c>
      <c r="X580" s="722">
        <v>0</v>
      </c>
      <c r="Y580" s="722">
        <v>0</v>
      </c>
      <c r="Z580" s="382" t="s">
        <v>934</v>
      </c>
      <c r="AA580" s="372">
        <v>638.26078140000004</v>
      </c>
      <c r="AB580" s="372">
        <v>771.80373940000004</v>
      </c>
      <c r="AC580" s="372">
        <v>729.31360640000003</v>
      </c>
      <c r="AD580" s="372">
        <v>956.50538589999996</v>
      </c>
      <c r="AE580" s="372">
        <v>0</v>
      </c>
      <c r="AF580" s="372">
        <v>0</v>
      </c>
      <c r="AG580" s="372">
        <v>0</v>
      </c>
      <c r="AH580" s="372">
        <v>0</v>
      </c>
    </row>
    <row r="581" spans="1:34">
      <c r="A581" s="372" t="s">
        <v>4482</v>
      </c>
      <c r="B581" s="373" t="s">
        <v>4483</v>
      </c>
      <c r="C581" s="372" t="s">
        <v>4484</v>
      </c>
      <c r="D581" s="374">
        <v>1358110232363</v>
      </c>
      <c r="E581" s="372" t="s">
        <v>4485</v>
      </c>
      <c r="F581" s="375" t="s">
        <v>1124</v>
      </c>
      <c r="G581" s="375" t="s">
        <v>1347</v>
      </c>
      <c r="H581" s="375" t="s">
        <v>1348</v>
      </c>
      <c r="I581" s="375" t="s">
        <v>869</v>
      </c>
      <c r="J581" s="375">
        <v>0</v>
      </c>
      <c r="K581" s="375">
        <v>-28757.98575</v>
      </c>
      <c r="L581" s="375">
        <v>-35324.785770000002</v>
      </c>
      <c r="M581" s="375">
        <v>70908.663430000001</v>
      </c>
      <c r="N581" s="372">
        <v>1.401</v>
      </c>
      <c r="O581" s="703">
        <v>2.6414645823990646</v>
      </c>
      <c r="P581" s="375" t="s">
        <v>623</v>
      </c>
      <c r="Q581" s="375" t="s">
        <v>623</v>
      </c>
      <c r="R581" s="695">
        <v>20191219</v>
      </c>
      <c r="S581" s="375" t="s">
        <v>4486</v>
      </c>
      <c r="T581" s="696" t="s">
        <v>772</v>
      </c>
      <c r="U581" s="375" t="s">
        <v>4487</v>
      </c>
      <c r="V581" s="722" t="s">
        <v>774</v>
      </c>
      <c r="W581" s="722">
        <v>3.44</v>
      </c>
      <c r="X581" s="722">
        <v>0</v>
      </c>
      <c r="Y581" s="722" t="s">
        <v>774</v>
      </c>
      <c r="Z581" s="382" t="s">
        <v>774</v>
      </c>
      <c r="AA581" s="372">
        <v>0</v>
      </c>
      <c r="AB581" s="372">
        <v>0</v>
      </c>
      <c r="AC581" s="372">
        <v>0</v>
      </c>
      <c r="AD581" s="372">
        <v>0</v>
      </c>
      <c r="AE581" s="372">
        <v>0</v>
      </c>
      <c r="AF581" s="372">
        <v>0</v>
      </c>
      <c r="AG581" s="372">
        <v>0</v>
      </c>
      <c r="AH581" s="372">
        <v>0</v>
      </c>
    </row>
    <row r="582" spans="1:34">
      <c r="A582" s="372" t="s">
        <v>4488</v>
      </c>
      <c r="B582" s="373" t="s">
        <v>4489</v>
      </c>
      <c r="C582" s="372" t="s">
        <v>4490</v>
      </c>
      <c r="D582" s="374">
        <v>1101110513633</v>
      </c>
      <c r="E582" s="372" t="s">
        <v>4491</v>
      </c>
      <c r="F582" s="375" t="s">
        <v>2098</v>
      </c>
      <c r="G582" s="375" t="s">
        <v>2098</v>
      </c>
      <c r="H582" s="375" t="s">
        <v>1388</v>
      </c>
      <c r="I582" s="375" t="s">
        <v>869</v>
      </c>
      <c r="J582" s="375">
        <v>183941.14483</v>
      </c>
      <c r="K582" s="375">
        <v>70151.892800000001</v>
      </c>
      <c r="L582" s="375">
        <v>71868.526629999993</v>
      </c>
      <c r="M582" s="375">
        <v>124804.39736</v>
      </c>
      <c r="N582" s="372">
        <v>0.68400000000000005</v>
      </c>
      <c r="O582" s="703">
        <v>4.1104467162118963E-2</v>
      </c>
      <c r="P582" s="375" t="s">
        <v>623</v>
      </c>
      <c r="Q582" s="372" t="s">
        <v>623</v>
      </c>
      <c r="R582" s="695">
        <v>19970818</v>
      </c>
      <c r="S582" s="372" t="s">
        <v>4492</v>
      </c>
      <c r="T582" s="696">
        <v>0.23100000000000001</v>
      </c>
      <c r="U582" s="372" t="s">
        <v>4493</v>
      </c>
      <c r="V582" s="722">
        <v>0</v>
      </c>
      <c r="W582" s="722">
        <v>2.58</v>
      </c>
      <c r="X582" s="722">
        <v>0</v>
      </c>
      <c r="Y582" s="722">
        <v>0</v>
      </c>
      <c r="Z582" s="382" t="s">
        <v>934</v>
      </c>
      <c r="AA582" s="372">
        <v>441.95774540000002</v>
      </c>
      <c r="AB582" s="372">
        <v>487.83124670000001</v>
      </c>
      <c r="AC582" s="372">
        <v>860.61155910000002</v>
      </c>
      <c r="AD582" s="372">
        <v>1839.4114483000001</v>
      </c>
      <c r="AE582" s="372">
        <v>0</v>
      </c>
      <c r="AF582" s="372">
        <v>0</v>
      </c>
      <c r="AG582" s="372">
        <v>0</v>
      </c>
      <c r="AH582" s="372">
        <v>0</v>
      </c>
    </row>
    <row r="583" spans="1:34">
      <c r="A583" s="372" t="s">
        <v>4494</v>
      </c>
      <c r="B583" s="373" t="s">
        <v>4495</v>
      </c>
      <c r="C583" s="372" t="s">
        <v>4496</v>
      </c>
      <c r="D583" s="374">
        <v>1101110169874</v>
      </c>
      <c r="E583" s="372" t="s">
        <v>4497</v>
      </c>
      <c r="F583" s="375" t="s">
        <v>2126</v>
      </c>
      <c r="G583" s="375" t="s">
        <v>2126</v>
      </c>
      <c r="H583" s="375" t="s">
        <v>902</v>
      </c>
      <c r="I583" s="375" t="s">
        <v>869</v>
      </c>
      <c r="J583" s="375">
        <v>33371.92512</v>
      </c>
      <c r="K583" s="375">
        <v>17729.078860000001</v>
      </c>
      <c r="L583" s="375">
        <v>17748.806329999999</v>
      </c>
      <c r="M583" s="375">
        <v>258504.75151</v>
      </c>
      <c r="N583" s="372">
        <v>1.234</v>
      </c>
      <c r="O583" s="703">
        <v>17.836061962058107</v>
      </c>
      <c r="P583" s="375" t="s">
        <v>623</v>
      </c>
      <c r="Q583" s="375" t="s">
        <v>623</v>
      </c>
      <c r="R583" s="695">
        <v>20181121</v>
      </c>
      <c r="S583" s="375">
        <v>0</v>
      </c>
      <c r="T583" s="696">
        <v>0.20900000000000002</v>
      </c>
      <c r="U583" s="372" t="s">
        <v>4498</v>
      </c>
      <c r="V583" s="722">
        <v>0</v>
      </c>
      <c r="W583" s="722">
        <v>1.27</v>
      </c>
      <c r="X583" s="722">
        <v>4.5</v>
      </c>
      <c r="Y583" s="722">
        <v>20.010000000000002</v>
      </c>
      <c r="Z583" s="382" t="s">
        <v>934</v>
      </c>
      <c r="AA583" s="372">
        <v>755.23394050000002</v>
      </c>
      <c r="AB583" s="372">
        <v>660.46516099999997</v>
      </c>
      <c r="AC583" s="372">
        <v>205.29485099999999</v>
      </c>
      <c r="AD583" s="372">
        <v>333.71925119999997</v>
      </c>
      <c r="AE583" s="372">
        <v>0</v>
      </c>
      <c r="AF583" s="372">
        <v>0</v>
      </c>
      <c r="AG583" s="372">
        <v>0</v>
      </c>
      <c r="AH583" s="372">
        <v>0</v>
      </c>
    </row>
    <row r="584" spans="1:34">
      <c r="A584" s="372" t="s">
        <v>4499</v>
      </c>
      <c r="B584" s="373" t="s">
        <v>4500</v>
      </c>
      <c r="C584" s="372" t="s">
        <v>4501</v>
      </c>
      <c r="D584" s="374">
        <v>1101110015556</v>
      </c>
      <c r="E584" s="372" t="s">
        <v>4502</v>
      </c>
      <c r="F584" s="375" t="s">
        <v>2030</v>
      </c>
      <c r="G584" s="375" t="s">
        <v>2030</v>
      </c>
      <c r="H584" s="375" t="s">
        <v>797</v>
      </c>
      <c r="I584" s="375" t="s">
        <v>755</v>
      </c>
      <c r="J584" s="375">
        <v>1106756.86219</v>
      </c>
      <c r="K584" s="375">
        <v>59171.860229999998</v>
      </c>
      <c r="L584" s="375">
        <v>60565.358970000001</v>
      </c>
      <c r="M584" s="375">
        <v>618192.98994999996</v>
      </c>
      <c r="N584" s="372">
        <v>1.32</v>
      </c>
      <c r="O584" s="703">
        <v>50.898074296618198</v>
      </c>
      <c r="P584" s="375" t="s">
        <v>623</v>
      </c>
      <c r="Q584" s="372" t="s">
        <v>623</v>
      </c>
      <c r="R584" s="695">
        <v>19770622</v>
      </c>
      <c r="S584" s="375" t="s">
        <v>4503</v>
      </c>
      <c r="T584" s="696">
        <v>0.23100000000000001</v>
      </c>
      <c r="U584" s="375" t="s">
        <v>4504</v>
      </c>
      <c r="V584" s="722">
        <v>5.45</v>
      </c>
      <c r="W584" s="722">
        <v>0.66</v>
      </c>
      <c r="X584" s="722">
        <v>0.3</v>
      </c>
      <c r="Y584" s="722">
        <v>11.01</v>
      </c>
      <c r="Z584" s="382">
        <v>0.12088271082646895</v>
      </c>
      <c r="AA584" s="372">
        <v>8612.3095967000008</v>
      </c>
      <c r="AB584" s="372">
        <v>8622.2279687999999</v>
      </c>
      <c r="AC584" s="372">
        <v>10244.504987800001</v>
      </c>
      <c r="AD584" s="372">
        <v>11067.5686219</v>
      </c>
      <c r="AE584" s="372">
        <v>12172</v>
      </c>
      <c r="AF584" s="372">
        <v>13695.5</v>
      </c>
      <c r="AG584" s="372">
        <v>17470</v>
      </c>
      <c r="AH584" s="372">
        <v>0</v>
      </c>
    </row>
    <row r="585" spans="1:34">
      <c r="A585" s="372" t="s">
        <v>4505</v>
      </c>
      <c r="B585" s="373" t="s">
        <v>4506</v>
      </c>
      <c r="C585" s="372" t="s">
        <v>4507</v>
      </c>
      <c r="D585" s="374">
        <v>1845110003290</v>
      </c>
      <c r="E585" s="372" t="s">
        <v>4508</v>
      </c>
      <c r="F585" s="375" t="s">
        <v>2147</v>
      </c>
      <c r="G585" s="375" t="s">
        <v>4509</v>
      </c>
      <c r="H585" s="375" t="s">
        <v>868</v>
      </c>
      <c r="I585" s="375" t="s">
        <v>869</v>
      </c>
      <c r="J585" s="375">
        <v>155817.89264000001</v>
      </c>
      <c r="K585" s="375">
        <v>20896.358520000002</v>
      </c>
      <c r="L585" s="375">
        <v>10405.13085</v>
      </c>
      <c r="M585" s="375">
        <v>194427.20056999999</v>
      </c>
      <c r="N585" s="372">
        <v>0.86899999999999999</v>
      </c>
      <c r="O585" s="703">
        <v>39.467286831419663</v>
      </c>
      <c r="P585" s="375" t="s">
        <v>623</v>
      </c>
      <c r="Q585" s="375" t="s">
        <v>623</v>
      </c>
      <c r="R585" s="695">
        <v>20000627</v>
      </c>
      <c r="S585" s="375" t="s">
        <v>4510</v>
      </c>
      <c r="T585" s="696">
        <v>0.20900000000000002</v>
      </c>
      <c r="U585" s="372" t="s">
        <v>4511</v>
      </c>
      <c r="V585" s="722">
        <v>13.9</v>
      </c>
      <c r="W585" s="722">
        <v>1.51</v>
      </c>
      <c r="X585" s="722">
        <v>2.2799999999999998</v>
      </c>
      <c r="Y585" s="722">
        <v>107.43</v>
      </c>
      <c r="Z585" s="382">
        <v>8.0014617801503318E-2</v>
      </c>
      <c r="AA585" s="372">
        <v>1200.5630595</v>
      </c>
      <c r="AB585" s="372">
        <v>1500.3723708</v>
      </c>
      <c r="AC585" s="372">
        <v>1313.0634674999999</v>
      </c>
      <c r="AD585" s="372">
        <v>1558.1789263999999</v>
      </c>
      <c r="AE585" s="372">
        <v>1804.67</v>
      </c>
      <c r="AF585" s="372">
        <v>1894.5</v>
      </c>
      <c r="AG585" s="372">
        <v>2120</v>
      </c>
      <c r="AH585" s="372">
        <v>7392</v>
      </c>
    </row>
    <row r="586" spans="1:34">
      <c r="A586" s="372" t="s">
        <v>4512</v>
      </c>
      <c r="B586" s="373" t="s">
        <v>4513</v>
      </c>
      <c r="C586" s="372" t="s">
        <v>4514</v>
      </c>
      <c r="D586" s="374">
        <v>1311110126936</v>
      </c>
      <c r="E586" s="372" t="s">
        <v>4515</v>
      </c>
      <c r="F586" s="372" t="s">
        <v>1195</v>
      </c>
      <c r="G586" s="375" t="s">
        <v>1196</v>
      </c>
      <c r="H586" s="375" t="s">
        <v>868</v>
      </c>
      <c r="I586" s="375" t="s">
        <v>869</v>
      </c>
      <c r="J586" s="375">
        <v>66716.568310000002</v>
      </c>
      <c r="K586" s="375">
        <v>-8210.0449800000006</v>
      </c>
      <c r="L586" s="375">
        <v>-47801.521229999998</v>
      </c>
      <c r="M586" s="375">
        <v>30701.563770000001</v>
      </c>
      <c r="N586" s="372">
        <v>1.325</v>
      </c>
      <c r="O586" s="703">
        <v>11.364256167690037</v>
      </c>
      <c r="P586" s="375" t="s">
        <v>623</v>
      </c>
      <c r="Q586" s="372" t="s">
        <v>623</v>
      </c>
      <c r="R586" s="695">
        <v>20181129</v>
      </c>
      <c r="S586" s="372" t="s">
        <v>4516</v>
      </c>
      <c r="T586" s="696" t="s">
        <v>772</v>
      </c>
      <c r="U586" s="372" t="s">
        <v>4517</v>
      </c>
      <c r="V586" s="722" t="s">
        <v>774</v>
      </c>
      <c r="W586" s="722">
        <v>10.35</v>
      </c>
      <c r="X586" s="722">
        <v>4.83</v>
      </c>
      <c r="Y586" s="722" t="s">
        <v>774</v>
      </c>
      <c r="Z586" s="382" t="s">
        <v>934</v>
      </c>
      <c r="AA586" s="372">
        <v>663.56725349999999</v>
      </c>
      <c r="AB586" s="372">
        <v>441.23037870000002</v>
      </c>
      <c r="AC586" s="372">
        <v>567.29389189999995</v>
      </c>
      <c r="AD586" s="372">
        <v>667.16568310000002</v>
      </c>
      <c r="AE586" s="372">
        <v>892</v>
      </c>
      <c r="AF586" s="372">
        <v>1586</v>
      </c>
      <c r="AG586" s="372">
        <v>0</v>
      </c>
      <c r="AH586" s="372">
        <v>0</v>
      </c>
    </row>
    <row r="587" spans="1:34">
      <c r="A587" s="372" t="s">
        <v>4518</v>
      </c>
      <c r="B587" s="373" t="s">
        <v>4519</v>
      </c>
      <c r="C587" s="372" t="s">
        <v>4520</v>
      </c>
      <c r="D587" s="374">
        <v>1812110024485</v>
      </c>
      <c r="E587" s="372" t="s">
        <v>4521</v>
      </c>
      <c r="F587" s="375" t="s">
        <v>4054</v>
      </c>
      <c r="G587" s="375" t="s">
        <v>4054</v>
      </c>
      <c r="H587" s="375">
        <v>0</v>
      </c>
      <c r="I587" s="375" t="s">
        <v>869</v>
      </c>
      <c r="J587" s="375">
        <v>78763.7255</v>
      </c>
      <c r="K587" s="375">
        <v>34392.141499999998</v>
      </c>
      <c r="L587" s="375">
        <v>37428.712</v>
      </c>
      <c r="M587" s="375">
        <v>180632.16536000001</v>
      </c>
      <c r="N587" s="372">
        <v>0.55800000000000005</v>
      </c>
      <c r="O587" s="703">
        <v>6.032204604154547</v>
      </c>
      <c r="P587" s="375" t="s">
        <v>623</v>
      </c>
      <c r="Q587" s="372" t="s">
        <v>623</v>
      </c>
      <c r="R587" s="695">
        <v>20040616</v>
      </c>
      <c r="S587" s="372" t="s">
        <v>4522</v>
      </c>
      <c r="T587" s="696">
        <v>0.23100000000000001</v>
      </c>
      <c r="U587" s="372" t="s">
        <v>4523</v>
      </c>
      <c r="V587" s="722">
        <v>0</v>
      </c>
      <c r="W587" s="722">
        <v>1.81</v>
      </c>
      <c r="X587" s="722">
        <v>0</v>
      </c>
      <c r="Y587" s="722">
        <v>0</v>
      </c>
      <c r="Z587" s="382" t="s">
        <v>934</v>
      </c>
      <c r="AA587" s="372">
        <v>708.29816440000002</v>
      </c>
      <c r="AB587" s="372">
        <v>740.94721440000001</v>
      </c>
      <c r="AC587" s="372">
        <v>902.86420510000005</v>
      </c>
      <c r="AD587" s="372">
        <v>787.63725499999998</v>
      </c>
      <c r="AE587" s="372">
        <v>0</v>
      </c>
      <c r="AF587" s="372">
        <v>0</v>
      </c>
      <c r="AG587" s="372">
        <v>0</v>
      </c>
      <c r="AH587" s="372">
        <v>0</v>
      </c>
    </row>
    <row r="588" spans="1:34">
      <c r="A588" s="372" t="s">
        <v>4524</v>
      </c>
      <c r="B588" s="373" t="s">
        <v>4525</v>
      </c>
      <c r="C588" s="372" t="s">
        <v>4526</v>
      </c>
      <c r="D588" s="374">
        <v>1311110065514</v>
      </c>
      <c r="E588" s="372" t="s">
        <v>4527</v>
      </c>
      <c r="F588" s="372" t="s">
        <v>1195</v>
      </c>
      <c r="G588" s="375" t="s">
        <v>3144</v>
      </c>
      <c r="H588" s="375" t="s">
        <v>868</v>
      </c>
      <c r="I588" s="375" t="s">
        <v>869</v>
      </c>
      <c r="J588" s="375">
        <v>96170.053719999996</v>
      </c>
      <c r="K588" s="375">
        <v>6764.0420000000004</v>
      </c>
      <c r="L588" s="375">
        <v>96540.587299999999</v>
      </c>
      <c r="M588" s="375">
        <v>229814.77939000001</v>
      </c>
      <c r="N588" s="372">
        <v>0.78200000000000003</v>
      </c>
      <c r="O588" s="703">
        <v>5.6539952445352064</v>
      </c>
      <c r="P588" s="375" t="s">
        <v>623</v>
      </c>
      <c r="Q588" s="375" t="s">
        <v>623</v>
      </c>
      <c r="R588" s="695">
        <v>20200622</v>
      </c>
      <c r="S588" s="375" t="s">
        <v>4528</v>
      </c>
      <c r="T588" s="696">
        <v>0.23100000000000001</v>
      </c>
      <c r="U588" s="372" t="s">
        <v>16012</v>
      </c>
      <c r="V588" s="722">
        <v>45.17</v>
      </c>
      <c r="W588" s="722">
        <v>1.59</v>
      </c>
      <c r="X588" s="722">
        <v>3.85</v>
      </c>
      <c r="Y588" s="722">
        <v>4.8899999999999997</v>
      </c>
      <c r="Z588" s="382" t="s">
        <v>934</v>
      </c>
      <c r="AA588" s="372">
        <v>210.8235962</v>
      </c>
      <c r="AB588" s="372">
        <v>467.73127249999999</v>
      </c>
      <c r="AC588" s="372">
        <v>1876.0028004999999</v>
      </c>
      <c r="AD588" s="372">
        <v>961.70053719999999</v>
      </c>
      <c r="AE588" s="372">
        <v>2320</v>
      </c>
      <c r="AF588" s="372">
        <v>0</v>
      </c>
      <c r="AG588" s="372">
        <v>0</v>
      </c>
      <c r="AH588" s="372">
        <v>0</v>
      </c>
    </row>
    <row r="589" spans="1:34">
      <c r="A589" s="372" t="s">
        <v>4529</v>
      </c>
      <c r="B589" s="373" t="s">
        <v>4530</v>
      </c>
      <c r="C589" s="372" t="s">
        <v>4531</v>
      </c>
      <c r="D589" s="374">
        <v>1101110738637</v>
      </c>
      <c r="E589" s="372" t="s">
        <v>4532</v>
      </c>
      <c r="F589" s="372" t="s">
        <v>4533</v>
      </c>
      <c r="G589" s="375" t="s">
        <v>4533</v>
      </c>
      <c r="H589" s="375" t="s">
        <v>868</v>
      </c>
      <c r="I589" s="375" t="s">
        <v>869</v>
      </c>
      <c r="J589" s="375">
        <v>823729.44391000003</v>
      </c>
      <c r="K589" s="375">
        <v>84701.114939999999</v>
      </c>
      <c r="L589" s="375">
        <v>45064.872479999998</v>
      </c>
      <c r="M589" s="375">
        <v>706001.38263000001</v>
      </c>
      <c r="N589" s="372">
        <v>1.042</v>
      </c>
      <c r="O589" s="703">
        <v>189.60361011331116</v>
      </c>
      <c r="P589" s="375" t="s">
        <v>623</v>
      </c>
      <c r="Q589" s="372" t="s">
        <v>623</v>
      </c>
      <c r="R589" s="695">
        <v>20010130</v>
      </c>
      <c r="S589" s="372" t="s">
        <v>4534</v>
      </c>
      <c r="T589" s="696">
        <v>0.23100000000000001</v>
      </c>
      <c r="U589" s="372" t="s">
        <v>4535</v>
      </c>
      <c r="V589" s="722">
        <v>5.45</v>
      </c>
      <c r="W589" s="722">
        <v>0.48</v>
      </c>
      <c r="X589" s="722">
        <v>0.41</v>
      </c>
      <c r="Y589" s="722">
        <v>9.99</v>
      </c>
      <c r="Z589" s="382" t="s">
        <v>934</v>
      </c>
      <c r="AA589" s="372">
        <v>5431.5158030000002</v>
      </c>
      <c r="AB589" s="372">
        <v>5689.8771098999996</v>
      </c>
      <c r="AC589" s="372">
        <v>7211.1558788000002</v>
      </c>
      <c r="AD589" s="372">
        <v>8237.2944391000001</v>
      </c>
      <c r="AE589" s="372">
        <v>8530</v>
      </c>
      <c r="AF589" s="372">
        <v>8800</v>
      </c>
      <c r="AG589" s="372">
        <v>0</v>
      </c>
      <c r="AH589" s="372">
        <v>0</v>
      </c>
    </row>
    <row r="590" spans="1:34">
      <c r="A590" s="372" t="s">
        <v>4536</v>
      </c>
      <c r="B590" s="373" t="s">
        <v>4537</v>
      </c>
      <c r="C590" s="372" t="s">
        <v>4538</v>
      </c>
      <c r="D590" s="374">
        <v>1311110126192</v>
      </c>
      <c r="E590" s="372" t="s">
        <v>4539</v>
      </c>
      <c r="F590" s="375" t="s">
        <v>1285</v>
      </c>
      <c r="G590" s="375" t="s">
        <v>1285</v>
      </c>
      <c r="H590" s="375" t="s">
        <v>1388</v>
      </c>
      <c r="I590" s="375" t="s">
        <v>869</v>
      </c>
      <c r="J590" s="375">
        <v>365609.17666</v>
      </c>
      <c r="K590" s="375">
        <v>22724.926459999999</v>
      </c>
      <c r="L590" s="375">
        <v>28572.881979999998</v>
      </c>
      <c r="M590" s="375">
        <v>147100.94003</v>
      </c>
      <c r="N590" s="372">
        <v>0.98799999999999999</v>
      </c>
      <c r="O590" s="703">
        <v>10.28377661051411</v>
      </c>
      <c r="P590" s="375" t="s">
        <v>623</v>
      </c>
      <c r="Q590" s="375" t="s">
        <v>623</v>
      </c>
      <c r="R590" s="695">
        <v>20151112</v>
      </c>
      <c r="S590" s="375" t="s">
        <v>4540</v>
      </c>
      <c r="T590" s="696">
        <v>0.23100000000000001</v>
      </c>
      <c r="U590" s="372" t="s">
        <v>4541</v>
      </c>
      <c r="V590" s="722">
        <v>5.56</v>
      </c>
      <c r="W590" s="722">
        <v>1.51</v>
      </c>
      <c r="X590" s="722">
        <v>0.63</v>
      </c>
      <c r="Y590" s="722">
        <v>9.7200000000000006</v>
      </c>
      <c r="Z590" s="382" t="s">
        <v>934</v>
      </c>
      <c r="AA590" s="372">
        <v>5117.5613542999999</v>
      </c>
      <c r="AB590" s="372">
        <v>5029.0288774000001</v>
      </c>
      <c r="AC590" s="372">
        <v>5193.4298123999997</v>
      </c>
      <c r="AD590" s="372">
        <v>3656.0917666</v>
      </c>
      <c r="AE590" s="372">
        <v>4417.5</v>
      </c>
      <c r="AF590" s="372">
        <v>5080</v>
      </c>
      <c r="AG590" s="372">
        <v>0</v>
      </c>
      <c r="AH590" s="372">
        <v>0</v>
      </c>
    </row>
    <row r="591" spans="1:34">
      <c r="A591" s="372" t="s">
        <v>4542</v>
      </c>
      <c r="B591" s="373" t="s">
        <v>4543</v>
      </c>
      <c r="C591" s="372" t="s">
        <v>4544</v>
      </c>
      <c r="D591" s="374">
        <v>1601110002313</v>
      </c>
      <c r="E591" s="372" t="s">
        <v>4545</v>
      </c>
      <c r="F591" s="372" t="s">
        <v>2139</v>
      </c>
      <c r="G591" s="375" t="s">
        <v>2140</v>
      </c>
      <c r="H591" s="375" t="s">
        <v>817</v>
      </c>
      <c r="I591" s="375" t="s">
        <v>755</v>
      </c>
      <c r="J591" s="375">
        <v>591186.56007000001</v>
      </c>
      <c r="K591" s="375">
        <v>37632.2696</v>
      </c>
      <c r="L591" s="375">
        <v>24674.54797</v>
      </c>
      <c r="M591" s="375">
        <v>358843.35499000002</v>
      </c>
      <c r="N591" s="372">
        <v>0.84699999999999998</v>
      </c>
      <c r="O591" s="703">
        <v>119.07768020876352</v>
      </c>
      <c r="P591" s="375" t="s">
        <v>623</v>
      </c>
      <c r="Q591" s="375" t="s">
        <v>623</v>
      </c>
      <c r="R591" s="695">
        <v>19720317</v>
      </c>
      <c r="S591" s="375" t="s">
        <v>4546</v>
      </c>
      <c r="T591" s="696">
        <v>0.23100000000000001</v>
      </c>
      <c r="U591" s="375" t="s">
        <v>4547</v>
      </c>
      <c r="V591" s="722">
        <v>7.69</v>
      </c>
      <c r="W591" s="722">
        <v>1.06</v>
      </c>
      <c r="X591" s="722">
        <v>0.49</v>
      </c>
      <c r="Y591" s="722">
        <v>15.51</v>
      </c>
      <c r="Z591" s="382" t="s">
        <v>934</v>
      </c>
      <c r="AA591" s="372">
        <v>4952.6547162999996</v>
      </c>
      <c r="AB591" s="372">
        <v>5055.8603075999999</v>
      </c>
      <c r="AC591" s="372">
        <v>6454.1212605000001</v>
      </c>
      <c r="AD591" s="372">
        <v>5911.8656007</v>
      </c>
      <c r="AE591" s="372">
        <v>0</v>
      </c>
      <c r="AF591" s="372">
        <v>0</v>
      </c>
      <c r="AG591" s="372">
        <v>0</v>
      </c>
      <c r="AH591" s="372">
        <v>0</v>
      </c>
    </row>
    <row r="592" spans="1:34">
      <c r="A592" s="372" t="s">
        <v>4548</v>
      </c>
      <c r="B592" s="373" t="s">
        <v>4549</v>
      </c>
      <c r="C592" s="372" t="s">
        <v>4550</v>
      </c>
      <c r="D592" s="374">
        <v>1201110038209</v>
      </c>
      <c r="E592" s="372" t="s">
        <v>4551</v>
      </c>
      <c r="F592" s="372" t="s">
        <v>2535</v>
      </c>
      <c r="G592" s="375" t="s">
        <v>2535</v>
      </c>
      <c r="H592" s="375" t="s">
        <v>868</v>
      </c>
      <c r="I592" s="375" t="s">
        <v>869</v>
      </c>
      <c r="J592" s="375">
        <v>183599.14739999999</v>
      </c>
      <c r="K592" s="375">
        <v>8958.3698800000002</v>
      </c>
      <c r="L592" s="375">
        <v>17003.588459999999</v>
      </c>
      <c r="M592" s="375">
        <v>193026.08562</v>
      </c>
      <c r="N592" s="372">
        <v>1.288</v>
      </c>
      <c r="O592" s="703">
        <v>28.536379655214532</v>
      </c>
      <c r="P592" s="375" t="s">
        <v>623</v>
      </c>
      <c r="Q592" s="372" t="s">
        <v>623</v>
      </c>
      <c r="R592" s="695">
        <v>20110721</v>
      </c>
      <c r="S592" s="372" t="s">
        <v>4552</v>
      </c>
      <c r="T592" s="696">
        <v>0.20900000000000002</v>
      </c>
      <c r="U592" s="372" t="s">
        <v>4553</v>
      </c>
      <c r="V592" s="722">
        <v>17.79</v>
      </c>
      <c r="W592" s="722">
        <v>1.81</v>
      </c>
      <c r="X592" s="722">
        <v>1.94</v>
      </c>
      <c r="Y592" s="722">
        <v>29.73</v>
      </c>
      <c r="Z592" s="382">
        <v>0.14873008168914392</v>
      </c>
      <c r="AA592" s="372">
        <v>1533.4740671</v>
      </c>
      <c r="AB592" s="372">
        <v>1784.8053167</v>
      </c>
      <c r="AC592" s="372">
        <v>1811.5550317</v>
      </c>
      <c r="AD592" s="372">
        <v>1835.9914739999999</v>
      </c>
      <c r="AE592" s="372">
        <v>1990</v>
      </c>
      <c r="AF592" s="372">
        <v>2306</v>
      </c>
      <c r="AG592" s="372">
        <v>3197</v>
      </c>
      <c r="AH592" s="372">
        <v>4324</v>
      </c>
    </row>
    <row r="593" spans="1:34">
      <c r="A593" s="372" t="s">
        <v>4554</v>
      </c>
      <c r="B593" s="373" t="s">
        <v>4555</v>
      </c>
      <c r="C593" s="372" t="s">
        <v>4556</v>
      </c>
      <c r="D593" s="374">
        <v>1101110609771</v>
      </c>
      <c r="E593" s="372" t="s">
        <v>4557</v>
      </c>
      <c r="F593" s="375" t="s">
        <v>2465</v>
      </c>
      <c r="G593" s="375" t="s">
        <v>2465</v>
      </c>
      <c r="H593" s="375" t="s">
        <v>1348</v>
      </c>
      <c r="I593" s="375" t="s">
        <v>869</v>
      </c>
      <c r="J593" s="375">
        <v>178584.86744</v>
      </c>
      <c r="K593" s="375">
        <v>11557.46406</v>
      </c>
      <c r="L593" s="375">
        <v>6012.3009000000002</v>
      </c>
      <c r="M593" s="375">
        <v>99526.283609999999</v>
      </c>
      <c r="N593" s="372">
        <v>0.65400000000000003</v>
      </c>
      <c r="O593" s="703">
        <v>9.3007072647381026</v>
      </c>
      <c r="P593" s="375" t="s">
        <v>623</v>
      </c>
      <c r="Q593" s="372" t="s">
        <v>623</v>
      </c>
      <c r="R593" s="695">
        <v>20050726</v>
      </c>
      <c r="S593" s="375" t="s">
        <v>4558</v>
      </c>
      <c r="T593" s="696">
        <v>0.20900000000000002</v>
      </c>
      <c r="U593" s="375" t="s">
        <v>4559</v>
      </c>
      <c r="V593" s="722">
        <v>19.48</v>
      </c>
      <c r="W593" s="722">
        <v>2.95</v>
      </c>
      <c r="X593" s="722">
        <v>1.61</v>
      </c>
      <c r="Y593" s="722">
        <v>28.02</v>
      </c>
      <c r="Z593" s="382">
        <v>0.15918948068033334</v>
      </c>
      <c r="AA593" s="372">
        <v>542.43693759999996</v>
      </c>
      <c r="AB593" s="372">
        <v>137.6035157</v>
      </c>
      <c r="AC593" s="372">
        <v>294.49596989999998</v>
      </c>
      <c r="AD593" s="372">
        <v>1785.8486743999999</v>
      </c>
      <c r="AE593" s="372">
        <v>2691.5</v>
      </c>
      <c r="AF593" s="372">
        <v>2980</v>
      </c>
      <c r="AG593" s="372">
        <v>3224.5</v>
      </c>
      <c r="AH593" s="372">
        <v>0</v>
      </c>
    </row>
    <row r="594" spans="1:34">
      <c r="A594" s="372" t="s">
        <v>4560</v>
      </c>
      <c r="B594" s="373" t="s">
        <v>4561</v>
      </c>
      <c r="C594" s="372" t="s">
        <v>4562</v>
      </c>
      <c r="D594" s="374">
        <v>1101110210859</v>
      </c>
      <c r="E594" s="372" t="s">
        <v>4563</v>
      </c>
      <c r="F594" s="375" t="s">
        <v>982</v>
      </c>
      <c r="G594" s="375" t="s">
        <v>983</v>
      </c>
      <c r="H594" s="375" t="s">
        <v>823</v>
      </c>
      <c r="I594" s="375" t="s">
        <v>755</v>
      </c>
      <c r="J594" s="375">
        <v>458583.8628</v>
      </c>
      <c r="K594" s="375">
        <v>37022.768320000003</v>
      </c>
      <c r="L594" s="375">
        <v>25683.673040000001</v>
      </c>
      <c r="M594" s="375">
        <v>395210.86054000002</v>
      </c>
      <c r="N594" s="372">
        <v>0.96599999999999997</v>
      </c>
      <c r="O594" s="703">
        <v>69.902244254209236</v>
      </c>
      <c r="P594" s="375" t="s">
        <v>623</v>
      </c>
      <c r="Q594" s="375" t="s">
        <v>623</v>
      </c>
      <c r="R594" s="695">
        <v>19930106</v>
      </c>
      <c r="S594" s="375" t="s">
        <v>4564</v>
      </c>
      <c r="T594" s="696">
        <v>0.23100000000000001</v>
      </c>
      <c r="U594" s="375" t="s">
        <v>4565</v>
      </c>
      <c r="V594" s="722">
        <v>7.99</v>
      </c>
      <c r="W594" s="722">
        <v>0.82</v>
      </c>
      <c r="X594" s="722">
        <v>0.76</v>
      </c>
      <c r="Y594" s="722">
        <v>17.190000000000001</v>
      </c>
      <c r="Z594" s="382" t="s">
        <v>934</v>
      </c>
      <c r="AA594" s="372">
        <v>2724.4584006</v>
      </c>
      <c r="AB594" s="372">
        <v>3269.1460492000001</v>
      </c>
      <c r="AC594" s="372">
        <v>4013.4550214999999</v>
      </c>
      <c r="AD594" s="372">
        <v>4585.8386280000004</v>
      </c>
      <c r="AE594" s="372">
        <v>0</v>
      </c>
      <c r="AF594" s="372">
        <v>0</v>
      </c>
      <c r="AG594" s="372">
        <v>0</v>
      </c>
      <c r="AH594" s="372">
        <v>0</v>
      </c>
    </row>
    <row r="595" spans="1:34">
      <c r="A595" s="372" t="s">
        <v>4566</v>
      </c>
      <c r="B595" s="373" t="s">
        <v>4567</v>
      </c>
      <c r="C595" s="372" t="s">
        <v>4568</v>
      </c>
      <c r="D595" s="374">
        <v>1243110004252</v>
      </c>
      <c r="E595" s="372" t="s">
        <v>4569</v>
      </c>
      <c r="F595" s="375" t="s">
        <v>1782</v>
      </c>
      <c r="G595" s="375" t="s">
        <v>2261</v>
      </c>
      <c r="H595" s="375" t="s">
        <v>832</v>
      </c>
      <c r="I595" s="375" t="s">
        <v>755</v>
      </c>
      <c r="J595" s="375">
        <v>594567.15121000004</v>
      </c>
      <c r="K595" s="375">
        <v>42994.972090000003</v>
      </c>
      <c r="L595" s="375">
        <v>14030.33711</v>
      </c>
      <c r="M595" s="375">
        <v>477068.53382000001</v>
      </c>
      <c r="N595" s="372">
        <v>0.71499999999999997</v>
      </c>
      <c r="O595" s="703">
        <v>190.3927206182837</v>
      </c>
      <c r="P595" s="375" t="s">
        <v>623</v>
      </c>
      <c r="Q595" s="375" t="s">
        <v>623</v>
      </c>
      <c r="R595" s="695">
        <v>19900327</v>
      </c>
      <c r="S595" s="375" t="s">
        <v>4570</v>
      </c>
      <c r="T595" s="696">
        <v>0.20900000000000002</v>
      </c>
      <c r="U595" s="375" t="s">
        <v>4571</v>
      </c>
      <c r="V595" s="722">
        <v>10.08</v>
      </c>
      <c r="W595" s="722">
        <v>0.75</v>
      </c>
      <c r="X595" s="722">
        <v>0.56000000000000005</v>
      </c>
      <c r="Y595" s="722">
        <v>54.26</v>
      </c>
      <c r="Z595" s="382">
        <v>3.8741949355986627E-2</v>
      </c>
      <c r="AA595" s="372">
        <v>5530.1215364999998</v>
      </c>
      <c r="AB595" s="372">
        <v>5967.3315199999997</v>
      </c>
      <c r="AC595" s="372">
        <v>6349.6607901999996</v>
      </c>
      <c r="AD595" s="372">
        <v>5945.6715120999997</v>
      </c>
      <c r="AE595" s="372">
        <v>6302</v>
      </c>
      <c r="AF595" s="372">
        <v>6611</v>
      </c>
      <c r="AG595" s="372">
        <v>6922</v>
      </c>
      <c r="AH595" s="372">
        <v>7178</v>
      </c>
    </row>
    <row r="596" spans="1:34">
      <c r="A596" s="372" t="s">
        <v>4572</v>
      </c>
      <c r="B596" s="373" t="s">
        <v>4573</v>
      </c>
      <c r="C596" s="372" t="s">
        <v>4574</v>
      </c>
      <c r="D596" s="374">
        <v>1101112663436</v>
      </c>
      <c r="E596" s="372" t="s">
        <v>4575</v>
      </c>
      <c r="F596" s="375" t="s">
        <v>1673</v>
      </c>
      <c r="G596" s="375" t="s">
        <v>1673</v>
      </c>
      <c r="H596" s="375" t="s">
        <v>1388</v>
      </c>
      <c r="I596" s="375" t="s">
        <v>869</v>
      </c>
      <c r="J596" s="375">
        <v>71466.090070000006</v>
      </c>
      <c r="K596" s="375">
        <v>4469.5406199999998</v>
      </c>
      <c r="L596" s="375">
        <v>2679.6772999999998</v>
      </c>
      <c r="M596" s="375">
        <v>53806.531280000003</v>
      </c>
      <c r="N596" s="372">
        <v>0.35199999999999998</v>
      </c>
      <c r="O596" s="703">
        <v>2.845098323558807</v>
      </c>
      <c r="P596" s="375" t="s">
        <v>623</v>
      </c>
      <c r="Q596" s="375" t="s">
        <v>623</v>
      </c>
      <c r="R596" s="695">
        <v>20101105</v>
      </c>
      <c r="S596" s="375" t="s">
        <v>4576</v>
      </c>
      <c r="T596" s="696">
        <v>0.20900000000000002</v>
      </c>
      <c r="U596" s="375" t="s">
        <v>4577</v>
      </c>
      <c r="V596" s="722">
        <v>0</v>
      </c>
      <c r="W596" s="722">
        <v>4.83</v>
      </c>
      <c r="X596" s="722">
        <v>0</v>
      </c>
      <c r="Y596" s="722">
        <v>0</v>
      </c>
      <c r="Z596" s="382" t="s">
        <v>934</v>
      </c>
      <c r="AA596" s="372">
        <v>1009.5553748999999</v>
      </c>
      <c r="AB596" s="372">
        <v>483.82080500000001</v>
      </c>
      <c r="AC596" s="372">
        <v>432.91922790000001</v>
      </c>
      <c r="AD596" s="372">
        <v>714.66090069999996</v>
      </c>
      <c r="AE596" s="372">
        <v>0</v>
      </c>
      <c r="AF596" s="372">
        <v>0</v>
      </c>
      <c r="AG596" s="372">
        <v>0</v>
      </c>
      <c r="AH596" s="372">
        <v>0</v>
      </c>
    </row>
    <row r="597" spans="1:34">
      <c r="A597" s="372" t="s">
        <v>4578</v>
      </c>
      <c r="B597" s="373" t="s">
        <v>4579</v>
      </c>
      <c r="C597" s="372" t="s">
        <v>4580</v>
      </c>
      <c r="D597" s="374">
        <v>1348110400341</v>
      </c>
      <c r="E597" s="372" t="s">
        <v>4581</v>
      </c>
      <c r="F597" s="372" t="s">
        <v>1195</v>
      </c>
      <c r="G597" s="375" t="s">
        <v>3144</v>
      </c>
      <c r="H597" s="375" t="s">
        <v>1388</v>
      </c>
      <c r="I597" s="375" t="s">
        <v>869</v>
      </c>
      <c r="J597" s="375">
        <v>533579.25043000001</v>
      </c>
      <c r="K597" s="375">
        <v>60121.226130000003</v>
      </c>
      <c r="L597" s="375">
        <v>76187.899739999993</v>
      </c>
      <c r="M597" s="375">
        <v>321376.36965000001</v>
      </c>
      <c r="N597" s="372">
        <v>0.999</v>
      </c>
      <c r="O597" s="703">
        <v>23.093030104030461</v>
      </c>
      <c r="P597" s="375" t="s">
        <v>623</v>
      </c>
      <c r="Q597" s="375" t="s">
        <v>623</v>
      </c>
      <c r="R597" s="695">
        <v>20170407</v>
      </c>
      <c r="S597" s="375" t="s">
        <v>4582</v>
      </c>
      <c r="T597" s="696">
        <v>0.23100000000000001</v>
      </c>
      <c r="U597" s="372" t="s">
        <v>4583</v>
      </c>
      <c r="V597" s="722">
        <v>5.16</v>
      </c>
      <c r="W597" s="722">
        <v>1.04</v>
      </c>
      <c r="X597" s="722">
        <v>0.64</v>
      </c>
      <c r="Y597" s="722">
        <v>5.68</v>
      </c>
      <c r="Z597" s="382">
        <v>1.8999240606407009E-2</v>
      </c>
      <c r="AA597" s="372">
        <v>5917.9535261000001</v>
      </c>
      <c r="AB597" s="372">
        <v>5287.4097033999997</v>
      </c>
      <c r="AC597" s="372">
        <v>4866.0763618000001</v>
      </c>
      <c r="AD597" s="372">
        <v>5335.7925042999996</v>
      </c>
      <c r="AE597" s="372">
        <v>4769</v>
      </c>
      <c r="AF597" s="372">
        <v>5270</v>
      </c>
      <c r="AG597" s="372">
        <v>5753</v>
      </c>
      <c r="AH597" s="372">
        <v>0</v>
      </c>
    </row>
    <row r="598" spans="1:34">
      <c r="A598" s="372" t="s">
        <v>4584</v>
      </c>
      <c r="B598" s="373" t="s">
        <v>4585</v>
      </c>
      <c r="C598" s="372" t="s">
        <v>4586</v>
      </c>
      <c r="D598" s="374">
        <v>1101115671171</v>
      </c>
      <c r="E598" s="372" t="s">
        <v>4587</v>
      </c>
      <c r="F598" s="372" t="s">
        <v>1381</v>
      </c>
      <c r="G598" s="375" t="s">
        <v>1381</v>
      </c>
      <c r="H598" s="375" t="s">
        <v>868</v>
      </c>
      <c r="I598" s="375" t="s">
        <v>869</v>
      </c>
      <c r="J598" s="375">
        <v>99746.932809999998</v>
      </c>
      <c r="K598" s="375">
        <v>2155.7146699999998</v>
      </c>
      <c r="L598" s="375">
        <v>-27236.239839999998</v>
      </c>
      <c r="M598" s="375">
        <v>364226.20072000002</v>
      </c>
      <c r="N598" s="372">
        <v>1.075</v>
      </c>
      <c r="O598" s="703">
        <v>5.6296205619401292</v>
      </c>
      <c r="P598" s="375" t="s">
        <v>623</v>
      </c>
      <c r="Q598" s="375" t="s">
        <v>623</v>
      </c>
      <c r="R598" s="695">
        <v>20150618</v>
      </c>
      <c r="S598" s="375" t="s">
        <v>2529</v>
      </c>
      <c r="T598" s="696" t="s">
        <v>772</v>
      </c>
      <c r="U598" s="372" t="s">
        <v>4588</v>
      </c>
      <c r="V598" s="722">
        <v>34.450000000000003</v>
      </c>
      <c r="W598" s="722">
        <v>0.81</v>
      </c>
      <c r="X598" s="722">
        <v>3.21</v>
      </c>
      <c r="Y598" s="722" t="s">
        <v>774</v>
      </c>
      <c r="Z598" s="382" t="s">
        <v>934</v>
      </c>
      <c r="AA598" s="372">
        <v>196.3970406</v>
      </c>
      <c r="AB598" s="372">
        <v>202.87078199999999</v>
      </c>
      <c r="AC598" s="372">
        <v>294.670973</v>
      </c>
      <c r="AD598" s="372">
        <v>997.46932809999998</v>
      </c>
      <c r="AE598" s="372">
        <v>0</v>
      </c>
      <c r="AF598" s="372">
        <v>0</v>
      </c>
      <c r="AG598" s="372">
        <v>0</v>
      </c>
      <c r="AH598" s="372">
        <v>0</v>
      </c>
    </row>
    <row r="599" spans="1:34">
      <c r="A599" s="372" t="s">
        <v>4589</v>
      </c>
      <c r="B599" s="373" t="s">
        <v>4590</v>
      </c>
      <c r="C599" s="372" t="s">
        <v>4591</v>
      </c>
      <c r="D599" s="374">
        <v>2201110000819</v>
      </c>
      <c r="E599" s="372" t="s">
        <v>4592</v>
      </c>
      <c r="F599" s="372" t="s">
        <v>929</v>
      </c>
      <c r="G599" s="375" t="s">
        <v>930</v>
      </c>
      <c r="H599" s="375" t="s">
        <v>931</v>
      </c>
      <c r="I599" s="375" t="s">
        <v>755</v>
      </c>
      <c r="J599" s="375">
        <v>339867</v>
      </c>
      <c r="K599" s="375">
        <v>2623</v>
      </c>
      <c r="L599" s="375">
        <v>5499</v>
      </c>
      <c r="M599" s="375">
        <v>535851</v>
      </c>
      <c r="N599" s="372">
        <v>0.61499999999999999</v>
      </c>
      <c r="O599" s="703">
        <v>88.372992239673806</v>
      </c>
      <c r="P599" s="375" t="s">
        <v>623</v>
      </c>
      <c r="Q599" s="375" t="s">
        <v>623</v>
      </c>
      <c r="R599" s="695">
        <v>19721228</v>
      </c>
      <c r="S599" s="372" t="s">
        <v>4593</v>
      </c>
      <c r="T599" s="696">
        <v>0.20900000000000002</v>
      </c>
      <c r="U599" s="375" t="s">
        <v>4594</v>
      </c>
      <c r="V599" s="722">
        <v>0</v>
      </c>
      <c r="W599" s="722">
        <v>0.49</v>
      </c>
      <c r="X599" s="722">
        <v>0.7</v>
      </c>
      <c r="Y599" s="722">
        <v>51.08</v>
      </c>
      <c r="Z599" s="382" t="s">
        <v>934</v>
      </c>
      <c r="AA599" s="372">
        <v>1827.39</v>
      </c>
      <c r="AB599" s="372">
        <v>1840.53</v>
      </c>
      <c r="AC599" s="372">
        <v>2549.6999999999998</v>
      </c>
      <c r="AD599" s="372">
        <v>3398.67</v>
      </c>
      <c r="AE599" s="372">
        <v>0</v>
      </c>
      <c r="AF599" s="372">
        <v>0</v>
      </c>
      <c r="AG599" s="372">
        <v>0</v>
      </c>
      <c r="AH599" s="372">
        <v>0</v>
      </c>
    </row>
    <row r="600" spans="1:34">
      <c r="A600" s="372" t="s">
        <v>4595</v>
      </c>
      <c r="B600" s="373" t="s">
        <v>4596</v>
      </c>
      <c r="C600" s="372" t="s">
        <v>4597</v>
      </c>
      <c r="D600" s="374">
        <v>1801110058742</v>
      </c>
      <c r="E600" s="372" t="s">
        <v>4598</v>
      </c>
      <c r="F600" s="375" t="s">
        <v>1334</v>
      </c>
      <c r="G600" s="375" t="s">
        <v>1334</v>
      </c>
      <c r="H600" s="375" t="s">
        <v>868</v>
      </c>
      <c r="I600" s="375" t="s">
        <v>869</v>
      </c>
      <c r="J600" s="375">
        <v>154824.77551000001</v>
      </c>
      <c r="K600" s="375">
        <v>1042.2631799999999</v>
      </c>
      <c r="L600" s="375">
        <v>4894.82755</v>
      </c>
      <c r="M600" s="375">
        <v>181325.40122999999</v>
      </c>
      <c r="N600" s="372">
        <v>1.085</v>
      </c>
      <c r="O600" s="703">
        <v>12.350096955885594</v>
      </c>
      <c r="P600" s="375" t="s">
        <v>623</v>
      </c>
      <c r="Q600" s="372" t="s">
        <v>623</v>
      </c>
      <c r="R600" s="695">
        <v>20010803</v>
      </c>
      <c r="S600" s="372" t="s">
        <v>4599</v>
      </c>
      <c r="T600" s="696">
        <v>0.20900000000000002</v>
      </c>
      <c r="U600" s="372" t="s">
        <v>4600</v>
      </c>
      <c r="V600" s="722">
        <v>29.63</v>
      </c>
      <c r="W600" s="722">
        <v>1.49</v>
      </c>
      <c r="X600" s="722">
        <v>1.84</v>
      </c>
      <c r="Y600" s="722">
        <v>60.86</v>
      </c>
      <c r="Z600" s="382">
        <v>0.10865760565866389</v>
      </c>
      <c r="AA600" s="372">
        <v>1329.7638658000001</v>
      </c>
      <c r="AB600" s="372">
        <v>1343.9927925</v>
      </c>
      <c r="AC600" s="372">
        <v>1566.7702446999999</v>
      </c>
      <c r="AD600" s="372">
        <v>1548.2477550999999</v>
      </c>
      <c r="AE600" s="372">
        <v>1843</v>
      </c>
      <c r="AF600" s="372">
        <v>2034</v>
      </c>
      <c r="AG600" s="372">
        <v>2339</v>
      </c>
      <c r="AH600" s="372">
        <v>2514</v>
      </c>
    </row>
    <row r="601" spans="1:34">
      <c r="A601" s="372" t="s">
        <v>4601</v>
      </c>
      <c r="B601" s="373" t="s">
        <v>4602</v>
      </c>
      <c r="C601" s="372" t="s">
        <v>4603</v>
      </c>
      <c r="D601" s="374">
        <v>1101116390770</v>
      </c>
      <c r="E601" s="372" t="s">
        <v>4604</v>
      </c>
      <c r="F601" s="375" t="s">
        <v>3455</v>
      </c>
      <c r="G601" s="375" t="s">
        <v>3455</v>
      </c>
      <c r="H601" s="375" t="s">
        <v>868</v>
      </c>
      <c r="I601" s="375" t="s">
        <v>869</v>
      </c>
      <c r="J601" s="375">
        <v>1782979.2155899999</v>
      </c>
      <c r="K601" s="375">
        <v>72229.121230000004</v>
      </c>
      <c r="L601" s="375">
        <v>76054.030199999994</v>
      </c>
      <c r="M601" s="375">
        <v>540085.61785000004</v>
      </c>
      <c r="N601" s="372">
        <v>0.57199999999999995</v>
      </c>
      <c r="O601" s="703">
        <v>71.390582642837813</v>
      </c>
      <c r="P601" s="375" t="s">
        <v>623</v>
      </c>
      <c r="Q601" s="375" t="s">
        <v>623</v>
      </c>
      <c r="R601" s="695">
        <v>20170605</v>
      </c>
      <c r="S601" s="375" t="s">
        <v>4605</v>
      </c>
      <c r="T601" s="696">
        <v>0.23100000000000001</v>
      </c>
      <c r="U601" s="375" t="s">
        <v>4606</v>
      </c>
      <c r="V601" s="722">
        <v>2.84</v>
      </c>
      <c r="W601" s="722">
        <v>0.55000000000000004</v>
      </c>
      <c r="X601" s="722">
        <v>0.18</v>
      </c>
      <c r="Y601" s="722">
        <v>5.88</v>
      </c>
      <c r="Z601" s="382" t="s">
        <v>934</v>
      </c>
      <c r="AA601" s="372">
        <v>14630.9581855</v>
      </c>
      <c r="AB601" s="372">
        <v>15518.6954671</v>
      </c>
      <c r="AC601" s="372">
        <v>16856.4402992</v>
      </c>
      <c r="AD601" s="372">
        <v>17829.792155899999</v>
      </c>
      <c r="AE601" s="372">
        <v>18543</v>
      </c>
      <c r="AF601" s="372">
        <v>19099</v>
      </c>
      <c r="AG601" s="372">
        <v>0</v>
      </c>
      <c r="AH601" s="372">
        <v>0</v>
      </c>
    </row>
    <row r="602" spans="1:34">
      <c r="A602" s="372" t="s">
        <v>4607</v>
      </c>
      <c r="B602" s="373" t="s">
        <v>4608</v>
      </c>
      <c r="C602" s="372" t="s">
        <v>4609</v>
      </c>
      <c r="D602" s="374">
        <v>1311110251395</v>
      </c>
      <c r="E602" s="372" t="s">
        <v>4610</v>
      </c>
      <c r="F602" s="375" t="s">
        <v>1124</v>
      </c>
      <c r="G602" s="375" t="s">
        <v>1347</v>
      </c>
      <c r="H602" s="375" t="s">
        <v>1348</v>
      </c>
      <c r="I602" s="375" t="s">
        <v>869</v>
      </c>
      <c r="J602" s="375">
        <v>3184.3607499999998</v>
      </c>
      <c r="K602" s="375">
        <v>-11791.60579</v>
      </c>
      <c r="L602" s="375">
        <v>-16179.27102</v>
      </c>
      <c r="M602" s="375">
        <v>53355.392639999998</v>
      </c>
      <c r="N602" s="372">
        <v>0.46500000000000002</v>
      </c>
      <c r="O602" s="703">
        <v>6.7811612528767924</v>
      </c>
      <c r="P602" s="375" t="s">
        <v>623</v>
      </c>
      <c r="Q602" s="372" t="s">
        <v>623</v>
      </c>
      <c r="R602" s="695">
        <v>20181122</v>
      </c>
      <c r="S602" s="372" t="s">
        <v>4611</v>
      </c>
      <c r="T602" s="696" t="s">
        <v>772</v>
      </c>
      <c r="U602" s="372" t="s">
        <v>4612</v>
      </c>
      <c r="V602" s="722" t="s">
        <v>774</v>
      </c>
      <c r="W602" s="722">
        <v>5.32</v>
      </c>
      <c r="X602" s="722">
        <v>81.430000000000007</v>
      </c>
      <c r="Y602" s="722" t="s">
        <v>774</v>
      </c>
      <c r="Z602" s="382" t="s">
        <v>934</v>
      </c>
      <c r="AA602" s="372">
        <v>4.1385072999999997</v>
      </c>
      <c r="AB602" s="372">
        <v>3.4784562999999999</v>
      </c>
      <c r="AC602" s="372">
        <v>7.6077744000000003</v>
      </c>
      <c r="AD602" s="372">
        <v>31.843607500000001</v>
      </c>
      <c r="AE602" s="372">
        <v>112</v>
      </c>
      <c r="AF602" s="372">
        <v>192</v>
      </c>
      <c r="AG602" s="372">
        <v>0</v>
      </c>
      <c r="AH602" s="372">
        <v>0</v>
      </c>
    </row>
    <row r="603" spans="1:34">
      <c r="A603" s="372" t="s">
        <v>4613</v>
      </c>
      <c r="B603" s="373" t="s">
        <v>4614</v>
      </c>
      <c r="C603" s="372" t="s">
        <v>4615</v>
      </c>
      <c r="D603" s="374">
        <v>1501110267365</v>
      </c>
      <c r="E603" s="372" t="s">
        <v>4616</v>
      </c>
      <c r="F603" s="375" t="s">
        <v>2742</v>
      </c>
      <c r="G603" s="375" t="s">
        <v>2742</v>
      </c>
      <c r="H603" s="375" t="s">
        <v>1388</v>
      </c>
      <c r="I603" s="375" t="s">
        <v>869</v>
      </c>
      <c r="J603" s="375">
        <v>126089.38741</v>
      </c>
      <c r="K603" s="375">
        <v>-6915.7917100000004</v>
      </c>
      <c r="L603" s="375">
        <v>-31942.195500000002</v>
      </c>
      <c r="M603" s="375">
        <v>225741.47039999999</v>
      </c>
      <c r="N603" s="372">
        <v>1.409</v>
      </c>
      <c r="O603" s="703">
        <v>45.336679808094026</v>
      </c>
      <c r="P603" s="375" t="s">
        <v>623</v>
      </c>
      <c r="Q603" s="375" t="s">
        <v>623</v>
      </c>
      <c r="R603" s="695">
        <v>20201117</v>
      </c>
      <c r="S603" s="375" t="s">
        <v>4617</v>
      </c>
      <c r="T603" s="696" t="s">
        <v>772</v>
      </c>
      <c r="U603" s="375" t="s">
        <v>4618</v>
      </c>
      <c r="V603" s="722">
        <v>0</v>
      </c>
      <c r="W603" s="722">
        <v>1.47</v>
      </c>
      <c r="X603" s="722">
        <v>0</v>
      </c>
      <c r="Y603" s="722">
        <v>0</v>
      </c>
      <c r="Z603" s="382" t="s">
        <v>934</v>
      </c>
      <c r="AA603" s="372">
        <v>678.44759239999996</v>
      </c>
      <c r="AB603" s="372">
        <v>1142.0689417999999</v>
      </c>
      <c r="AC603" s="372">
        <v>1538.6120519000001</v>
      </c>
      <c r="AD603" s="372">
        <v>1260.8938740999999</v>
      </c>
      <c r="AE603" s="372">
        <v>0</v>
      </c>
      <c r="AF603" s="372">
        <v>0</v>
      </c>
      <c r="AG603" s="372">
        <v>0</v>
      </c>
      <c r="AH603" s="372">
        <v>0</v>
      </c>
    </row>
    <row r="604" spans="1:34">
      <c r="A604" s="372" t="s">
        <v>4619</v>
      </c>
      <c r="B604" s="373" t="s">
        <v>4620</v>
      </c>
      <c r="C604" s="372" t="s">
        <v>4621</v>
      </c>
      <c r="D604" s="374">
        <v>1101111948277</v>
      </c>
      <c r="E604" s="372" t="s">
        <v>4622</v>
      </c>
      <c r="F604" s="372" t="s">
        <v>786</v>
      </c>
      <c r="G604" s="375" t="s">
        <v>786</v>
      </c>
      <c r="H604" s="375" t="s">
        <v>868</v>
      </c>
      <c r="I604" s="375" t="s">
        <v>869</v>
      </c>
      <c r="J604" s="375">
        <v>124639.03455</v>
      </c>
      <c r="K604" s="375">
        <v>-24095.033090000001</v>
      </c>
      <c r="L604" s="375">
        <v>-33598.113989999998</v>
      </c>
      <c r="M604" s="375">
        <v>137671.97568</v>
      </c>
      <c r="N604" s="372">
        <v>0.63</v>
      </c>
      <c r="O604" s="703">
        <v>42.193693874115787</v>
      </c>
      <c r="P604" s="375" t="s">
        <v>623</v>
      </c>
      <c r="Q604" s="375" t="s">
        <v>623</v>
      </c>
      <c r="R604" s="695">
        <v>20090407</v>
      </c>
      <c r="S604" s="375" t="s">
        <v>4623</v>
      </c>
      <c r="T604" s="696" t="s">
        <v>772</v>
      </c>
      <c r="U604" s="375" t="s">
        <v>4624</v>
      </c>
      <c r="V604" s="722" t="s">
        <v>774</v>
      </c>
      <c r="W604" s="722">
        <v>2.13</v>
      </c>
      <c r="X604" s="722">
        <v>2.35</v>
      </c>
      <c r="Y604" s="722" t="s">
        <v>774</v>
      </c>
      <c r="Z604" s="382" t="s">
        <v>934</v>
      </c>
      <c r="AA604" s="372">
        <v>1294.1291759000001</v>
      </c>
      <c r="AB604" s="372">
        <v>1654.8531035999999</v>
      </c>
      <c r="AC604" s="372">
        <v>1615.8378963</v>
      </c>
      <c r="AD604" s="372">
        <v>1246.3903455</v>
      </c>
      <c r="AE604" s="372">
        <v>0</v>
      </c>
      <c r="AF604" s="372">
        <v>0</v>
      </c>
      <c r="AG604" s="372">
        <v>0</v>
      </c>
      <c r="AH604" s="372">
        <v>0</v>
      </c>
    </row>
    <row r="605" spans="1:34">
      <c r="A605" s="372" t="s">
        <v>4625</v>
      </c>
      <c r="B605" s="373" t="s">
        <v>4626</v>
      </c>
      <c r="C605" s="372" t="s">
        <v>4627</v>
      </c>
      <c r="D605" s="374">
        <v>1101112743866</v>
      </c>
      <c r="E605" s="372" t="s">
        <v>4628</v>
      </c>
      <c r="F605" s="375" t="s">
        <v>1714</v>
      </c>
      <c r="G605" s="375" t="s">
        <v>1714</v>
      </c>
      <c r="H605" s="375" t="s">
        <v>1348</v>
      </c>
      <c r="I605" s="375" t="s">
        <v>869</v>
      </c>
      <c r="J605" s="375">
        <v>350477.74511999998</v>
      </c>
      <c r="K605" s="375">
        <v>55096.283179999999</v>
      </c>
      <c r="L605" s="375">
        <v>59711.318520000001</v>
      </c>
      <c r="M605" s="375">
        <v>256316.78211999999</v>
      </c>
      <c r="N605" s="372">
        <v>0.97399999999999998</v>
      </c>
      <c r="O605" s="703">
        <v>3.939382948339889</v>
      </c>
      <c r="P605" s="375" t="s">
        <v>623</v>
      </c>
      <c r="Q605" s="375" t="s">
        <v>623</v>
      </c>
      <c r="R605" s="695">
        <v>20160808</v>
      </c>
      <c r="S605" s="375" t="s">
        <v>4629</v>
      </c>
      <c r="T605" s="696">
        <v>0.23100000000000001</v>
      </c>
      <c r="U605" s="375" t="s">
        <v>4630</v>
      </c>
      <c r="V605" s="722">
        <v>5.9</v>
      </c>
      <c r="W605" s="722">
        <v>1.46</v>
      </c>
      <c r="X605" s="722">
        <v>0.95</v>
      </c>
      <c r="Y605" s="722">
        <v>8.2899999999999991</v>
      </c>
      <c r="Z605" s="382">
        <v>7.2434422488641959E-2</v>
      </c>
      <c r="AA605" s="372">
        <v>1770.3075558</v>
      </c>
      <c r="AB605" s="372">
        <v>2296.6247595999998</v>
      </c>
      <c r="AC605" s="372">
        <v>3527.5616097000002</v>
      </c>
      <c r="AD605" s="372">
        <v>3504.7774512000001</v>
      </c>
      <c r="AE605" s="372">
        <v>3765</v>
      </c>
      <c r="AF605" s="372">
        <v>4172.6000000000004</v>
      </c>
      <c r="AG605" s="372">
        <v>4636</v>
      </c>
      <c r="AH605" s="372">
        <v>0</v>
      </c>
    </row>
    <row r="606" spans="1:34">
      <c r="A606" s="372" t="s">
        <v>4631</v>
      </c>
      <c r="B606" s="373" t="s">
        <v>4632</v>
      </c>
      <c r="C606" s="372" t="s">
        <v>4633</v>
      </c>
      <c r="D606" s="374">
        <v>1350110115846</v>
      </c>
      <c r="E606" s="372" t="s">
        <v>4634</v>
      </c>
      <c r="F606" s="372" t="s">
        <v>1259</v>
      </c>
      <c r="G606" s="375" t="s">
        <v>1259</v>
      </c>
      <c r="H606" s="375" t="s">
        <v>868</v>
      </c>
      <c r="I606" s="375" t="s">
        <v>869</v>
      </c>
      <c r="J606" s="375">
        <v>93906.675099999993</v>
      </c>
      <c r="K606" s="375">
        <v>3036.9407799999999</v>
      </c>
      <c r="L606" s="375">
        <v>6731.0328900000004</v>
      </c>
      <c r="M606" s="375">
        <v>190232.68805999999</v>
      </c>
      <c r="N606" s="372">
        <v>0.99399999999999999</v>
      </c>
      <c r="O606" s="703">
        <v>8.8913150866201391</v>
      </c>
      <c r="P606" s="375" t="s">
        <v>623</v>
      </c>
      <c r="Q606" s="375" t="s">
        <v>623</v>
      </c>
      <c r="R606" s="695">
        <v>20010829</v>
      </c>
      <c r="S606" s="375" t="s">
        <v>1355</v>
      </c>
      <c r="T606" s="696">
        <v>0.20900000000000002</v>
      </c>
      <c r="U606" s="375" t="s">
        <v>4635</v>
      </c>
      <c r="V606" s="722">
        <v>59.83</v>
      </c>
      <c r="W606" s="722">
        <v>1.76</v>
      </c>
      <c r="X606" s="722">
        <v>3.56</v>
      </c>
      <c r="Y606" s="722">
        <v>51.85</v>
      </c>
      <c r="Z606" s="382" t="s">
        <v>934</v>
      </c>
      <c r="AA606" s="372">
        <v>644.59891270000003</v>
      </c>
      <c r="AB606" s="372">
        <v>694.75495569999998</v>
      </c>
      <c r="AC606" s="372">
        <v>821.97409660000005</v>
      </c>
      <c r="AD606" s="372">
        <v>939.06675099999995</v>
      </c>
      <c r="AE606" s="372">
        <v>0</v>
      </c>
      <c r="AF606" s="372">
        <v>0</v>
      </c>
      <c r="AG606" s="372">
        <v>0</v>
      </c>
      <c r="AH606" s="372">
        <v>0</v>
      </c>
    </row>
    <row r="607" spans="1:34">
      <c r="A607" s="372" t="s">
        <v>4636</v>
      </c>
      <c r="B607" s="373" t="s">
        <v>4637</v>
      </c>
      <c r="C607" s="372" t="s">
        <v>4638</v>
      </c>
      <c r="D607" s="374">
        <v>1801110029321</v>
      </c>
      <c r="E607" s="372" t="s">
        <v>4639</v>
      </c>
      <c r="F607" s="375" t="s">
        <v>3248</v>
      </c>
      <c r="G607" s="375" t="s">
        <v>3248</v>
      </c>
      <c r="H607" s="375" t="s">
        <v>868</v>
      </c>
      <c r="I607" s="375" t="s">
        <v>869</v>
      </c>
      <c r="J607" s="375">
        <v>188839.13790999999</v>
      </c>
      <c r="K607" s="375">
        <v>51891.524969999999</v>
      </c>
      <c r="L607" s="375">
        <v>60730.118009999998</v>
      </c>
      <c r="M607" s="375">
        <v>406859.45876000001</v>
      </c>
      <c r="N607" s="372">
        <v>0.70099999999999996</v>
      </c>
      <c r="O607" s="703">
        <v>0</v>
      </c>
      <c r="P607" s="375" t="s">
        <v>623</v>
      </c>
      <c r="Q607" s="375" t="s">
        <v>623</v>
      </c>
      <c r="R607" s="695">
        <v>19891208</v>
      </c>
      <c r="S607" s="375" t="s">
        <v>4640</v>
      </c>
      <c r="T607" s="696">
        <v>0.23100000000000001</v>
      </c>
      <c r="U607" s="375" t="s">
        <v>4641</v>
      </c>
      <c r="V607" s="722">
        <v>6.11</v>
      </c>
      <c r="W607" s="722">
        <v>0.83</v>
      </c>
      <c r="X607" s="722">
        <v>1.83</v>
      </c>
      <c r="Y607" s="722">
        <v>7.29</v>
      </c>
      <c r="Z607" s="382" t="s">
        <v>934</v>
      </c>
      <c r="AA607" s="372">
        <v>1381.9221456</v>
      </c>
      <c r="AB607" s="372">
        <v>1467.3857192</v>
      </c>
      <c r="AC607" s="372">
        <v>1828.5109141</v>
      </c>
      <c r="AD607" s="372">
        <v>1888.3913791</v>
      </c>
      <c r="AE607" s="372">
        <v>1926</v>
      </c>
      <c r="AF607" s="372">
        <v>2042</v>
      </c>
      <c r="AG607" s="372">
        <v>0</v>
      </c>
      <c r="AH607" s="372">
        <v>0</v>
      </c>
    </row>
    <row r="608" spans="1:34">
      <c r="A608" s="372" t="s">
        <v>4642</v>
      </c>
      <c r="B608" s="373" t="s">
        <v>4643</v>
      </c>
      <c r="C608" s="372" t="s">
        <v>4644</v>
      </c>
      <c r="D608" s="374">
        <v>1313110038864</v>
      </c>
      <c r="E608" s="372" t="s">
        <v>4645</v>
      </c>
      <c r="F608" s="375" t="s">
        <v>1195</v>
      </c>
      <c r="G608" s="375" t="s">
        <v>1196</v>
      </c>
      <c r="H608" s="375" t="s">
        <v>1388</v>
      </c>
      <c r="I608" s="375" t="s">
        <v>869</v>
      </c>
      <c r="J608" s="375">
        <v>279215.39545000001</v>
      </c>
      <c r="K608" s="375">
        <v>42538.138189999998</v>
      </c>
      <c r="L608" s="375">
        <v>43025.403830000003</v>
      </c>
      <c r="M608" s="375">
        <v>233100.79871</v>
      </c>
      <c r="N608" s="372">
        <v>1.339</v>
      </c>
      <c r="O608" s="703">
        <v>2.1330640690603397</v>
      </c>
      <c r="P608" s="375" t="s">
        <v>623</v>
      </c>
      <c r="Q608" s="375" t="s">
        <v>623</v>
      </c>
      <c r="R608" s="695">
        <v>20060201</v>
      </c>
      <c r="S608" s="375" t="s">
        <v>4646</v>
      </c>
      <c r="T608" s="696">
        <v>0.23100000000000001</v>
      </c>
      <c r="U608" s="375" t="s">
        <v>4647</v>
      </c>
      <c r="V608" s="722">
        <v>5.72</v>
      </c>
      <c r="W608" s="722">
        <v>1.1200000000000001</v>
      </c>
      <c r="X608" s="722">
        <v>0.92</v>
      </c>
      <c r="Y608" s="722">
        <v>7.19</v>
      </c>
      <c r="Z608" s="382" t="s">
        <v>934</v>
      </c>
      <c r="AA608" s="372">
        <v>1668.8049801</v>
      </c>
      <c r="AB608" s="372">
        <v>3044.8749591000001</v>
      </c>
      <c r="AC608" s="372">
        <v>3128.4780639000001</v>
      </c>
      <c r="AD608" s="372">
        <v>2792.1539545000001</v>
      </c>
      <c r="AE608" s="372">
        <v>3100</v>
      </c>
      <c r="AF608" s="372">
        <v>3850</v>
      </c>
      <c r="AG608" s="372">
        <v>0</v>
      </c>
      <c r="AH608" s="372">
        <v>0</v>
      </c>
    </row>
    <row r="609" spans="1:34">
      <c r="A609" s="372" t="s">
        <v>4648</v>
      </c>
      <c r="B609" s="373" t="s">
        <v>4649</v>
      </c>
      <c r="C609" s="372" t="s">
        <v>4650</v>
      </c>
      <c r="D609" s="374">
        <v>1101112727141</v>
      </c>
      <c r="E609" s="372" t="s">
        <v>4651</v>
      </c>
      <c r="F609" s="375" t="s">
        <v>1334</v>
      </c>
      <c r="G609" s="375" t="s">
        <v>1334</v>
      </c>
      <c r="H609" s="375" t="s">
        <v>868</v>
      </c>
      <c r="I609" s="375" t="s">
        <v>869</v>
      </c>
      <c r="J609" s="375">
        <v>152273.80856</v>
      </c>
      <c r="K609" s="375">
        <v>37310.070520000001</v>
      </c>
      <c r="L609" s="375">
        <v>32410.242269999999</v>
      </c>
      <c r="M609" s="375">
        <v>198063.05622999999</v>
      </c>
      <c r="N609" s="372">
        <v>0.58299999999999996</v>
      </c>
      <c r="O609" s="703">
        <v>0.77014847871514747</v>
      </c>
      <c r="P609" s="375" t="s">
        <v>623</v>
      </c>
      <c r="Q609" s="372" t="s">
        <v>623</v>
      </c>
      <c r="R609" s="695">
        <v>20141226</v>
      </c>
      <c r="S609" s="372" t="s">
        <v>4652</v>
      </c>
      <c r="T609" s="696">
        <v>0.23100000000000001</v>
      </c>
      <c r="U609" s="372" t="s">
        <v>4653</v>
      </c>
      <c r="V609" s="722">
        <v>0</v>
      </c>
      <c r="W609" s="722">
        <v>1.68</v>
      </c>
      <c r="X609" s="722">
        <v>0</v>
      </c>
      <c r="Y609" s="722">
        <v>0</v>
      </c>
      <c r="Z609" s="382" t="s">
        <v>934</v>
      </c>
      <c r="AA609" s="372">
        <v>984.80868090000001</v>
      </c>
      <c r="AB609" s="372">
        <v>1109.9235403</v>
      </c>
      <c r="AC609" s="372">
        <v>1231.7278985999999</v>
      </c>
      <c r="AD609" s="372">
        <v>1522.7380856</v>
      </c>
      <c r="AE609" s="372">
        <v>0</v>
      </c>
      <c r="AF609" s="372">
        <v>0</v>
      </c>
      <c r="AG609" s="372">
        <v>0</v>
      </c>
      <c r="AH609" s="372">
        <v>0</v>
      </c>
    </row>
    <row r="610" spans="1:34">
      <c r="A610" s="372" t="s">
        <v>4654</v>
      </c>
      <c r="B610" s="373" t="s">
        <v>4655</v>
      </c>
      <c r="C610" s="372" t="s">
        <v>4656</v>
      </c>
      <c r="D610" s="374">
        <v>1760110007234</v>
      </c>
      <c r="E610" s="372" t="s">
        <v>4657</v>
      </c>
      <c r="F610" s="375" t="s">
        <v>1286</v>
      </c>
      <c r="G610" s="375" t="s">
        <v>1465</v>
      </c>
      <c r="H610" s="375" t="s">
        <v>1388</v>
      </c>
      <c r="I610" s="375" t="s">
        <v>869</v>
      </c>
      <c r="J610" s="375">
        <v>363572.09899999999</v>
      </c>
      <c r="K610" s="375">
        <v>33607.563320000001</v>
      </c>
      <c r="L610" s="375">
        <v>44336.778850000002</v>
      </c>
      <c r="M610" s="375">
        <v>247041.6716</v>
      </c>
      <c r="N610" s="372">
        <v>1.0900000000000001</v>
      </c>
      <c r="O610" s="703">
        <v>13.346850543905125</v>
      </c>
      <c r="P610" s="375" t="s">
        <v>623</v>
      </c>
      <c r="Q610" s="375" t="s">
        <v>623</v>
      </c>
      <c r="R610" s="695">
        <v>20020517</v>
      </c>
      <c r="S610" s="375" t="s">
        <v>4658</v>
      </c>
      <c r="T610" s="696">
        <v>0.23100000000000001</v>
      </c>
      <c r="U610" s="372" t="s">
        <v>4659</v>
      </c>
      <c r="V610" s="722">
        <v>6.83</v>
      </c>
      <c r="W610" s="722">
        <v>1.3</v>
      </c>
      <c r="X610" s="722">
        <v>0.96</v>
      </c>
      <c r="Y610" s="722">
        <v>11.24</v>
      </c>
      <c r="Z610" s="382">
        <v>0.17518899788878572</v>
      </c>
      <c r="AA610" s="372">
        <v>1850.0155999999999</v>
      </c>
      <c r="AB610" s="372">
        <v>3398.4278810000001</v>
      </c>
      <c r="AC610" s="372">
        <v>3360.9844493999999</v>
      </c>
      <c r="AD610" s="372">
        <v>3635.7209899999998</v>
      </c>
      <c r="AE610" s="372">
        <v>4308.63</v>
      </c>
      <c r="AF610" s="372">
        <v>5754.13</v>
      </c>
      <c r="AG610" s="372">
        <v>6934.6</v>
      </c>
      <c r="AH610" s="372">
        <v>0</v>
      </c>
    </row>
    <row r="611" spans="1:34">
      <c r="A611" s="372" t="s">
        <v>4660</v>
      </c>
      <c r="B611" s="373" t="s">
        <v>4661</v>
      </c>
      <c r="C611" s="372" t="s">
        <v>4662</v>
      </c>
      <c r="D611" s="374">
        <v>1801110003268</v>
      </c>
      <c r="E611" s="372" t="s">
        <v>4663</v>
      </c>
      <c r="F611" s="375" t="s">
        <v>816</v>
      </c>
      <c r="G611" s="375" t="s">
        <v>816</v>
      </c>
      <c r="H611" s="375" t="s">
        <v>817</v>
      </c>
      <c r="I611" s="375" t="s">
        <v>755</v>
      </c>
      <c r="J611" s="375">
        <v>1447832.0264300001</v>
      </c>
      <c r="K611" s="375">
        <v>109934.59955</v>
      </c>
      <c r="L611" s="375">
        <v>95338.074900000007</v>
      </c>
      <c r="M611" s="375">
        <v>843966.37988000002</v>
      </c>
      <c r="N611" s="372">
        <v>1.0429999999999999</v>
      </c>
      <c r="O611" s="703">
        <v>13.545143977041487</v>
      </c>
      <c r="P611" s="375" t="s">
        <v>623</v>
      </c>
      <c r="Q611" s="375" t="s">
        <v>623</v>
      </c>
      <c r="R611" s="695">
        <v>20051031</v>
      </c>
      <c r="S611" s="375" t="s">
        <v>4664</v>
      </c>
      <c r="T611" s="696">
        <v>0.23100000000000001</v>
      </c>
      <c r="U611" s="375" t="s">
        <v>4665</v>
      </c>
      <c r="V611" s="722">
        <v>2.75</v>
      </c>
      <c r="W611" s="722">
        <v>0.36</v>
      </c>
      <c r="X611" s="722">
        <v>0.22</v>
      </c>
      <c r="Y611" s="722">
        <v>4.38</v>
      </c>
      <c r="Z611" s="382">
        <v>5.5088191449093049E-3</v>
      </c>
      <c r="AA611" s="372">
        <v>10961.348152</v>
      </c>
      <c r="AB611" s="372">
        <v>20303.052935700001</v>
      </c>
      <c r="AC611" s="372">
        <v>21416.163017399998</v>
      </c>
      <c r="AD611" s="372">
        <v>14478.3202643</v>
      </c>
      <c r="AE611" s="372">
        <v>13595.5</v>
      </c>
      <c r="AF611" s="372">
        <v>14526</v>
      </c>
      <c r="AG611" s="372">
        <v>14800</v>
      </c>
      <c r="AH611" s="372">
        <v>0</v>
      </c>
    </row>
    <row r="612" spans="1:34">
      <c r="A612" s="372" t="s">
        <v>4666</v>
      </c>
      <c r="B612" s="373" t="s">
        <v>4667</v>
      </c>
      <c r="C612" s="372" t="s">
        <v>4668</v>
      </c>
      <c r="D612" s="374">
        <v>1244110002907</v>
      </c>
      <c r="E612" s="372" t="s">
        <v>4669</v>
      </c>
      <c r="F612" s="375" t="s">
        <v>900</v>
      </c>
      <c r="G612" s="375" t="s">
        <v>901</v>
      </c>
      <c r="H612" s="375" t="s">
        <v>862</v>
      </c>
      <c r="I612" s="375" t="s">
        <v>755</v>
      </c>
      <c r="J612" s="375">
        <v>1895715.05941</v>
      </c>
      <c r="K612" s="375">
        <v>178996.89989999999</v>
      </c>
      <c r="L612" s="375">
        <v>199351.24635</v>
      </c>
      <c r="M612" s="375">
        <v>1952822.45362</v>
      </c>
      <c r="N612" s="372">
        <v>0.68600000000000005</v>
      </c>
      <c r="O612" s="703">
        <v>1.6716908092869984</v>
      </c>
      <c r="P612" s="375" t="s">
        <v>623</v>
      </c>
      <c r="Q612" s="372" t="s">
        <v>623</v>
      </c>
      <c r="R612" s="695">
        <v>20000303</v>
      </c>
      <c r="S612" s="372" t="s">
        <v>4670</v>
      </c>
      <c r="T612" s="696">
        <v>0.23100000000000001</v>
      </c>
      <c r="U612" s="375" t="s">
        <v>4671</v>
      </c>
      <c r="V612" s="722">
        <v>5.25</v>
      </c>
      <c r="W612" s="722">
        <v>0.26</v>
      </c>
      <c r="X612" s="722">
        <v>0.15</v>
      </c>
      <c r="Y612" s="722">
        <v>3.23</v>
      </c>
      <c r="Z612" s="382">
        <v>4.0618639411879931E-2</v>
      </c>
      <c r="AA612" s="372">
        <v>14357.546991900001</v>
      </c>
      <c r="AB612" s="372">
        <v>14040.720985</v>
      </c>
      <c r="AC612" s="372">
        <v>16295.209247700001</v>
      </c>
      <c r="AD612" s="372">
        <v>18957.1505941</v>
      </c>
      <c r="AE612" s="372">
        <v>20430</v>
      </c>
      <c r="AF612" s="372">
        <v>21430</v>
      </c>
      <c r="AG612" s="372">
        <v>22230</v>
      </c>
      <c r="AH612" s="372">
        <v>0</v>
      </c>
    </row>
    <row r="613" spans="1:34">
      <c r="A613" s="372" t="s">
        <v>4672</v>
      </c>
      <c r="B613" s="373" t="s">
        <v>4673</v>
      </c>
      <c r="C613" s="372" t="s">
        <v>4674</v>
      </c>
      <c r="D613" s="374">
        <v>1101111786057</v>
      </c>
      <c r="E613" s="372" t="s">
        <v>4675</v>
      </c>
      <c r="F613" s="375" t="s">
        <v>2147</v>
      </c>
      <c r="G613" s="375" t="s">
        <v>2147</v>
      </c>
      <c r="H613" s="375" t="s">
        <v>868</v>
      </c>
      <c r="I613" s="375" t="s">
        <v>869</v>
      </c>
      <c r="J613" s="375">
        <v>4088.6937499999999</v>
      </c>
      <c r="K613" s="375">
        <v>-2050.7978800000001</v>
      </c>
      <c r="L613" s="375">
        <v>-1220.94622</v>
      </c>
      <c r="M613" s="375">
        <v>43382.132579999998</v>
      </c>
      <c r="N613" s="372">
        <v>0.66200000000000003</v>
      </c>
      <c r="O613" s="703">
        <v>4.5145426569249214E-3</v>
      </c>
      <c r="P613" s="375" t="s">
        <v>623</v>
      </c>
      <c r="Q613" s="375" t="s">
        <v>623</v>
      </c>
      <c r="R613" s="695">
        <v>20210317</v>
      </c>
      <c r="S613" s="375" t="s">
        <v>4676</v>
      </c>
      <c r="T613" s="696" t="s">
        <v>772</v>
      </c>
      <c r="U613" s="372" t="s">
        <v>4677</v>
      </c>
      <c r="V613" s="722">
        <v>0</v>
      </c>
      <c r="W613" s="722">
        <v>7.46</v>
      </c>
      <c r="X613" s="722">
        <v>0</v>
      </c>
      <c r="Y613" s="722">
        <v>0</v>
      </c>
      <c r="Z613" s="382" t="s">
        <v>934</v>
      </c>
      <c r="AA613" s="372">
        <v>36.709954500000002</v>
      </c>
      <c r="AB613" s="372">
        <v>37.632505799999997</v>
      </c>
      <c r="AC613" s="372">
        <v>122.1042593</v>
      </c>
      <c r="AD613" s="372">
        <v>40.886937500000002</v>
      </c>
      <c r="AE613" s="372">
        <v>0</v>
      </c>
      <c r="AF613" s="372">
        <v>0</v>
      </c>
      <c r="AG613" s="372">
        <v>0</v>
      </c>
      <c r="AH613" s="372">
        <v>0</v>
      </c>
    </row>
    <row r="614" spans="1:34">
      <c r="A614" s="372" t="s">
        <v>4678</v>
      </c>
      <c r="B614" s="373" t="s">
        <v>4679</v>
      </c>
      <c r="C614" s="372" t="s">
        <v>4680</v>
      </c>
      <c r="D614" s="374">
        <v>1101110134372</v>
      </c>
      <c r="E614" s="372" t="s">
        <v>4681</v>
      </c>
      <c r="F614" s="372" t="s">
        <v>4682</v>
      </c>
      <c r="G614" s="375" t="s">
        <v>4682</v>
      </c>
      <c r="H614" s="375" t="s">
        <v>868</v>
      </c>
      <c r="I614" s="375" t="s">
        <v>869</v>
      </c>
      <c r="J614" s="375">
        <v>42647.03486</v>
      </c>
      <c r="K614" s="375">
        <v>-6273.0876699999999</v>
      </c>
      <c r="L614" s="375">
        <v>-5739.4532499999996</v>
      </c>
      <c r="M614" s="375">
        <v>60015.137869999999</v>
      </c>
      <c r="N614" s="372">
        <v>0.66200000000000003</v>
      </c>
      <c r="O614" s="703">
        <v>15.513381524894571</v>
      </c>
      <c r="P614" s="375" t="s">
        <v>623</v>
      </c>
      <c r="Q614" s="372" t="s">
        <v>623</v>
      </c>
      <c r="R614" s="695">
        <v>20011026</v>
      </c>
      <c r="S614" s="372" t="s">
        <v>4683</v>
      </c>
      <c r="T614" s="696" t="s">
        <v>772</v>
      </c>
      <c r="U614" s="372" t="s">
        <v>4684</v>
      </c>
      <c r="V614" s="722" t="s">
        <v>774</v>
      </c>
      <c r="W614" s="722">
        <v>5.07</v>
      </c>
      <c r="X614" s="722">
        <v>6.94</v>
      </c>
      <c r="Y614" s="722" t="s">
        <v>774</v>
      </c>
      <c r="Z614" s="382" t="s">
        <v>934</v>
      </c>
      <c r="AA614" s="372">
        <v>371.60448880000001</v>
      </c>
      <c r="AB614" s="372">
        <v>358.47403530000003</v>
      </c>
      <c r="AC614" s="372">
        <v>398.0051785</v>
      </c>
      <c r="AD614" s="372">
        <v>426.47034860000002</v>
      </c>
      <c r="AE614" s="372">
        <v>0</v>
      </c>
      <c r="AF614" s="372">
        <v>0</v>
      </c>
      <c r="AG614" s="372">
        <v>0</v>
      </c>
      <c r="AH614" s="372">
        <v>0</v>
      </c>
    </row>
    <row r="615" spans="1:34">
      <c r="A615" s="372" t="s">
        <v>4685</v>
      </c>
      <c r="B615" s="373" t="s">
        <v>4686</v>
      </c>
      <c r="C615" s="372" t="s">
        <v>4687</v>
      </c>
      <c r="D615" s="374">
        <v>1101110301632</v>
      </c>
      <c r="E615" s="372" t="s">
        <v>4688</v>
      </c>
      <c r="F615" s="372" t="s">
        <v>1381</v>
      </c>
      <c r="G615" s="375" t="s">
        <v>1381</v>
      </c>
      <c r="H615" s="375" t="s">
        <v>1693</v>
      </c>
      <c r="I615" s="375" t="s">
        <v>869</v>
      </c>
      <c r="J615" s="375">
        <v>30828.903119999999</v>
      </c>
      <c r="K615" s="375">
        <v>-9292.1790000000001</v>
      </c>
      <c r="L615" s="375">
        <v>-10591.014709999999</v>
      </c>
      <c r="M615" s="375">
        <v>73541.967019999996</v>
      </c>
      <c r="N615" s="372">
        <v>0.94</v>
      </c>
      <c r="O615" s="703">
        <v>1.9888164466955924</v>
      </c>
      <c r="P615" s="375" t="s">
        <v>623</v>
      </c>
      <c r="Q615" s="372" t="s">
        <v>623</v>
      </c>
      <c r="R615" s="695">
        <v>20200723</v>
      </c>
      <c r="S615" s="372" t="s">
        <v>4689</v>
      </c>
      <c r="T615" s="696" t="s">
        <v>772</v>
      </c>
      <c r="U615" s="372" t="s">
        <v>4690</v>
      </c>
      <c r="V615" s="722" t="s">
        <v>774</v>
      </c>
      <c r="W615" s="722">
        <v>4.41</v>
      </c>
      <c r="X615" s="722">
        <v>9.73</v>
      </c>
      <c r="Y615" s="722" t="s">
        <v>774</v>
      </c>
      <c r="Z615" s="382" t="s">
        <v>934</v>
      </c>
      <c r="AA615" s="372">
        <v>216.57771030000001</v>
      </c>
      <c r="AB615" s="372">
        <v>267.62790109999997</v>
      </c>
      <c r="AC615" s="372">
        <v>303.13561770000001</v>
      </c>
      <c r="AD615" s="372">
        <v>308.28903120000001</v>
      </c>
      <c r="AE615" s="372">
        <v>571</v>
      </c>
      <c r="AF615" s="372">
        <v>810</v>
      </c>
      <c r="AG615" s="372">
        <v>0</v>
      </c>
      <c r="AH615" s="372">
        <v>0</v>
      </c>
    </row>
    <row r="616" spans="1:34">
      <c r="A616" s="372" t="s">
        <v>4691</v>
      </c>
      <c r="B616" s="373" t="s">
        <v>4692</v>
      </c>
      <c r="C616" s="372" t="s">
        <v>4693</v>
      </c>
      <c r="D616" s="374">
        <v>1942110000183</v>
      </c>
      <c r="E616" s="372" t="s">
        <v>4693</v>
      </c>
      <c r="F616" s="375" t="s">
        <v>1761</v>
      </c>
      <c r="G616" s="375" t="s">
        <v>1761</v>
      </c>
      <c r="H616" s="375" t="s">
        <v>853</v>
      </c>
      <c r="I616" s="375" t="s">
        <v>755</v>
      </c>
      <c r="J616" s="375">
        <v>903772</v>
      </c>
      <c r="K616" s="375">
        <v>-15004</v>
      </c>
      <c r="L616" s="375">
        <v>-29338</v>
      </c>
      <c r="M616" s="375">
        <v>148642</v>
      </c>
      <c r="N616" s="372">
        <v>0.98699999999999999</v>
      </c>
      <c r="O616" s="703">
        <v>126.71157290570967</v>
      </c>
      <c r="P616" s="375" t="s">
        <v>623</v>
      </c>
      <c r="Q616" s="375" t="s">
        <v>623</v>
      </c>
      <c r="R616" s="695">
        <v>19900912</v>
      </c>
      <c r="S616" s="375" t="s">
        <v>4694</v>
      </c>
      <c r="T616" s="696" t="s">
        <v>772</v>
      </c>
      <c r="U616" s="375" t="s">
        <v>4695</v>
      </c>
      <c r="V616" s="722" t="s">
        <v>774</v>
      </c>
      <c r="W616" s="722">
        <v>4.4800000000000004</v>
      </c>
      <c r="X616" s="722">
        <v>0.42</v>
      </c>
      <c r="Y616" s="722" t="s">
        <v>774</v>
      </c>
      <c r="Z616" s="382" t="s">
        <v>934</v>
      </c>
      <c r="AA616" s="372">
        <v>9755.67</v>
      </c>
      <c r="AB616" s="372">
        <v>9255.09</v>
      </c>
      <c r="AC616" s="372">
        <v>9725.7099999999991</v>
      </c>
      <c r="AD616" s="372">
        <v>9037.7199999999993</v>
      </c>
      <c r="AE616" s="372">
        <v>0</v>
      </c>
      <c r="AF616" s="372">
        <v>0</v>
      </c>
      <c r="AG616" s="372">
        <v>0</v>
      </c>
      <c r="AH616" s="372">
        <v>0</v>
      </c>
    </row>
    <row r="617" spans="1:34">
      <c r="A617" s="372" t="s">
        <v>4696</v>
      </c>
      <c r="B617" s="373" t="s">
        <v>4697</v>
      </c>
      <c r="C617" s="372" t="s">
        <v>4698</v>
      </c>
      <c r="D617" s="374">
        <v>1101112462002</v>
      </c>
      <c r="E617" s="372" t="s">
        <v>4699</v>
      </c>
      <c r="F617" s="375" t="s">
        <v>1381</v>
      </c>
      <c r="G617" s="375" t="s">
        <v>1381</v>
      </c>
      <c r="H617" s="375" t="s">
        <v>1693</v>
      </c>
      <c r="I617" s="375" t="s">
        <v>869</v>
      </c>
      <c r="J617" s="375">
        <v>0</v>
      </c>
      <c r="K617" s="375">
        <v>0</v>
      </c>
      <c r="L617" s="375">
        <v>0</v>
      </c>
      <c r="M617" s="375">
        <v>95980.592250000002</v>
      </c>
      <c r="N617" s="372" t="s">
        <v>1033</v>
      </c>
      <c r="O617" s="703">
        <v>11.083697418486107</v>
      </c>
      <c r="P617" s="375" t="s">
        <v>623</v>
      </c>
      <c r="Q617" s="372" t="s">
        <v>623</v>
      </c>
      <c r="R617" s="695">
        <v>20230428</v>
      </c>
      <c r="S617" s="372" t="s">
        <v>4700</v>
      </c>
      <c r="T617" s="696" t="s">
        <v>772</v>
      </c>
      <c r="U617" s="375" t="s">
        <v>4701</v>
      </c>
      <c r="V617" s="722">
        <v>0</v>
      </c>
      <c r="W617" s="722">
        <v>4.37</v>
      </c>
      <c r="X617" s="722">
        <v>0</v>
      </c>
      <c r="Y617" s="722">
        <v>0</v>
      </c>
      <c r="Z617" s="382" t="s">
        <v>934</v>
      </c>
      <c r="AA617" s="372">
        <v>317.08636330000002</v>
      </c>
      <c r="AB617" s="372">
        <v>369.17053320000002</v>
      </c>
      <c r="AC617" s="372">
        <v>434.23820899999998</v>
      </c>
      <c r="AD617" s="372">
        <v>632.89972379999995</v>
      </c>
      <c r="AE617" s="372">
        <v>988</v>
      </c>
      <c r="AF617" s="372">
        <v>1147</v>
      </c>
      <c r="AG617" s="372">
        <v>0</v>
      </c>
      <c r="AH617" s="372">
        <v>0</v>
      </c>
    </row>
    <row r="618" spans="1:34">
      <c r="A618" s="372" t="s">
        <v>4702</v>
      </c>
      <c r="B618" s="373" t="s">
        <v>4703</v>
      </c>
      <c r="C618" s="372" t="s">
        <v>4704</v>
      </c>
      <c r="D618" s="374">
        <v>1350110103601</v>
      </c>
      <c r="E618" s="372" t="s">
        <v>4705</v>
      </c>
      <c r="F618" s="375" t="s">
        <v>1005</v>
      </c>
      <c r="G618" s="375" t="s">
        <v>1006</v>
      </c>
      <c r="H618" s="375" t="s">
        <v>1388</v>
      </c>
      <c r="I618" s="375" t="s">
        <v>869</v>
      </c>
      <c r="J618" s="375">
        <v>195106.47956000001</v>
      </c>
      <c r="K618" s="375">
        <v>10326.59669</v>
      </c>
      <c r="L618" s="375">
        <v>7566.3202700000002</v>
      </c>
      <c r="M618" s="375">
        <v>73123.882459999993</v>
      </c>
      <c r="N618" s="372">
        <v>1.194</v>
      </c>
      <c r="O618" s="703">
        <v>29.223195371517143</v>
      </c>
      <c r="P618" s="375" t="s">
        <v>623</v>
      </c>
      <c r="Q618" s="375" t="s">
        <v>623</v>
      </c>
      <c r="R618" s="695">
        <v>20060117</v>
      </c>
      <c r="S618" s="375" t="s">
        <v>4706</v>
      </c>
      <c r="T618" s="696">
        <v>0.20900000000000002</v>
      </c>
      <c r="U618" s="375" t="s">
        <v>4707</v>
      </c>
      <c r="V618" s="722">
        <v>9.1300000000000008</v>
      </c>
      <c r="W618" s="722">
        <v>2.1800000000000002</v>
      </c>
      <c r="X618" s="722">
        <v>0.82</v>
      </c>
      <c r="Y618" s="722">
        <v>23.46</v>
      </c>
      <c r="Z618" s="382" t="s">
        <v>934</v>
      </c>
      <c r="AA618" s="372">
        <v>1486.0152141000001</v>
      </c>
      <c r="AB618" s="372">
        <v>1716.6420212999999</v>
      </c>
      <c r="AC618" s="372">
        <v>2602.9670805000001</v>
      </c>
      <c r="AD618" s="372">
        <v>1951.0647956</v>
      </c>
      <c r="AE618" s="372">
        <v>2174</v>
      </c>
      <c r="AF618" s="372">
        <v>2589</v>
      </c>
      <c r="AG618" s="372">
        <v>0</v>
      </c>
      <c r="AH618" s="372">
        <v>0</v>
      </c>
    </row>
    <row r="619" spans="1:34">
      <c r="A619" s="372" t="s">
        <v>4708</v>
      </c>
      <c r="B619" s="373" t="s">
        <v>4709</v>
      </c>
      <c r="C619" s="372" t="s">
        <v>4710</v>
      </c>
      <c r="D619" s="374">
        <v>1801110036425</v>
      </c>
      <c r="E619" s="372" t="s">
        <v>4711</v>
      </c>
      <c r="F619" s="375" t="s">
        <v>2509</v>
      </c>
      <c r="G619" s="375" t="s">
        <v>4712</v>
      </c>
      <c r="H619" s="375" t="s">
        <v>868</v>
      </c>
      <c r="I619" s="375" t="s">
        <v>869</v>
      </c>
      <c r="J619" s="375">
        <v>254692.90703999999</v>
      </c>
      <c r="K619" s="375">
        <v>44833.439100000003</v>
      </c>
      <c r="L619" s="375">
        <v>50672.741349999997</v>
      </c>
      <c r="M619" s="375">
        <v>505416.03804000001</v>
      </c>
      <c r="N619" s="372">
        <v>0.71199999999999997</v>
      </c>
      <c r="O619" s="703">
        <v>0.67574094333128654</v>
      </c>
      <c r="P619" s="375" t="s">
        <v>623</v>
      </c>
      <c r="Q619" s="375" t="s">
        <v>623</v>
      </c>
      <c r="R619" s="695">
        <v>20010109</v>
      </c>
      <c r="S619" s="375" t="s">
        <v>4640</v>
      </c>
      <c r="T619" s="696">
        <v>0.23100000000000001</v>
      </c>
      <c r="U619" s="372" t="s">
        <v>4713</v>
      </c>
      <c r="V619" s="722">
        <v>7.11</v>
      </c>
      <c r="W619" s="722">
        <v>0.67</v>
      </c>
      <c r="X619" s="722">
        <v>1.37</v>
      </c>
      <c r="Y619" s="722">
        <v>8.8800000000000008</v>
      </c>
      <c r="Z619" s="382">
        <v>4.0039546904437895E-2</v>
      </c>
      <c r="AA619" s="372">
        <v>1807.5508219000001</v>
      </c>
      <c r="AB619" s="372">
        <v>1369.2176512000001</v>
      </c>
      <c r="AC619" s="372">
        <v>2440.2554547</v>
      </c>
      <c r="AD619" s="372">
        <v>2546.9290704</v>
      </c>
      <c r="AE619" s="372">
        <v>2725.33</v>
      </c>
      <c r="AF619" s="372">
        <v>3005.67</v>
      </c>
      <c r="AG619" s="372">
        <v>2980</v>
      </c>
      <c r="AH619" s="372">
        <v>0</v>
      </c>
    </row>
    <row r="620" spans="1:34">
      <c r="A620" s="372" t="s">
        <v>4714</v>
      </c>
      <c r="B620" s="373" t="s">
        <v>4715</v>
      </c>
      <c r="C620" s="372" t="s">
        <v>4716</v>
      </c>
      <c r="D620" s="374">
        <v>1942110048381</v>
      </c>
      <c r="E620" s="372" t="s">
        <v>4717</v>
      </c>
      <c r="F620" s="375" t="s">
        <v>1048</v>
      </c>
      <c r="G620" s="375" t="s">
        <v>1049</v>
      </c>
      <c r="H620" s="375" t="s">
        <v>1050</v>
      </c>
      <c r="I620" s="375" t="s">
        <v>755</v>
      </c>
      <c r="J620" s="375">
        <v>245020.79081999999</v>
      </c>
      <c r="K620" s="375">
        <v>17924.99973</v>
      </c>
      <c r="L620" s="375">
        <v>14790.91107</v>
      </c>
      <c r="M620" s="375">
        <v>225375.91529</v>
      </c>
      <c r="N620" s="372">
        <v>0.88500000000000001</v>
      </c>
      <c r="O620" s="703">
        <v>19.734621224250198</v>
      </c>
      <c r="P620" s="375" t="s">
        <v>623</v>
      </c>
      <c r="Q620" s="375" t="s">
        <v>623</v>
      </c>
      <c r="R620" s="695">
        <v>20090515</v>
      </c>
      <c r="S620" s="375" t="s">
        <v>4718</v>
      </c>
      <c r="T620" s="696">
        <v>0.20900000000000002</v>
      </c>
      <c r="U620" s="375" t="s">
        <v>4719</v>
      </c>
      <c r="V620" s="722">
        <v>17.36</v>
      </c>
      <c r="W620" s="722">
        <v>1.48</v>
      </c>
      <c r="X620" s="722">
        <v>1.36</v>
      </c>
      <c r="Y620" s="722">
        <v>10.56</v>
      </c>
      <c r="Z620" s="382">
        <v>8.8209604059559021E-2</v>
      </c>
      <c r="AA620" s="372">
        <v>2479.5983375000001</v>
      </c>
      <c r="AB620" s="372">
        <v>1374.0381844000001</v>
      </c>
      <c r="AC620" s="372">
        <v>1774.6063300000001</v>
      </c>
      <c r="AD620" s="372">
        <v>2450.2079082</v>
      </c>
      <c r="AE620" s="372">
        <v>2949</v>
      </c>
      <c r="AF620" s="372">
        <v>3181</v>
      </c>
      <c r="AG620" s="372">
        <v>3436</v>
      </c>
      <c r="AH620" s="372">
        <v>0</v>
      </c>
    </row>
    <row r="621" spans="1:34">
      <c r="A621" s="372" t="s">
        <v>4720</v>
      </c>
      <c r="B621" s="373" t="s">
        <v>4721</v>
      </c>
      <c r="C621" s="372" t="s">
        <v>4722</v>
      </c>
      <c r="D621" s="374">
        <v>1211110088451</v>
      </c>
      <c r="E621" s="372" t="s">
        <v>4723</v>
      </c>
      <c r="F621" s="375" t="s">
        <v>2866</v>
      </c>
      <c r="G621" s="375" t="s">
        <v>4724</v>
      </c>
      <c r="H621" s="375" t="s">
        <v>868</v>
      </c>
      <c r="I621" s="375" t="s">
        <v>869</v>
      </c>
      <c r="J621" s="375">
        <v>284481.25245000003</v>
      </c>
      <c r="K621" s="375">
        <v>35288.650809999999</v>
      </c>
      <c r="L621" s="375">
        <v>37437.732109999997</v>
      </c>
      <c r="M621" s="375">
        <v>287664.46956</v>
      </c>
      <c r="N621" s="372">
        <v>0.498</v>
      </c>
      <c r="O621" s="703">
        <v>6.6237206649076326</v>
      </c>
      <c r="P621" s="375" t="s">
        <v>623</v>
      </c>
      <c r="Q621" s="372" t="s">
        <v>623</v>
      </c>
      <c r="R621" s="695">
        <v>20190704</v>
      </c>
      <c r="S621" s="372" t="s">
        <v>4725</v>
      </c>
      <c r="T621" s="696">
        <v>0.23100000000000001</v>
      </c>
      <c r="U621" s="372" t="s">
        <v>4726</v>
      </c>
      <c r="V621" s="722">
        <v>7.4</v>
      </c>
      <c r="W621" s="722">
        <v>1.25</v>
      </c>
      <c r="X621" s="722">
        <v>1.04</v>
      </c>
      <c r="Y621" s="722">
        <v>11</v>
      </c>
      <c r="Z621" s="382">
        <v>9.7786773274549876E-2</v>
      </c>
      <c r="AA621" s="372">
        <v>1967.9677342</v>
      </c>
      <c r="AB621" s="372">
        <v>2220.2918355000002</v>
      </c>
      <c r="AC621" s="372">
        <v>2366.4300423</v>
      </c>
      <c r="AD621" s="372">
        <v>2844.8125245000001</v>
      </c>
      <c r="AE621" s="372">
        <v>3208.29</v>
      </c>
      <c r="AF621" s="372">
        <v>3595</v>
      </c>
      <c r="AG621" s="372">
        <v>4131.67</v>
      </c>
      <c r="AH621" s="372">
        <v>0</v>
      </c>
    </row>
    <row r="622" spans="1:34">
      <c r="A622" s="372" t="s">
        <v>4727</v>
      </c>
      <c r="B622" s="373" t="s">
        <v>4728</v>
      </c>
      <c r="C622" s="372" t="s">
        <v>4729</v>
      </c>
      <c r="D622" s="374">
        <v>1101111228364</v>
      </c>
      <c r="E622" s="372" t="s">
        <v>4730</v>
      </c>
      <c r="F622" s="372" t="s">
        <v>852</v>
      </c>
      <c r="G622" s="375" t="s">
        <v>852</v>
      </c>
      <c r="H622" s="375" t="s">
        <v>3127</v>
      </c>
      <c r="I622" s="375" t="s">
        <v>869</v>
      </c>
      <c r="J622" s="375">
        <v>380510.45850000001</v>
      </c>
      <c r="K622" s="375">
        <v>9406.9622999999992</v>
      </c>
      <c r="L622" s="375">
        <v>6400.0981899999997</v>
      </c>
      <c r="M622" s="375">
        <v>80186.489149999994</v>
      </c>
      <c r="N622" s="372" t="s">
        <v>1033</v>
      </c>
      <c r="O622" s="703">
        <v>17.212061149536318</v>
      </c>
      <c r="P622" s="375" t="s">
        <v>623</v>
      </c>
      <c r="Q622" s="372" t="s">
        <v>623</v>
      </c>
      <c r="R622" s="695">
        <v>20230127</v>
      </c>
      <c r="S622" s="372" t="s">
        <v>4731</v>
      </c>
      <c r="T622" s="696">
        <v>0.20900000000000002</v>
      </c>
      <c r="U622" s="372" t="s">
        <v>4732</v>
      </c>
      <c r="V622" s="722">
        <v>34.78</v>
      </c>
      <c r="W622" s="722">
        <v>4.22</v>
      </c>
      <c r="X622" s="722">
        <v>0.88</v>
      </c>
      <c r="Y622" s="722">
        <v>65.97</v>
      </c>
      <c r="Z622" s="382" t="s">
        <v>934</v>
      </c>
      <c r="AA622" s="372">
        <v>2182.9575</v>
      </c>
      <c r="AB622" s="372">
        <v>3280.4644699999999</v>
      </c>
      <c r="AC622" s="372">
        <v>5501.5269477000002</v>
      </c>
      <c r="AD622" s="372">
        <v>3805.104585</v>
      </c>
      <c r="AE622" s="372">
        <v>5584</v>
      </c>
      <c r="AF622" s="372">
        <v>7538</v>
      </c>
      <c r="AG622" s="372">
        <v>0</v>
      </c>
      <c r="AH622" s="372">
        <v>0</v>
      </c>
    </row>
    <row r="623" spans="1:34">
      <c r="A623" s="372" t="s">
        <v>4733</v>
      </c>
      <c r="B623" s="373" t="s">
        <v>4734</v>
      </c>
      <c r="C623" s="372" t="s">
        <v>4735</v>
      </c>
      <c r="D623" s="374">
        <v>1753110000762</v>
      </c>
      <c r="E623" s="372" t="s">
        <v>4736</v>
      </c>
      <c r="F623" s="375" t="s">
        <v>1286</v>
      </c>
      <c r="G623" s="375" t="s">
        <v>1465</v>
      </c>
      <c r="H623" s="375" t="s">
        <v>1388</v>
      </c>
      <c r="I623" s="375" t="s">
        <v>869</v>
      </c>
      <c r="J623" s="375">
        <v>201701.54618</v>
      </c>
      <c r="K623" s="375">
        <v>389.60122000000001</v>
      </c>
      <c r="L623" s="375">
        <v>-36535.313269999999</v>
      </c>
      <c r="M623" s="375">
        <v>174671.53896999999</v>
      </c>
      <c r="N623" s="372">
        <v>1.286</v>
      </c>
      <c r="O623" s="703">
        <v>35.353016789811498</v>
      </c>
      <c r="P623" s="375" t="s">
        <v>623</v>
      </c>
      <c r="Q623" s="375" t="s">
        <v>623</v>
      </c>
      <c r="R623" s="695">
        <v>20020927</v>
      </c>
      <c r="S623" s="375" t="s">
        <v>4737</v>
      </c>
      <c r="T623" s="696" t="s">
        <v>772</v>
      </c>
      <c r="U623" s="372" t="s">
        <v>4738</v>
      </c>
      <c r="V623" s="722">
        <v>91.57</v>
      </c>
      <c r="W623" s="722">
        <v>2.2200000000000002</v>
      </c>
      <c r="X623" s="722">
        <v>1.88</v>
      </c>
      <c r="Y623" s="722" t="s">
        <v>774</v>
      </c>
      <c r="Z623" s="382" t="s">
        <v>934</v>
      </c>
      <c r="AA623" s="372">
        <v>1630.0587691999999</v>
      </c>
      <c r="AB623" s="372">
        <v>1920.4743338999999</v>
      </c>
      <c r="AC623" s="372">
        <v>2186.6696265</v>
      </c>
      <c r="AD623" s="372">
        <v>2017.0154617999999</v>
      </c>
      <c r="AE623" s="372">
        <v>0</v>
      </c>
      <c r="AF623" s="372">
        <v>0</v>
      </c>
      <c r="AG623" s="372">
        <v>0</v>
      </c>
      <c r="AH623" s="372">
        <v>0</v>
      </c>
    </row>
    <row r="624" spans="1:34">
      <c r="A624" s="372" t="s">
        <v>4739</v>
      </c>
      <c r="B624" s="373" t="s">
        <v>4740</v>
      </c>
      <c r="C624" s="372" t="s">
        <v>4741</v>
      </c>
      <c r="D624" s="374">
        <v>1345110084018</v>
      </c>
      <c r="E624" s="372" t="s">
        <v>4742</v>
      </c>
      <c r="F624" s="375" t="s">
        <v>2077</v>
      </c>
      <c r="G624" s="375" t="s">
        <v>4743</v>
      </c>
      <c r="H624" s="375" t="s">
        <v>868</v>
      </c>
      <c r="I624" s="375" t="s">
        <v>869</v>
      </c>
      <c r="J624" s="375">
        <v>145881.86523</v>
      </c>
      <c r="K624" s="375">
        <v>6118.3704299999999</v>
      </c>
      <c r="L624" s="375">
        <v>-4233.5947399999995</v>
      </c>
      <c r="M624" s="375">
        <v>131196.23394999999</v>
      </c>
      <c r="N624" s="372">
        <v>0.88200000000000001</v>
      </c>
      <c r="O624" s="703">
        <v>42.322380412666483</v>
      </c>
      <c r="P624" s="375" t="s">
        <v>623</v>
      </c>
      <c r="Q624" s="372" t="s">
        <v>623</v>
      </c>
      <c r="R624" s="695">
        <v>20190808</v>
      </c>
      <c r="S624" s="375" t="s">
        <v>4744</v>
      </c>
      <c r="T624" s="696" t="s">
        <v>772</v>
      </c>
      <c r="U624" s="375" t="s">
        <v>4745</v>
      </c>
      <c r="V624" s="722">
        <v>27.98</v>
      </c>
      <c r="W624" s="722">
        <v>2.78</v>
      </c>
      <c r="X624" s="722">
        <v>2.42</v>
      </c>
      <c r="Y624" s="722" t="s">
        <v>774</v>
      </c>
      <c r="Z624" s="382">
        <v>6.404519469524983E-2</v>
      </c>
      <c r="AA624" s="372">
        <v>552.04787490000001</v>
      </c>
      <c r="AB624" s="372">
        <v>903.36176990000001</v>
      </c>
      <c r="AC624" s="372">
        <v>1289.9785403999999</v>
      </c>
      <c r="AD624" s="372">
        <v>1458.8186522999999</v>
      </c>
      <c r="AE624" s="372">
        <v>1666.75</v>
      </c>
      <c r="AF624" s="372">
        <v>1761.33</v>
      </c>
      <c r="AG624" s="372">
        <v>1870</v>
      </c>
      <c r="AH624" s="372">
        <v>0</v>
      </c>
    </row>
    <row r="625" spans="1:34">
      <c r="A625" s="372" t="s">
        <v>4746</v>
      </c>
      <c r="B625" s="373" t="s">
        <v>4747</v>
      </c>
      <c r="C625" s="372" t="s">
        <v>4748</v>
      </c>
      <c r="D625" s="374">
        <v>1801110073922</v>
      </c>
      <c r="E625" s="372" t="s">
        <v>4749</v>
      </c>
      <c r="F625" s="375" t="s">
        <v>4750</v>
      </c>
      <c r="G625" s="375" t="s">
        <v>4751</v>
      </c>
      <c r="H625" s="375" t="s">
        <v>868</v>
      </c>
      <c r="I625" s="375" t="s">
        <v>869</v>
      </c>
      <c r="J625" s="375">
        <v>443760.09645000001</v>
      </c>
      <c r="K625" s="375">
        <v>39527.227610000002</v>
      </c>
      <c r="L625" s="375">
        <v>32761.70192</v>
      </c>
      <c r="M625" s="375">
        <v>512425.91978</v>
      </c>
      <c r="N625" s="372">
        <v>0.77400000000000002</v>
      </c>
      <c r="O625" s="703">
        <v>30.475360211171211</v>
      </c>
      <c r="P625" s="375" t="s">
        <v>623</v>
      </c>
      <c r="Q625" s="375" t="s">
        <v>623</v>
      </c>
      <c r="R625" s="695">
        <v>20011106</v>
      </c>
      <c r="S625" s="375" t="s">
        <v>4752</v>
      </c>
      <c r="T625" s="696">
        <v>0.23100000000000001</v>
      </c>
      <c r="U625" s="372" t="s">
        <v>4753</v>
      </c>
      <c r="V625" s="722">
        <v>0</v>
      </c>
      <c r="W625" s="722">
        <v>0.66</v>
      </c>
      <c r="X625" s="722">
        <v>0</v>
      </c>
      <c r="Y625" s="722">
        <v>0</v>
      </c>
      <c r="Z625" s="382" t="s">
        <v>934</v>
      </c>
      <c r="AA625" s="372">
        <v>3444.0368539999999</v>
      </c>
      <c r="AB625" s="372">
        <v>3223.3164667000001</v>
      </c>
      <c r="AC625" s="372">
        <v>3938.6635642000001</v>
      </c>
      <c r="AD625" s="372">
        <v>4437.6009645000004</v>
      </c>
      <c r="AE625" s="372">
        <v>0</v>
      </c>
      <c r="AF625" s="372">
        <v>0</v>
      </c>
      <c r="AG625" s="372">
        <v>0</v>
      </c>
      <c r="AH625" s="372">
        <v>0</v>
      </c>
    </row>
    <row r="626" spans="1:34">
      <c r="A626" s="372" t="s">
        <v>4754</v>
      </c>
      <c r="B626" s="373" t="s">
        <v>4755</v>
      </c>
      <c r="C626" s="372" t="s">
        <v>4756</v>
      </c>
      <c r="D626" s="374">
        <v>1346110012744</v>
      </c>
      <c r="E626" s="372" t="s">
        <v>4757</v>
      </c>
      <c r="F626" s="375" t="s">
        <v>3266</v>
      </c>
      <c r="G626" s="375" t="s">
        <v>3266</v>
      </c>
      <c r="H626" s="375" t="s">
        <v>1388</v>
      </c>
      <c r="I626" s="375" t="s">
        <v>869</v>
      </c>
      <c r="J626" s="375">
        <v>387340.94279</v>
      </c>
      <c r="K626" s="375">
        <v>21111.259620000001</v>
      </c>
      <c r="L626" s="375">
        <v>10988.324629999999</v>
      </c>
      <c r="M626" s="375">
        <v>366083.93367</v>
      </c>
      <c r="N626" s="372">
        <v>1.7589999999999999</v>
      </c>
      <c r="O626" s="703">
        <v>98.562101868965115</v>
      </c>
      <c r="P626" s="375" t="s">
        <v>623</v>
      </c>
      <c r="Q626" s="375" t="s">
        <v>623</v>
      </c>
      <c r="R626" s="695">
        <v>20020111</v>
      </c>
      <c r="S626" s="375" t="s">
        <v>4758</v>
      </c>
      <c r="T626" s="696">
        <v>0.20900000000000002</v>
      </c>
      <c r="U626" s="375" t="s">
        <v>4759</v>
      </c>
      <c r="V626" s="722">
        <v>9.7100000000000009</v>
      </c>
      <c r="W626" s="722">
        <v>3.23</v>
      </c>
      <c r="X626" s="722">
        <v>0.78</v>
      </c>
      <c r="Y626" s="722" t="s">
        <v>774</v>
      </c>
      <c r="Z626" s="382" t="s">
        <v>934</v>
      </c>
      <c r="AA626" s="372">
        <v>2808.9905456000001</v>
      </c>
      <c r="AB626" s="372">
        <v>3654.9068060999998</v>
      </c>
      <c r="AC626" s="372">
        <v>4148.3226924999999</v>
      </c>
      <c r="AD626" s="372">
        <v>3873.4094279000001</v>
      </c>
      <c r="AE626" s="372">
        <v>0</v>
      </c>
      <c r="AF626" s="372">
        <v>0</v>
      </c>
      <c r="AG626" s="372">
        <v>0</v>
      </c>
      <c r="AH626" s="372">
        <v>0</v>
      </c>
    </row>
    <row r="627" spans="1:34">
      <c r="A627" s="372" t="s">
        <v>4760</v>
      </c>
      <c r="B627" s="373" t="s">
        <v>4761</v>
      </c>
      <c r="C627" s="372" t="s">
        <v>4762</v>
      </c>
      <c r="D627" s="374">
        <v>1101111655393</v>
      </c>
      <c r="E627" s="372" t="s">
        <v>4763</v>
      </c>
      <c r="F627" s="375" t="s">
        <v>1300</v>
      </c>
      <c r="G627" s="375" t="s">
        <v>1300</v>
      </c>
      <c r="H627" s="375" t="s">
        <v>868</v>
      </c>
      <c r="I627" s="375" t="s">
        <v>869</v>
      </c>
      <c r="J627" s="375">
        <v>102679.15614000001</v>
      </c>
      <c r="K627" s="375">
        <v>1135.9686899999999</v>
      </c>
      <c r="L627" s="375">
        <v>567.19979000000001</v>
      </c>
      <c r="M627" s="375">
        <v>89949.938510000007</v>
      </c>
      <c r="N627" s="372">
        <v>1.0780000000000001</v>
      </c>
      <c r="O627" s="703">
        <v>5.6394775894997771E-2</v>
      </c>
      <c r="P627" s="375" t="s">
        <v>623</v>
      </c>
      <c r="Q627" s="375" t="s">
        <v>623</v>
      </c>
      <c r="R627" s="695">
        <v>20111017</v>
      </c>
      <c r="S627" s="372" t="s">
        <v>4764</v>
      </c>
      <c r="T627" s="696">
        <v>0.20900000000000002</v>
      </c>
      <c r="U627" s="375" t="s">
        <v>4765</v>
      </c>
      <c r="V627" s="722">
        <v>108.07</v>
      </c>
      <c r="W627" s="722">
        <v>3.23</v>
      </c>
      <c r="X627" s="722">
        <v>2.83</v>
      </c>
      <c r="Y627" s="722">
        <v>418.94</v>
      </c>
      <c r="Z627" s="382" t="s">
        <v>934</v>
      </c>
      <c r="AA627" s="372">
        <v>1320.0909907</v>
      </c>
      <c r="AB627" s="372">
        <v>1424.6502364999999</v>
      </c>
      <c r="AC627" s="372">
        <v>1432.4021846000001</v>
      </c>
      <c r="AD627" s="372">
        <v>1026.7915614000001</v>
      </c>
      <c r="AE627" s="372">
        <v>0</v>
      </c>
      <c r="AF627" s="372">
        <v>0</v>
      </c>
      <c r="AG627" s="372">
        <v>0</v>
      </c>
      <c r="AH627" s="372">
        <v>0</v>
      </c>
    </row>
    <row r="628" spans="1:34">
      <c r="A628" s="372" t="s">
        <v>4766</v>
      </c>
      <c r="B628" s="373" t="s">
        <v>4767</v>
      </c>
      <c r="C628" s="372" t="s">
        <v>4768</v>
      </c>
      <c r="D628" s="374">
        <v>1101110028955</v>
      </c>
      <c r="E628" s="372" t="s">
        <v>4769</v>
      </c>
      <c r="F628" s="375" t="s">
        <v>1259</v>
      </c>
      <c r="G628" s="375" t="s">
        <v>1259</v>
      </c>
      <c r="H628" s="375" t="s">
        <v>788</v>
      </c>
      <c r="I628" s="375" t="s">
        <v>755</v>
      </c>
      <c r="J628" s="375">
        <v>879780.76994000003</v>
      </c>
      <c r="K628" s="375">
        <v>17005.26671</v>
      </c>
      <c r="L628" s="375">
        <v>43705.6702</v>
      </c>
      <c r="M628" s="375">
        <v>823484.71686000004</v>
      </c>
      <c r="N628" s="372">
        <v>0.71399999999999997</v>
      </c>
      <c r="O628" s="703">
        <v>169.96437796847599</v>
      </c>
      <c r="P628" s="375" t="s">
        <v>623</v>
      </c>
      <c r="Q628" s="375" t="s">
        <v>623</v>
      </c>
      <c r="R628" s="695">
        <v>19760630</v>
      </c>
      <c r="S628" s="375" t="s">
        <v>4770</v>
      </c>
      <c r="T628" s="696">
        <v>0.23100000000000001</v>
      </c>
      <c r="U628" s="372" t="s">
        <v>4771</v>
      </c>
      <c r="V628" s="722">
        <v>15.1</v>
      </c>
      <c r="W628" s="722">
        <v>0.51</v>
      </c>
      <c r="X628" s="722">
        <v>0.34</v>
      </c>
      <c r="Y628" s="722">
        <v>6.31</v>
      </c>
      <c r="Z628" s="382" t="s">
        <v>934</v>
      </c>
      <c r="AA628" s="372">
        <v>8581.1878073999997</v>
      </c>
      <c r="AB628" s="372">
        <v>9259.7507640999993</v>
      </c>
      <c r="AC628" s="372">
        <v>9089.6276412999996</v>
      </c>
      <c r="AD628" s="372">
        <v>8797.8076994000003</v>
      </c>
      <c r="AE628" s="372">
        <v>9240</v>
      </c>
      <c r="AF628" s="372">
        <v>9700</v>
      </c>
      <c r="AG628" s="372">
        <v>0</v>
      </c>
      <c r="AH628" s="372">
        <v>0</v>
      </c>
    </row>
    <row r="629" spans="1:34">
      <c r="A629" s="372" t="s">
        <v>4772</v>
      </c>
      <c r="B629" s="373" t="s">
        <v>4773</v>
      </c>
      <c r="C629" s="372" t="s">
        <v>4774</v>
      </c>
      <c r="D629" s="374">
        <v>1311110047356</v>
      </c>
      <c r="E629" s="372" t="s">
        <v>4775</v>
      </c>
      <c r="F629" s="375" t="s">
        <v>1195</v>
      </c>
      <c r="G629" s="375" t="s">
        <v>1196</v>
      </c>
      <c r="H629" s="375" t="s">
        <v>1388</v>
      </c>
      <c r="I629" s="375" t="s">
        <v>869</v>
      </c>
      <c r="J629" s="375">
        <v>167769.30971999999</v>
      </c>
      <c r="K629" s="375">
        <v>7142.8090099999999</v>
      </c>
      <c r="L629" s="375">
        <v>4004.7664599999998</v>
      </c>
      <c r="M629" s="375">
        <v>148159.90723000001</v>
      </c>
      <c r="N629" s="372">
        <v>1.1910000000000001</v>
      </c>
      <c r="O629" s="703">
        <v>6.4184342959237295</v>
      </c>
      <c r="P629" s="375" t="s">
        <v>623</v>
      </c>
      <c r="Q629" s="372" t="s">
        <v>623</v>
      </c>
      <c r="R629" s="695">
        <v>20061205</v>
      </c>
      <c r="S629" s="372" t="s">
        <v>4776</v>
      </c>
      <c r="T629" s="696">
        <v>0.20900000000000002</v>
      </c>
      <c r="U629" s="372" t="s">
        <v>4777</v>
      </c>
      <c r="V629" s="722">
        <v>24.35</v>
      </c>
      <c r="W629" s="722">
        <v>1.86</v>
      </c>
      <c r="X629" s="722">
        <v>1.69</v>
      </c>
      <c r="Y629" s="722">
        <v>41.92</v>
      </c>
      <c r="Z629" s="382" t="s">
        <v>934</v>
      </c>
      <c r="AA629" s="372">
        <v>1234.7226249</v>
      </c>
      <c r="AB629" s="372">
        <v>1145.785296</v>
      </c>
      <c r="AC629" s="372">
        <v>1237.7996654000001</v>
      </c>
      <c r="AD629" s="372">
        <v>1677.6930972</v>
      </c>
      <c r="AE629" s="372">
        <v>1454</v>
      </c>
      <c r="AF629" s="372">
        <v>0</v>
      </c>
      <c r="AG629" s="372">
        <v>0</v>
      </c>
      <c r="AH629" s="372">
        <v>0</v>
      </c>
    </row>
    <row r="630" spans="1:34">
      <c r="A630" s="372" t="s">
        <v>4778</v>
      </c>
      <c r="B630" s="373" t="s">
        <v>4779</v>
      </c>
      <c r="C630" s="372" t="s">
        <v>4780</v>
      </c>
      <c r="D630" s="374">
        <v>1101111144297</v>
      </c>
      <c r="E630" s="372" t="s">
        <v>4781</v>
      </c>
      <c r="F630" s="375" t="s">
        <v>4782</v>
      </c>
      <c r="G630" s="375" t="s">
        <v>4783</v>
      </c>
      <c r="H630" s="375" t="s">
        <v>823</v>
      </c>
      <c r="I630" s="375" t="s">
        <v>755</v>
      </c>
      <c r="J630" s="375">
        <v>1190257.44884</v>
      </c>
      <c r="K630" s="375">
        <v>47352.19356</v>
      </c>
      <c r="L630" s="375">
        <v>-35567.648990000002</v>
      </c>
      <c r="M630" s="375">
        <v>565338.30775000004</v>
      </c>
      <c r="N630" s="372">
        <v>0.91800000000000004</v>
      </c>
      <c r="O630" s="703">
        <v>196.05434028293095</v>
      </c>
      <c r="P630" s="375" t="s">
        <v>623</v>
      </c>
      <c r="Q630" s="375" t="s">
        <v>623</v>
      </c>
      <c r="R630" s="695">
        <v>20121109</v>
      </c>
      <c r="S630" s="375" t="s">
        <v>4784</v>
      </c>
      <c r="T630" s="696" t="s">
        <v>772</v>
      </c>
      <c r="U630" s="372" t="s">
        <v>4785</v>
      </c>
      <c r="V630" s="722">
        <v>3.64</v>
      </c>
      <c r="W630" s="722">
        <v>0.47</v>
      </c>
      <c r="X630" s="722">
        <v>0.22</v>
      </c>
      <c r="Y630" s="722" t="s">
        <v>774</v>
      </c>
      <c r="Z630" s="382">
        <v>-4.2822744220681885E-3</v>
      </c>
      <c r="AA630" s="372">
        <v>10579.3469563</v>
      </c>
      <c r="AB630" s="372">
        <v>10801.322809200001</v>
      </c>
      <c r="AC630" s="372">
        <v>11678.6799799</v>
      </c>
      <c r="AD630" s="372">
        <v>11902.5744884</v>
      </c>
      <c r="AE630" s="372">
        <v>11738.6</v>
      </c>
      <c r="AF630" s="372">
        <v>11936.6</v>
      </c>
      <c r="AG630" s="372">
        <v>11700</v>
      </c>
      <c r="AH630" s="372">
        <v>0</v>
      </c>
    </row>
    <row r="631" spans="1:34">
      <c r="A631" s="372" t="s">
        <v>4786</v>
      </c>
      <c r="B631" s="373" t="s">
        <v>4787</v>
      </c>
      <c r="C631" s="372" t="s">
        <v>4788</v>
      </c>
      <c r="D631" s="374">
        <v>1801110083442</v>
      </c>
      <c r="E631" s="372" t="s">
        <v>4789</v>
      </c>
      <c r="F631" s="372" t="s">
        <v>1846</v>
      </c>
      <c r="G631" s="375" t="s">
        <v>1847</v>
      </c>
      <c r="H631" s="375" t="s">
        <v>3127</v>
      </c>
      <c r="I631" s="375" t="s">
        <v>869</v>
      </c>
      <c r="J631" s="375">
        <v>3074242.28675</v>
      </c>
      <c r="K631" s="375">
        <v>99255.535629999998</v>
      </c>
      <c r="L631" s="375">
        <v>72800.466230000005</v>
      </c>
      <c r="M631" s="375">
        <v>369500.06631999998</v>
      </c>
      <c r="N631" s="372">
        <v>0.56899999999999995</v>
      </c>
      <c r="O631" s="703">
        <v>136.77441698292344</v>
      </c>
      <c r="P631" s="375" t="s">
        <v>623</v>
      </c>
      <c r="Q631" s="375" t="s">
        <v>623</v>
      </c>
      <c r="R631" s="695">
        <v>20010724</v>
      </c>
      <c r="S631" s="375" t="s">
        <v>4790</v>
      </c>
      <c r="T631" s="696">
        <v>0.23100000000000001</v>
      </c>
      <c r="U631" s="372" t="s">
        <v>4791</v>
      </c>
      <c r="V631" s="722">
        <v>3.88</v>
      </c>
      <c r="W631" s="722">
        <v>0.98</v>
      </c>
      <c r="X631" s="722">
        <v>0.09</v>
      </c>
      <c r="Y631" s="722">
        <v>5.2</v>
      </c>
      <c r="Z631" s="382">
        <v>5.2074190466076642E-2</v>
      </c>
      <c r="AA631" s="372">
        <v>24785.2872771</v>
      </c>
      <c r="AB631" s="372">
        <v>22914.339793499999</v>
      </c>
      <c r="AC631" s="372">
        <v>27476.916517199999</v>
      </c>
      <c r="AD631" s="372">
        <v>30742.422867500001</v>
      </c>
      <c r="AE631" s="372">
        <v>33023.42</v>
      </c>
      <c r="AF631" s="372">
        <v>35414.6</v>
      </c>
      <c r="AG631" s="372">
        <v>37663.75</v>
      </c>
      <c r="AH631" s="372">
        <v>0</v>
      </c>
    </row>
    <row r="632" spans="1:34">
      <c r="A632" s="372" t="s">
        <v>4792</v>
      </c>
      <c r="B632" s="373" t="s">
        <v>4793</v>
      </c>
      <c r="C632" s="372" t="s">
        <v>4794</v>
      </c>
      <c r="D632" s="374">
        <v>2301110060126</v>
      </c>
      <c r="E632" s="372" t="s">
        <v>4795</v>
      </c>
      <c r="F632" s="375" t="s">
        <v>1144</v>
      </c>
      <c r="G632" s="375" t="s">
        <v>3158</v>
      </c>
      <c r="H632" s="375" t="s">
        <v>797</v>
      </c>
      <c r="I632" s="375" t="s">
        <v>755</v>
      </c>
      <c r="J632" s="375">
        <v>384796.44585000002</v>
      </c>
      <c r="K632" s="375">
        <v>33554.734499999999</v>
      </c>
      <c r="L632" s="375">
        <v>25826.040369999999</v>
      </c>
      <c r="M632" s="375">
        <v>231686.07636000001</v>
      </c>
      <c r="N632" s="372">
        <v>0.92400000000000004</v>
      </c>
      <c r="O632" s="703">
        <v>61.532808844048922</v>
      </c>
      <c r="P632" s="375" t="s">
        <v>623</v>
      </c>
      <c r="Q632" s="372" t="s">
        <v>623</v>
      </c>
      <c r="R632" s="695">
        <v>20151130</v>
      </c>
      <c r="S632" s="372" t="s">
        <v>4796</v>
      </c>
      <c r="T632" s="696">
        <v>0.23100000000000001</v>
      </c>
      <c r="U632" s="372" t="s">
        <v>4797</v>
      </c>
      <c r="V632" s="722">
        <v>11.85</v>
      </c>
      <c r="W632" s="722">
        <v>1.43</v>
      </c>
      <c r="X632" s="722">
        <v>0.7</v>
      </c>
      <c r="Y632" s="722">
        <v>15.79</v>
      </c>
      <c r="Z632" s="382">
        <v>8.8934073342681996E-2</v>
      </c>
      <c r="AA632" s="372">
        <v>2855.6470869</v>
      </c>
      <c r="AB632" s="372">
        <v>2503.8085130999998</v>
      </c>
      <c r="AC632" s="372">
        <v>4100.5366657000004</v>
      </c>
      <c r="AD632" s="372">
        <v>3847.9644585000001</v>
      </c>
      <c r="AE632" s="372">
        <v>4216.33</v>
      </c>
      <c r="AF632" s="372">
        <v>4753.33</v>
      </c>
      <c r="AG632" s="372">
        <v>5410.5</v>
      </c>
      <c r="AH632" s="372">
        <v>8390</v>
      </c>
    </row>
    <row r="633" spans="1:34">
      <c r="A633" s="372" t="s">
        <v>4798</v>
      </c>
      <c r="B633" s="373" t="s">
        <v>4799</v>
      </c>
      <c r="C633" s="372" t="s">
        <v>16013</v>
      </c>
      <c r="D633" s="374">
        <v>1101110039019</v>
      </c>
      <c r="E633" s="372" t="s">
        <v>16014</v>
      </c>
      <c r="F633" s="375" t="s">
        <v>1334</v>
      </c>
      <c r="G633" s="375" t="s">
        <v>1334</v>
      </c>
      <c r="H633" s="375" t="s">
        <v>788</v>
      </c>
      <c r="I633" s="375" t="s">
        <v>755</v>
      </c>
      <c r="J633" s="375">
        <v>78053.232120000001</v>
      </c>
      <c r="K633" s="375">
        <v>-7992.6421300000002</v>
      </c>
      <c r="L633" s="375">
        <v>-21344.935839999998</v>
      </c>
      <c r="M633" s="375">
        <v>382753.68002000003</v>
      </c>
      <c r="N633" s="372">
        <v>0.61199999999999999</v>
      </c>
      <c r="O633" s="703">
        <v>0.17556783678209337</v>
      </c>
      <c r="P633" s="375" t="s">
        <v>623</v>
      </c>
      <c r="Q633" s="372" t="s">
        <v>623</v>
      </c>
      <c r="R633" s="695">
        <v>19850114</v>
      </c>
      <c r="S633" s="372" t="s">
        <v>4800</v>
      </c>
      <c r="T633" s="696" t="s">
        <v>772</v>
      </c>
      <c r="U633" s="372" t="s">
        <v>4801</v>
      </c>
      <c r="V633" s="722">
        <v>0</v>
      </c>
      <c r="W633" s="722">
        <v>0.64</v>
      </c>
      <c r="X633" s="722">
        <v>0</v>
      </c>
      <c r="Y633" s="722">
        <v>0</v>
      </c>
      <c r="Z633" s="382" t="s">
        <v>934</v>
      </c>
      <c r="AA633" s="372">
        <v>406.00732249999999</v>
      </c>
      <c r="AB633" s="372">
        <v>420.8983581</v>
      </c>
      <c r="AC633" s="372">
        <v>612.47846530000004</v>
      </c>
      <c r="AD633" s="372">
        <v>780.53232119999996</v>
      </c>
      <c r="AE633" s="372">
        <v>0</v>
      </c>
      <c r="AF633" s="372">
        <v>0</v>
      </c>
      <c r="AG633" s="372">
        <v>0</v>
      </c>
      <c r="AH633" s="372">
        <v>0</v>
      </c>
    </row>
    <row r="634" spans="1:34">
      <c r="A634" s="372" t="s">
        <v>4802</v>
      </c>
      <c r="B634" s="373" t="s">
        <v>4803</v>
      </c>
      <c r="C634" s="372" t="s">
        <v>4804</v>
      </c>
      <c r="D634" s="374">
        <v>1348110048183</v>
      </c>
      <c r="E634" s="372" t="s">
        <v>4805</v>
      </c>
      <c r="F634" s="372" t="s">
        <v>1195</v>
      </c>
      <c r="G634" s="375" t="s">
        <v>1196</v>
      </c>
      <c r="H634" s="375" t="s">
        <v>1388</v>
      </c>
      <c r="I634" s="375" t="s">
        <v>869</v>
      </c>
      <c r="J634" s="375">
        <v>79808.251210000002</v>
      </c>
      <c r="K634" s="375">
        <v>-411.04449</v>
      </c>
      <c r="L634" s="375">
        <v>-29933.827840000002</v>
      </c>
      <c r="M634" s="375">
        <v>77420.595579999994</v>
      </c>
      <c r="N634" s="372">
        <v>1.109</v>
      </c>
      <c r="O634" s="703">
        <v>16.904292443567677</v>
      </c>
      <c r="P634" s="375" t="s">
        <v>623</v>
      </c>
      <c r="Q634" s="375" t="s">
        <v>623</v>
      </c>
      <c r="R634" s="695">
        <v>20141229</v>
      </c>
      <c r="S634" s="375" t="s">
        <v>4806</v>
      </c>
      <c r="T634" s="696" t="s">
        <v>772</v>
      </c>
      <c r="U634" s="375" t="s">
        <v>4807</v>
      </c>
      <c r="V634" s="722">
        <v>77.959999999999994</v>
      </c>
      <c r="W634" s="722">
        <v>3.86</v>
      </c>
      <c r="X634" s="722">
        <v>3.98</v>
      </c>
      <c r="Y634" s="722" t="s">
        <v>774</v>
      </c>
      <c r="Z634" s="382" t="s">
        <v>934</v>
      </c>
      <c r="AA634" s="372">
        <v>660.89641040000004</v>
      </c>
      <c r="AB634" s="372">
        <v>724.05194959999994</v>
      </c>
      <c r="AC634" s="372">
        <v>759.9376072</v>
      </c>
      <c r="AD634" s="372">
        <v>798.08251210000003</v>
      </c>
      <c r="AE634" s="372">
        <v>0</v>
      </c>
      <c r="AF634" s="372">
        <v>0</v>
      </c>
      <c r="AG634" s="372">
        <v>0</v>
      </c>
      <c r="AH634" s="372">
        <v>0</v>
      </c>
    </row>
    <row r="635" spans="1:34">
      <c r="A635" s="372" t="s">
        <v>4808</v>
      </c>
      <c r="B635" s="373" t="s">
        <v>4809</v>
      </c>
      <c r="C635" s="372" t="s">
        <v>4810</v>
      </c>
      <c r="D635" s="374">
        <v>1101112819005</v>
      </c>
      <c r="E635" s="372" t="s">
        <v>4811</v>
      </c>
      <c r="F635" s="375" t="s">
        <v>900</v>
      </c>
      <c r="G635" s="375" t="s">
        <v>901</v>
      </c>
      <c r="H635" s="375" t="s">
        <v>862</v>
      </c>
      <c r="I635" s="375" t="s">
        <v>755</v>
      </c>
      <c r="J635" s="375">
        <v>769496.37179</v>
      </c>
      <c r="K635" s="375">
        <v>75309.845520000003</v>
      </c>
      <c r="L635" s="375">
        <v>73242.843439999997</v>
      </c>
      <c r="M635" s="375">
        <v>1124279.98401</v>
      </c>
      <c r="N635" s="372">
        <v>0.66100000000000003</v>
      </c>
      <c r="O635" s="703">
        <v>46.109510699627975</v>
      </c>
      <c r="P635" s="375" t="s">
        <v>623</v>
      </c>
      <c r="Q635" s="375" t="s">
        <v>623</v>
      </c>
      <c r="R635" s="695">
        <v>20030730</v>
      </c>
      <c r="S635" s="375" t="s">
        <v>4812</v>
      </c>
      <c r="T635" s="696">
        <v>0.23100000000000001</v>
      </c>
      <c r="U635" s="375" t="s">
        <v>4813</v>
      </c>
      <c r="V635" s="722">
        <v>4.42</v>
      </c>
      <c r="W635" s="722">
        <v>0.27</v>
      </c>
      <c r="X635" s="722">
        <v>0.39</v>
      </c>
      <c r="Y635" s="722">
        <v>4.4800000000000004</v>
      </c>
      <c r="Z635" s="382" t="s">
        <v>934</v>
      </c>
      <c r="AA635" s="372">
        <v>5835.7473358999996</v>
      </c>
      <c r="AB635" s="372">
        <v>6414.9558562000002</v>
      </c>
      <c r="AC635" s="372">
        <v>6745.7920139999997</v>
      </c>
      <c r="AD635" s="372">
        <v>7694.9637179000001</v>
      </c>
      <c r="AE635" s="372">
        <v>0</v>
      </c>
      <c r="AF635" s="372">
        <v>0</v>
      </c>
      <c r="AG635" s="372">
        <v>0</v>
      </c>
      <c r="AH635" s="372">
        <v>0</v>
      </c>
    </row>
    <row r="636" spans="1:34">
      <c r="A636" s="372" t="s">
        <v>4814</v>
      </c>
      <c r="B636" s="373" t="s">
        <v>4815</v>
      </c>
      <c r="C636" s="372" t="s">
        <v>4816</v>
      </c>
      <c r="D636" s="374">
        <v>1101110360399</v>
      </c>
      <c r="E636" s="372" t="s">
        <v>4817</v>
      </c>
      <c r="F636" s="375" t="s">
        <v>1607</v>
      </c>
      <c r="G636" s="375" t="s">
        <v>1607</v>
      </c>
      <c r="H636" s="375" t="s">
        <v>953</v>
      </c>
      <c r="I636" s="375" t="s">
        <v>755</v>
      </c>
      <c r="J636" s="375">
        <v>1717423.18967</v>
      </c>
      <c r="K636" s="375">
        <v>-3200.6195899999998</v>
      </c>
      <c r="L636" s="375">
        <v>26511.016660000001</v>
      </c>
      <c r="M636" s="375">
        <v>1067796.74318</v>
      </c>
      <c r="N636" s="372">
        <v>0.63700000000000001</v>
      </c>
      <c r="O636" s="703">
        <v>25.331265356352972</v>
      </c>
      <c r="P636" s="375" t="s">
        <v>623</v>
      </c>
      <c r="Q636" s="375" t="s">
        <v>623</v>
      </c>
      <c r="R636" s="695">
        <v>19950818</v>
      </c>
      <c r="S636" s="375" t="s">
        <v>4818</v>
      </c>
      <c r="T636" s="696">
        <v>0.23100000000000001</v>
      </c>
      <c r="U636" s="372" t="s">
        <v>4819</v>
      </c>
      <c r="V636" s="722">
        <v>8.69</v>
      </c>
      <c r="W636" s="722">
        <v>0.28000000000000003</v>
      </c>
      <c r="X636" s="722">
        <v>0.18</v>
      </c>
      <c r="Y636" s="722">
        <v>15.34</v>
      </c>
      <c r="Z636" s="382" t="s">
        <v>934</v>
      </c>
      <c r="AA636" s="372">
        <v>12807.1087603</v>
      </c>
      <c r="AB636" s="372">
        <v>12778.444765</v>
      </c>
      <c r="AC636" s="372">
        <v>17244.5200429</v>
      </c>
      <c r="AD636" s="372">
        <v>17174.231896699999</v>
      </c>
      <c r="AE636" s="372">
        <v>14480</v>
      </c>
      <c r="AF636" s="372">
        <v>0</v>
      </c>
      <c r="AG636" s="372">
        <v>0</v>
      </c>
      <c r="AH636" s="372">
        <v>0</v>
      </c>
    </row>
    <row r="637" spans="1:34">
      <c r="A637" s="372" t="s">
        <v>4820</v>
      </c>
      <c r="B637" s="373" t="s">
        <v>4821</v>
      </c>
      <c r="C637" s="372" t="s">
        <v>4822</v>
      </c>
      <c r="D637" s="374">
        <v>1401110050944</v>
      </c>
      <c r="E637" s="372" t="s">
        <v>4823</v>
      </c>
      <c r="F637" s="375" t="s">
        <v>1124</v>
      </c>
      <c r="G637" s="375" t="s">
        <v>1347</v>
      </c>
      <c r="H637" s="375" t="s">
        <v>1348</v>
      </c>
      <c r="I637" s="375" t="s">
        <v>869</v>
      </c>
      <c r="J637" s="375">
        <v>0</v>
      </c>
      <c r="K637" s="375">
        <v>-13387.93723</v>
      </c>
      <c r="L637" s="375">
        <v>-14129.556269999999</v>
      </c>
      <c r="M637" s="375">
        <v>57747.482120000001</v>
      </c>
      <c r="N637" s="372">
        <v>1.2450000000000001</v>
      </c>
      <c r="O637" s="703">
        <v>1.8083862873524494</v>
      </c>
      <c r="P637" s="375" t="s">
        <v>623</v>
      </c>
      <c r="Q637" s="375" t="s">
        <v>623</v>
      </c>
      <c r="R637" s="695">
        <v>20220728</v>
      </c>
      <c r="S637" s="375" t="s">
        <v>4824</v>
      </c>
      <c r="T637" s="696" t="s">
        <v>772</v>
      </c>
      <c r="U637" s="375" t="s">
        <v>4825</v>
      </c>
      <c r="V637" s="722">
        <v>0</v>
      </c>
      <c r="W637" s="722">
        <v>6.3</v>
      </c>
      <c r="X637" s="722">
        <v>0</v>
      </c>
      <c r="Y637" s="722">
        <v>0</v>
      </c>
      <c r="Z637" s="382" t="s">
        <v>774</v>
      </c>
      <c r="AA637" s="372">
        <v>0</v>
      </c>
      <c r="AB637" s="372">
        <v>233.95944</v>
      </c>
      <c r="AC637" s="372">
        <v>2</v>
      </c>
      <c r="AD637" s="372">
        <v>0</v>
      </c>
      <c r="AE637" s="372">
        <v>0</v>
      </c>
      <c r="AF637" s="372">
        <v>0</v>
      </c>
      <c r="AG637" s="372">
        <v>0</v>
      </c>
      <c r="AH637" s="372">
        <v>0</v>
      </c>
    </row>
    <row r="638" spans="1:34">
      <c r="A638" s="372" t="s">
        <v>4826</v>
      </c>
      <c r="B638" s="373" t="s">
        <v>4827</v>
      </c>
      <c r="C638" s="372" t="s">
        <v>4828</v>
      </c>
      <c r="D638" s="374">
        <v>0</v>
      </c>
      <c r="E638" s="372" t="s">
        <v>4829</v>
      </c>
      <c r="F638" s="372" t="s">
        <v>1062</v>
      </c>
      <c r="G638" s="375" t="s">
        <v>1062</v>
      </c>
      <c r="H638" s="375">
        <v>0</v>
      </c>
      <c r="I638" s="375" t="s">
        <v>869</v>
      </c>
      <c r="J638" s="375">
        <v>348643.147</v>
      </c>
      <c r="K638" s="375">
        <v>21590.167000000001</v>
      </c>
      <c r="L638" s="375">
        <v>-5879.3459999999995</v>
      </c>
      <c r="M638" s="375">
        <v>587141.18299999996</v>
      </c>
      <c r="N638" s="372">
        <v>0.90600000000000003</v>
      </c>
      <c r="O638" s="703">
        <v>33.228541662413186</v>
      </c>
      <c r="P638" s="375" t="s">
        <v>623</v>
      </c>
      <c r="Q638" s="375" t="s">
        <v>623</v>
      </c>
      <c r="R638" s="695">
        <v>20130530</v>
      </c>
      <c r="S638" s="375" t="s">
        <v>4830</v>
      </c>
      <c r="T638" s="696" t="s">
        <v>772</v>
      </c>
      <c r="U638" s="375" t="s">
        <v>4831</v>
      </c>
      <c r="V638" s="722">
        <v>8.75</v>
      </c>
      <c r="W638" s="722">
        <v>0.53</v>
      </c>
      <c r="X638" s="722">
        <v>0.94</v>
      </c>
      <c r="Y638" s="722" t="s">
        <v>774</v>
      </c>
      <c r="Z638" s="382" t="s">
        <v>934</v>
      </c>
      <c r="AA638" s="372">
        <v>1217.9738</v>
      </c>
      <c r="AB638" s="372">
        <v>5051.1169499999996</v>
      </c>
      <c r="AC638" s="372">
        <v>10338.630939999999</v>
      </c>
      <c r="AD638" s="372">
        <v>3486.43147</v>
      </c>
      <c r="AE638" s="372">
        <v>0</v>
      </c>
      <c r="AF638" s="372">
        <v>0</v>
      </c>
      <c r="AG638" s="372">
        <v>0</v>
      </c>
      <c r="AH638" s="372">
        <v>0</v>
      </c>
    </row>
    <row r="639" spans="1:34">
      <c r="A639" s="372" t="s">
        <v>4832</v>
      </c>
      <c r="B639" s="373" t="s">
        <v>4833</v>
      </c>
      <c r="C639" s="372" t="s">
        <v>4834</v>
      </c>
      <c r="D639" s="374">
        <v>1101110822026</v>
      </c>
      <c r="E639" s="372" t="s">
        <v>4835</v>
      </c>
      <c r="F639" s="375" t="s">
        <v>1076</v>
      </c>
      <c r="G639" s="375" t="s">
        <v>1076</v>
      </c>
      <c r="H639" s="375" t="s">
        <v>3127</v>
      </c>
      <c r="I639" s="375" t="s">
        <v>869</v>
      </c>
      <c r="J639" s="375">
        <v>430447.19143000001</v>
      </c>
      <c r="K639" s="375">
        <v>12297.11672</v>
      </c>
      <c r="L639" s="375">
        <v>15085.403350000001</v>
      </c>
      <c r="M639" s="375">
        <v>244315.66044000001</v>
      </c>
      <c r="N639" s="372">
        <v>0.91400000000000003</v>
      </c>
      <c r="O639" s="703">
        <v>2.7393017744206287</v>
      </c>
      <c r="P639" s="375" t="s">
        <v>623</v>
      </c>
      <c r="Q639" s="375" t="s">
        <v>623</v>
      </c>
      <c r="R639" s="695">
        <v>19991222</v>
      </c>
      <c r="S639" s="375" t="s">
        <v>4836</v>
      </c>
      <c r="T639" s="696">
        <v>0.20900000000000002</v>
      </c>
      <c r="U639" s="372" t="s">
        <v>4837</v>
      </c>
      <c r="V639" s="722">
        <v>0</v>
      </c>
      <c r="W639" s="722">
        <v>1.2</v>
      </c>
      <c r="X639" s="722">
        <v>0</v>
      </c>
      <c r="Y639" s="722">
        <v>0</v>
      </c>
      <c r="Z639" s="382" t="s">
        <v>934</v>
      </c>
      <c r="AA639" s="372">
        <v>3493.1394117</v>
      </c>
      <c r="AB639" s="372">
        <v>4236.6428941000004</v>
      </c>
      <c r="AC639" s="372">
        <v>4641.6729023999997</v>
      </c>
      <c r="AD639" s="372">
        <v>4304.4719143000002</v>
      </c>
      <c r="AE639" s="372">
        <v>0</v>
      </c>
      <c r="AF639" s="372">
        <v>0</v>
      </c>
      <c r="AG639" s="372">
        <v>0</v>
      </c>
      <c r="AH639" s="372">
        <v>0</v>
      </c>
    </row>
    <row r="640" spans="1:34">
      <c r="A640" s="372" t="s">
        <v>4838</v>
      </c>
      <c r="B640" s="373" t="s">
        <v>4839</v>
      </c>
      <c r="C640" s="372" t="s">
        <v>4840</v>
      </c>
      <c r="D640" s="374">
        <v>1746110006492</v>
      </c>
      <c r="E640" s="372" t="s">
        <v>4841</v>
      </c>
      <c r="F640" s="372" t="s">
        <v>2112</v>
      </c>
      <c r="G640" s="375" t="s">
        <v>2112</v>
      </c>
      <c r="H640" s="375" t="s">
        <v>817</v>
      </c>
      <c r="I640" s="375" t="s">
        <v>755</v>
      </c>
      <c r="J640" s="375">
        <v>1158539.57968</v>
      </c>
      <c r="K640" s="375">
        <v>30632.298770000001</v>
      </c>
      <c r="L640" s="375">
        <v>33208.970269999998</v>
      </c>
      <c r="M640" s="375">
        <v>360149.38757000002</v>
      </c>
      <c r="N640" s="372">
        <v>1.5529999999999999</v>
      </c>
      <c r="O640" s="703">
        <v>16.754517436029577</v>
      </c>
      <c r="P640" s="375" t="s">
        <v>623</v>
      </c>
      <c r="Q640" s="375" t="s">
        <v>623</v>
      </c>
      <c r="R640" s="695">
        <v>20020816</v>
      </c>
      <c r="S640" s="375" t="s">
        <v>4842</v>
      </c>
      <c r="T640" s="696">
        <v>0.23100000000000001</v>
      </c>
      <c r="U640" s="375" t="s">
        <v>16015</v>
      </c>
      <c r="V640" s="722">
        <v>7.89</v>
      </c>
      <c r="W640" s="722">
        <v>0.95</v>
      </c>
      <c r="X640" s="722">
        <v>0.28999999999999998</v>
      </c>
      <c r="Y640" s="722">
        <v>13.71</v>
      </c>
      <c r="Z640" s="382" t="s">
        <v>934</v>
      </c>
      <c r="AA640" s="372">
        <v>9073.1945759999999</v>
      </c>
      <c r="AB640" s="372">
        <v>13472.7353872</v>
      </c>
      <c r="AC640" s="372">
        <v>12021.207387500001</v>
      </c>
      <c r="AD640" s="372">
        <v>11585.3957968</v>
      </c>
      <c r="AE640" s="372">
        <v>10950</v>
      </c>
      <c r="AF640" s="372">
        <v>11510</v>
      </c>
      <c r="AG640" s="372">
        <v>0</v>
      </c>
      <c r="AH640" s="372">
        <v>0</v>
      </c>
    </row>
    <row r="641" spans="1:34">
      <c r="A641" s="372" t="s">
        <v>4843</v>
      </c>
      <c r="B641" s="373" t="s">
        <v>4844</v>
      </c>
      <c r="C641" s="372" t="s">
        <v>4845</v>
      </c>
      <c r="D641" s="374">
        <v>1101110042278</v>
      </c>
      <c r="E641" s="372" t="s">
        <v>4846</v>
      </c>
      <c r="F641" s="375" t="s">
        <v>4847</v>
      </c>
      <c r="G641" s="375" t="s">
        <v>4848</v>
      </c>
      <c r="H641" s="375" t="s">
        <v>1327</v>
      </c>
      <c r="I641" s="375" t="s">
        <v>755</v>
      </c>
      <c r="J641" s="375">
        <v>2063074.6556800001</v>
      </c>
      <c r="K641" s="375">
        <v>128637.16638</v>
      </c>
      <c r="L641" s="375">
        <v>132306.72029</v>
      </c>
      <c r="M641" s="375">
        <v>710879.10696</v>
      </c>
      <c r="N641" s="372">
        <v>0.98799999999999999</v>
      </c>
      <c r="O641" s="703">
        <v>73.431895479958001</v>
      </c>
      <c r="P641" s="375" t="s">
        <v>623</v>
      </c>
      <c r="Q641" s="375" t="s">
        <v>623</v>
      </c>
      <c r="R641" s="695">
        <v>19760916</v>
      </c>
      <c r="S641" s="375" t="s">
        <v>4849</v>
      </c>
      <c r="T641" s="696">
        <v>0.23100000000000001</v>
      </c>
      <c r="U641" s="372" t="s">
        <v>16016</v>
      </c>
      <c r="V641" s="722">
        <v>2.79</v>
      </c>
      <c r="W641" s="722">
        <v>0.47</v>
      </c>
      <c r="X641" s="722">
        <v>0.14000000000000001</v>
      </c>
      <c r="Y641" s="722">
        <v>3.14</v>
      </c>
      <c r="Z641" s="382" t="s">
        <v>934</v>
      </c>
      <c r="AA641" s="372">
        <v>17181.040621700002</v>
      </c>
      <c r="AB641" s="372">
        <v>18136.947429200001</v>
      </c>
      <c r="AC641" s="372">
        <v>20187.526986699999</v>
      </c>
      <c r="AD641" s="372">
        <v>20630.746556800001</v>
      </c>
      <c r="AE641" s="372">
        <v>0</v>
      </c>
      <c r="AF641" s="372">
        <v>0</v>
      </c>
      <c r="AG641" s="372">
        <v>0</v>
      </c>
      <c r="AH641" s="372">
        <v>0</v>
      </c>
    </row>
    <row r="642" spans="1:34">
      <c r="A642" s="372" t="s">
        <v>4850</v>
      </c>
      <c r="B642" s="373" t="s">
        <v>4851</v>
      </c>
      <c r="C642" s="372" t="s">
        <v>4852</v>
      </c>
      <c r="D642" s="374">
        <v>1342110058902</v>
      </c>
      <c r="E642" s="372" t="s">
        <v>4853</v>
      </c>
      <c r="F642" s="375" t="s">
        <v>3266</v>
      </c>
      <c r="G642" s="375" t="s">
        <v>3266</v>
      </c>
      <c r="H642" s="375" t="s">
        <v>1388</v>
      </c>
      <c r="I642" s="375" t="s">
        <v>869</v>
      </c>
      <c r="J642" s="375">
        <v>65312.042849999998</v>
      </c>
      <c r="K642" s="375">
        <v>-41.858609999999999</v>
      </c>
      <c r="L642" s="375">
        <v>-1047.9655</v>
      </c>
      <c r="M642" s="375">
        <v>74774.455600000001</v>
      </c>
      <c r="N642" s="372">
        <v>0.97399999999999998</v>
      </c>
      <c r="O642" s="703">
        <v>18.962022345511482</v>
      </c>
      <c r="P642" s="375" t="s">
        <v>623</v>
      </c>
      <c r="Q642" s="372" t="s">
        <v>623</v>
      </c>
      <c r="R642" s="695">
        <v>20220303</v>
      </c>
      <c r="S642" s="372" t="s">
        <v>4854</v>
      </c>
      <c r="T642" s="696" t="s">
        <v>772</v>
      </c>
      <c r="U642" s="375" t="s">
        <v>4855</v>
      </c>
      <c r="V642" s="722">
        <v>56.9</v>
      </c>
      <c r="W642" s="722">
        <v>3.71</v>
      </c>
      <c r="X642" s="722">
        <v>4.22</v>
      </c>
      <c r="Y642" s="722">
        <v>222.83</v>
      </c>
      <c r="Z642" s="382">
        <v>5.8534814157034765E-2</v>
      </c>
      <c r="AA642" s="372">
        <v>473.43439999999998</v>
      </c>
      <c r="AB642" s="372">
        <v>642.78026360000001</v>
      </c>
      <c r="AC642" s="372">
        <v>820.50451299999997</v>
      </c>
      <c r="AD642" s="372">
        <v>653.1204285</v>
      </c>
      <c r="AE642" s="372">
        <v>807</v>
      </c>
      <c r="AF642" s="372">
        <v>999</v>
      </c>
      <c r="AG642" s="372">
        <v>820</v>
      </c>
      <c r="AH642" s="372">
        <v>1090</v>
      </c>
    </row>
    <row r="643" spans="1:34">
      <c r="A643" s="372" t="s">
        <v>4856</v>
      </c>
      <c r="B643" s="373" t="s">
        <v>4857</v>
      </c>
      <c r="C643" s="372" t="s">
        <v>4858</v>
      </c>
      <c r="D643" s="374">
        <v>1101110037112</v>
      </c>
      <c r="E643" s="372" t="s">
        <v>4859</v>
      </c>
      <c r="F643" s="375" t="s">
        <v>1272</v>
      </c>
      <c r="G643" s="375" t="s">
        <v>1273</v>
      </c>
      <c r="H643" s="375" t="s">
        <v>1274</v>
      </c>
      <c r="I643" s="375" t="s">
        <v>755</v>
      </c>
      <c r="J643" s="375">
        <v>262262.47459</v>
      </c>
      <c r="K643" s="375">
        <v>13097.857609999999</v>
      </c>
      <c r="L643" s="375">
        <v>5881.44236</v>
      </c>
      <c r="M643" s="375">
        <v>647238.47823000001</v>
      </c>
      <c r="N643" s="372">
        <v>0.92</v>
      </c>
      <c r="O643" s="703">
        <v>1252.9907325023719</v>
      </c>
      <c r="P643" s="375" t="s">
        <v>623</v>
      </c>
      <c r="Q643" s="375" t="s">
        <v>623</v>
      </c>
      <c r="R643" s="695">
        <v>19860920</v>
      </c>
      <c r="S643" s="375" t="s">
        <v>4860</v>
      </c>
      <c r="T643" s="696">
        <v>0.20900000000000002</v>
      </c>
      <c r="U643" s="375" t="s">
        <v>4861</v>
      </c>
      <c r="V643" s="722">
        <v>0</v>
      </c>
      <c r="W643" s="722">
        <v>0.45</v>
      </c>
      <c r="X643" s="722">
        <v>0.27</v>
      </c>
      <c r="Y643" s="722">
        <v>119.72</v>
      </c>
      <c r="Z643" s="382" t="s">
        <v>934</v>
      </c>
      <c r="AA643" s="372">
        <v>2371.5841814</v>
      </c>
      <c r="AB643" s="372">
        <v>3400.4232889</v>
      </c>
      <c r="AC643" s="372">
        <v>2867.1507000000001</v>
      </c>
      <c r="AD643" s="372">
        <v>2622.6247459000001</v>
      </c>
      <c r="AE643" s="372">
        <v>0</v>
      </c>
      <c r="AF643" s="372">
        <v>0</v>
      </c>
      <c r="AG643" s="372">
        <v>0</v>
      </c>
      <c r="AH643" s="372">
        <v>0</v>
      </c>
    </row>
    <row r="644" spans="1:34">
      <c r="A644" s="372" t="s">
        <v>4862</v>
      </c>
      <c r="B644" s="373" t="s">
        <v>4863</v>
      </c>
      <c r="C644" s="372" t="s">
        <v>4864</v>
      </c>
      <c r="D644" s="374">
        <v>2842110063231</v>
      </c>
      <c r="E644" s="372" t="s">
        <v>4865</v>
      </c>
      <c r="F644" s="375" t="s">
        <v>1124</v>
      </c>
      <c r="G644" s="375" t="s">
        <v>1347</v>
      </c>
      <c r="H644" s="375" t="s">
        <v>1348</v>
      </c>
      <c r="I644" s="375" t="s">
        <v>869</v>
      </c>
      <c r="J644" s="375">
        <v>52814.06237</v>
      </c>
      <c r="K644" s="375">
        <v>-1276.2006699999999</v>
      </c>
      <c r="L644" s="375">
        <v>325.66390000000001</v>
      </c>
      <c r="M644" s="375">
        <v>103572.99586</v>
      </c>
      <c r="N644" s="372">
        <v>1.466</v>
      </c>
      <c r="O644" s="703">
        <v>19.091566811037424</v>
      </c>
      <c r="P644" s="375" t="s">
        <v>623</v>
      </c>
      <c r="Q644" s="372" t="s">
        <v>623</v>
      </c>
      <c r="R644" s="695">
        <v>20191127</v>
      </c>
      <c r="S644" s="375" t="s">
        <v>4866</v>
      </c>
      <c r="T644" s="696">
        <v>0.20900000000000002</v>
      </c>
      <c r="U644" s="375" t="s">
        <v>16017</v>
      </c>
      <c r="V644" s="722">
        <v>111.32</v>
      </c>
      <c r="W644" s="722">
        <v>2.36</v>
      </c>
      <c r="X644" s="722">
        <v>4.5999999999999996</v>
      </c>
      <c r="Y644" s="722" t="s">
        <v>774</v>
      </c>
      <c r="Z644" s="382" t="s">
        <v>934</v>
      </c>
      <c r="AA644" s="372">
        <v>585.19826409999996</v>
      </c>
      <c r="AB644" s="372">
        <v>644.03026839999995</v>
      </c>
      <c r="AC644" s="372">
        <v>862.77023440000005</v>
      </c>
      <c r="AD644" s="372">
        <v>528.14062369999999</v>
      </c>
      <c r="AE644" s="372">
        <v>0</v>
      </c>
      <c r="AF644" s="372">
        <v>0</v>
      </c>
      <c r="AG644" s="372">
        <v>0</v>
      </c>
      <c r="AH644" s="372">
        <v>0</v>
      </c>
    </row>
    <row r="645" spans="1:34">
      <c r="A645" s="372" t="s">
        <v>4867</v>
      </c>
      <c r="B645" s="373" t="s">
        <v>4868</v>
      </c>
      <c r="C645" s="372" t="s">
        <v>4869</v>
      </c>
      <c r="D645" s="374">
        <v>1801110002591</v>
      </c>
      <c r="E645" s="372" t="s">
        <v>4870</v>
      </c>
      <c r="F645" s="375" t="s">
        <v>4871</v>
      </c>
      <c r="G645" s="375" t="s">
        <v>4872</v>
      </c>
      <c r="H645" s="375" t="s">
        <v>832</v>
      </c>
      <c r="I645" s="375" t="s">
        <v>755</v>
      </c>
      <c r="J645" s="375">
        <v>320486.20500000002</v>
      </c>
      <c r="K645" s="375">
        <v>42296.587919999998</v>
      </c>
      <c r="L645" s="375">
        <v>48074.046699999999</v>
      </c>
      <c r="M645" s="375">
        <v>126150.25526000001</v>
      </c>
      <c r="N645" s="372">
        <v>0.45100000000000001</v>
      </c>
      <c r="O645" s="703">
        <v>0.1856863500639841</v>
      </c>
      <c r="P645" s="375" t="s">
        <v>623</v>
      </c>
      <c r="Q645" s="375" t="s">
        <v>623</v>
      </c>
      <c r="R645" s="695">
        <v>19880810</v>
      </c>
      <c r="S645" s="375" t="s">
        <v>4873</v>
      </c>
      <c r="T645" s="696">
        <v>0.23100000000000001</v>
      </c>
      <c r="U645" s="372" t="s">
        <v>4874</v>
      </c>
      <c r="V645" s="722">
        <v>0</v>
      </c>
      <c r="W645" s="722">
        <v>2.33</v>
      </c>
      <c r="X645" s="722">
        <v>0</v>
      </c>
      <c r="Y645" s="722">
        <v>0</v>
      </c>
      <c r="Z645" s="382" t="s">
        <v>934</v>
      </c>
      <c r="AA645" s="372">
        <v>2003.3494694999999</v>
      </c>
      <c r="AB645" s="372">
        <v>2413.8807443000001</v>
      </c>
      <c r="AC645" s="372">
        <v>3016.421992</v>
      </c>
      <c r="AD645" s="372">
        <v>3204.8620500000002</v>
      </c>
      <c r="AE645" s="372">
        <v>0</v>
      </c>
      <c r="AF645" s="372">
        <v>0</v>
      </c>
      <c r="AG645" s="372">
        <v>0</v>
      </c>
      <c r="AH645" s="372">
        <v>0</v>
      </c>
    </row>
    <row r="646" spans="1:34">
      <c r="A646" s="372" t="s">
        <v>4875</v>
      </c>
      <c r="B646" s="373" t="s">
        <v>4876</v>
      </c>
      <c r="C646" s="372" t="s">
        <v>4877</v>
      </c>
      <c r="D646" s="374">
        <v>1201110018368</v>
      </c>
      <c r="E646" s="372" t="s">
        <v>4878</v>
      </c>
      <c r="F646" s="375" t="s">
        <v>4879</v>
      </c>
      <c r="G646" s="375" t="s">
        <v>4879</v>
      </c>
      <c r="H646" s="375" t="s">
        <v>1327</v>
      </c>
      <c r="I646" s="375" t="s">
        <v>755</v>
      </c>
      <c r="J646" s="375">
        <v>1332349.8840000001</v>
      </c>
      <c r="K646" s="375">
        <v>47216.91</v>
      </c>
      <c r="L646" s="375">
        <v>42161.182999999997</v>
      </c>
      <c r="M646" s="375">
        <v>554590.56099999999</v>
      </c>
      <c r="N646" s="372">
        <v>1</v>
      </c>
      <c r="O646" s="703">
        <v>138.32334315362996</v>
      </c>
      <c r="P646" s="375" t="s">
        <v>623</v>
      </c>
      <c r="Q646" s="375" t="s">
        <v>623</v>
      </c>
      <c r="R646" s="695">
        <v>19681227</v>
      </c>
      <c r="S646" s="375" t="s">
        <v>4880</v>
      </c>
      <c r="T646" s="696">
        <v>0.23100000000000001</v>
      </c>
      <c r="U646" s="372" t="s">
        <v>4881</v>
      </c>
      <c r="V646" s="722">
        <v>7.84</v>
      </c>
      <c r="W646" s="722">
        <v>0.55000000000000004</v>
      </c>
      <c r="X646" s="722">
        <v>0.23</v>
      </c>
      <c r="Y646" s="722">
        <v>9.39</v>
      </c>
      <c r="Z646" s="382" t="s">
        <v>934</v>
      </c>
      <c r="AA646" s="372">
        <v>12144.52231</v>
      </c>
      <c r="AB646" s="372">
        <v>12613.493329999999</v>
      </c>
      <c r="AC646" s="372">
        <v>13780.75519</v>
      </c>
      <c r="AD646" s="372">
        <v>13323.49884</v>
      </c>
      <c r="AE646" s="372">
        <v>0</v>
      </c>
      <c r="AF646" s="372">
        <v>0</v>
      </c>
      <c r="AG646" s="372">
        <v>0</v>
      </c>
      <c r="AH646" s="372">
        <v>0</v>
      </c>
    </row>
    <row r="647" spans="1:34">
      <c r="A647" s="372" t="s">
        <v>4882</v>
      </c>
      <c r="B647" s="373" t="s">
        <v>4883</v>
      </c>
      <c r="C647" s="372" t="s">
        <v>4884</v>
      </c>
      <c r="D647" s="374">
        <v>1101110582547</v>
      </c>
      <c r="E647" s="372" t="s">
        <v>4885</v>
      </c>
      <c r="F647" s="372" t="s">
        <v>3039</v>
      </c>
      <c r="G647" s="375" t="s">
        <v>3039</v>
      </c>
      <c r="H647" s="375" t="s">
        <v>1348</v>
      </c>
      <c r="I647" s="375" t="s">
        <v>869</v>
      </c>
      <c r="J647" s="375">
        <v>1026166.72374</v>
      </c>
      <c r="K647" s="375">
        <v>85109.617530000003</v>
      </c>
      <c r="L647" s="375">
        <v>95878.585919999998</v>
      </c>
      <c r="M647" s="375">
        <v>533280.34998000006</v>
      </c>
      <c r="N647" s="372">
        <v>0.751</v>
      </c>
      <c r="O647" s="703">
        <v>0</v>
      </c>
      <c r="P647" s="375" t="s">
        <v>623</v>
      </c>
      <c r="Q647" s="372" t="s">
        <v>623</v>
      </c>
      <c r="R647" s="695">
        <v>20000829</v>
      </c>
      <c r="S647" s="372" t="s">
        <v>4886</v>
      </c>
      <c r="T647" s="696">
        <v>0.23100000000000001</v>
      </c>
      <c r="U647" s="372" t="s">
        <v>4887</v>
      </c>
      <c r="V647" s="722">
        <v>2.88</v>
      </c>
      <c r="W647" s="722">
        <v>0.51</v>
      </c>
      <c r="X647" s="722">
        <v>0.27</v>
      </c>
      <c r="Y647" s="722">
        <v>3.61</v>
      </c>
      <c r="Z647" s="382" t="s">
        <v>934</v>
      </c>
      <c r="AA647" s="372">
        <v>7584.6656118000001</v>
      </c>
      <c r="AB647" s="372">
        <v>8910.3185878999993</v>
      </c>
      <c r="AC647" s="372">
        <v>11628.9266358</v>
      </c>
      <c r="AD647" s="372">
        <v>10261.667237400001</v>
      </c>
      <c r="AE647" s="372">
        <v>0</v>
      </c>
      <c r="AF647" s="372">
        <v>0</v>
      </c>
      <c r="AG647" s="372">
        <v>0</v>
      </c>
      <c r="AH647" s="372">
        <v>0</v>
      </c>
    </row>
    <row r="648" spans="1:34">
      <c r="A648" s="372" t="s">
        <v>4888</v>
      </c>
      <c r="B648" s="373" t="s">
        <v>4889</v>
      </c>
      <c r="C648" s="372" t="s">
        <v>4890</v>
      </c>
      <c r="D648" s="374">
        <v>1101110335912</v>
      </c>
      <c r="E648" s="372" t="s">
        <v>4891</v>
      </c>
      <c r="F648" s="372" t="s">
        <v>4892</v>
      </c>
      <c r="G648" s="375" t="s">
        <v>4893</v>
      </c>
      <c r="H648" s="375" t="s">
        <v>4894</v>
      </c>
      <c r="I648" s="375" t="s">
        <v>869</v>
      </c>
      <c r="J648" s="375">
        <v>1441907.75043</v>
      </c>
      <c r="K648" s="375">
        <v>228215.35912000001</v>
      </c>
      <c r="L648" s="375">
        <v>160176.68754000001</v>
      </c>
      <c r="M648" s="375">
        <v>843672.00678000005</v>
      </c>
      <c r="N648" s="372">
        <v>0.97699999999999998</v>
      </c>
      <c r="O648" s="703">
        <v>44.568027383337913</v>
      </c>
      <c r="P648" s="375" t="s">
        <v>623</v>
      </c>
      <c r="Q648" s="375" t="s">
        <v>623</v>
      </c>
      <c r="R648" s="695">
        <v>19991222</v>
      </c>
      <c r="S648" s="375" t="s">
        <v>4895</v>
      </c>
      <c r="T648" s="696">
        <v>0.23100000000000001</v>
      </c>
      <c r="U648" s="372" t="s">
        <v>4896</v>
      </c>
      <c r="V648" s="722">
        <v>1.22</v>
      </c>
      <c r="W648" s="722">
        <v>0.35</v>
      </c>
      <c r="X648" s="722">
        <v>0.22</v>
      </c>
      <c r="Y648" s="722">
        <v>2.23</v>
      </c>
      <c r="Z648" s="382" t="s">
        <v>934</v>
      </c>
      <c r="AA648" s="372">
        <v>12783.1308025</v>
      </c>
      <c r="AB648" s="372">
        <v>13299.6071569</v>
      </c>
      <c r="AC648" s="372">
        <v>14376.689885399999</v>
      </c>
      <c r="AD648" s="372">
        <v>14419.077504299999</v>
      </c>
      <c r="AE648" s="372">
        <v>0</v>
      </c>
      <c r="AF648" s="372">
        <v>0</v>
      </c>
      <c r="AG648" s="372">
        <v>0</v>
      </c>
      <c r="AH648" s="372">
        <v>0</v>
      </c>
    </row>
    <row r="649" spans="1:34">
      <c r="A649" s="372" t="s">
        <v>4897</v>
      </c>
      <c r="B649" s="373" t="s">
        <v>4898</v>
      </c>
      <c r="C649" s="372" t="s">
        <v>4899</v>
      </c>
      <c r="D649" s="374">
        <v>1341110067418</v>
      </c>
      <c r="E649" s="372" t="s">
        <v>4900</v>
      </c>
      <c r="F649" s="375" t="s">
        <v>779</v>
      </c>
      <c r="G649" s="375" t="s">
        <v>779</v>
      </c>
      <c r="H649" s="375" t="s">
        <v>1388</v>
      </c>
      <c r="I649" s="375" t="s">
        <v>869</v>
      </c>
      <c r="J649" s="375">
        <v>54964.094319999997</v>
      </c>
      <c r="K649" s="375">
        <v>3036.2064700000001</v>
      </c>
      <c r="L649" s="375">
        <v>1691.36808</v>
      </c>
      <c r="M649" s="375">
        <v>64263.635690000003</v>
      </c>
      <c r="N649" s="372">
        <v>1.1950000000000001</v>
      </c>
      <c r="O649" s="703">
        <v>20.315332533804789</v>
      </c>
      <c r="P649" s="375" t="s">
        <v>623</v>
      </c>
      <c r="Q649" s="375" t="s">
        <v>623</v>
      </c>
      <c r="R649" s="695">
        <v>20130701</v>
      </c>
      <c r="S649" s="375" t="s">
        <v>4901</v>
      </c>
      <c r="T649" s="696">
        <v>0.20900000000000002</v>
      </c>
      <c r="U649" s="375" t="s">
        <v>4902</v>
      </c>
      <c r="V649" s="722">
        <v>37.51</v>
      </c>
      <c r="W649" s="722">
        <v>3.93</v>
      </c>
      <c r="X649" s="722">
        <v>4.8899999999999997</v>
      </c>
      <c r="Y649" s="722">
        <v>135.91</v>
      </c>
      <c r="Z649" s="382">
        <v>0.39867193303156312</v>
      </c>
      <c r="AA649" s="372">
        <v>466.90215449999999</v>
      </c>
      <c r="AB649" s="372">
        <v>489.58076349999999</v>
      </c>
      <c r="AC649" s="372">
        <v>706.56753549999996</v>
      </c>
      <c r="AD649" s="372">
        <v>549.64094320000004</v>
      </c>
      <c r="AE649" s="372">
        <v>691</v>
      </c>
      <c r="AF649" s="372">
        <v>873</v>
      </c>
      <c r="AG649" s="372">
        <v>2103.5</v>
      </c>
      <c r="AH649" s="372">
        <v>0</v>
      </c>
    </row>
    <row r="650" spans="1:34">
      <c r="A650" s="372" t="s">
        <v>4903</v>
      </c>
      <c r="B650" s="373" t="s">
        <v>4904</v>
      </c>
      <c r="C650" s="372" t="s">
        <v>4905</v>
      </c>
      <c r="D650" s="374">
        <v>1101110111867</v>
      </c>
      <c r="E650" s="372" t="s">
        <v>4906</v>
      </c>
      <c r="F650" s="375" t="s">
        <v>1479</v>
      </c>
      <c r="G650" s="375" t="s">
        <v>1480</v>
      </c>
      <c r="H650" s="375" t="s">
        <v>1481</v>
      </c>
      <c r="I650" s="375" t="s">
        <v>755</v>
      </c>
      <c r="J650" s="375">
        <v>504671.27646999998</v>
      </c>
      <c r="K650" s="375">
        <v>48003.342929999999</v>
      </c>
      <c r="L650" s="375">
        <v>41720.610990000001</v>
      </c>
      <c r="M650" s="375">
        <v>390980.85823999997</v>
      </c>
      <c r="N650" s="372">
        <v>0.95399999999999996</v>
      </c>
      <c r="O650" s="703">
        <v>109.56624437865123</v>
      </c>
      <c r="P650" s="375" t="s">
        <v>623</v>
      </c>
      <c r="Q650" s="372" t="s">
        <v>623</v>
      </c>
      <c r="R650" s="695">
        <v>19751226</v>
      </c>
      <c r="S650" s="372" t="s">
        <v>4907</v>
      </c>
      <c r="T650" s="696">
        <v>0.23100000000000001</v>
      </c>
      <c r="U650" s="372" t="s">
        <v>4908</v>
      </c>
      <c r="V650" s="722">
        <v>0</v>
      </c>
      <c r="W650" s="722">
        <v>0.77</v>
      </c>
      <c r="X650" s="722">
        <v>0</v>
      </c>
      <c r="Y650" s="722">
        <v>0</v>
      </c>
      <c r="Z650" s="382" t="s">
        <v>934</v>
      </c>
      <c r="AA650" s="372">
        <v>3342.6770351</v>
      </c>
      <c r="AB650" s="372">
        <v>3969.8354718999999</v>
      </c>
      <c r="AC650" s="372">
        <v>4711.5017356999997</v>
      </c>
      <c r="AD650" s="372">
        <v>5046.7127646999998</v>
      </c>
      <c r="AE650" s="372">
        <v>0</v>
      </c>
      <c r="AF650" s="372">
        <v>0</v>
      </c>
      <c r="AG650" s="372">
        <v>0</v>
      </c>
      <c r="AH650" s="372">
        <v>0</v>
      </c>
    </row>
    <row r="651" spans="1:34">
      <c r="A651" s="372" t="s">
        <v>4909</v>
      </c>
      <c r="B651" s="373" t="s">
        <v>4910</v>
      </c>
      <c r="C651" s="372" t="s">
        <v>4911</v>
      </c>
      <c r="D651" s="374">
        <v>1801110602507</v>
      </c>
      <c r="E651" s="372" t="s">
        <v>4912</v>
      </c>
      <c r="F651" s="375" t="s">
        <v>1395</v>
      </c>
      <c r="G651" s="375" t="s">
        <v>1396</v>
      </c>
      <c r="H651" s="375" t="s">
        <v>1397</v>
      </c>
      <c r="I651" s="375" t="s">
        <v>755</v>
      </c>
      <c r="J651" s="375">
        <v>2162073</v>
      </c>
      <c r="K651" s="375">
        <v>-108787</v>
      </c>
      <c r="L651" s="375">
        <v>-103401</v>
      </c>
      <c r="M651" s="375">
        <v>340912</v>
      </c>
      <c r="N651" s="372">
        <v>0.874</v>
      </c>
      <c r="O651" s="703">
        <v>294.21308171430962</v>
      </c>
      <c r="P651" s="375" t="s">
        <v>623</v>
      </c>
      <c r="Q651" s="375" t="s">
        <v>623</v>
      </c>
      <c r="R651" s="695">
        <v>20070831</v>
      </c>
      <c r="S651" s="375" t="s">
        <v>4913</v>
      </c>
      <c r="T651" s="696" t="s">
        <v>772</v>
      </c>
      <c r="U651" s="372" t="s">
        <v>16018</v>
      </c>
      <c r="V651" s="722" t="s">
        <v>774</v>
      </c>
      <c r="W651" s="722">
        <v>1.08</v>
      </c>
      <c r="X651" s="722">
        <v>0.17</v>
      </c>
      <c r="Y651" s="722" t="s">
        <v>774</v>
      </c>
      <c r="Z651" s="382" t="s">
        <v>934</v>
      </c>
      <c r="AA651" s="372">
        <v>16958.150000000001</v>
      </c>
      <c r="AB651" s="372">
        <v>17065.32</v>
      </c>
      <c r="AC651" s="372">
        <v>17881.63</v>
      </c>
      <c r="AD651" s="372">
        <v>21620.73</v>
      </c>
      <c r="AE651" s="372">
        <v>0</v>
      </c>
      <c r="AF651" s="372">
        <v>0</v>
      </c>
      <c r="AG651" s="372">
        <v>0</v>
      </c>
      <c r="AH651" s="372">
        <v>0</v>
      </c>
    </row>
    <row r="652" spans="1:34">
      <c r="A652" s="372" t="s">
        <v>4914</v>
      </c>
      <c r="B652" s="373" t="s">
        <v>4915</v>
      </c>
      <c r="C652" s="372" t="s">
        <v>4916</v>
      </c>
      <c r="D652" s="374">
        <v>1101114324127</v>
      </c>
      <c r="E652" s="372" t="s">
        <v>4917</v>
      </c>
      <c r="F652" s="372" t="s">
        <v>4918</v>
      </c>
      <c r="G652" s="375" t="s">
        <v>4919</v>
      </c>
      <c r="H652" s="375" t="s">
        <v>868</v>
      </c>
      <c r="I652" s="375" t="s">
        <v>869</v>
      </c>
      <c r="J652" s="375">
        <v>348281.45104000001</v>
      </c>
      <c r="K652" s="375">
        <v>58796.177640000002</v>
      </c>
      <c r="L652" s="375">
        <v>60232.068350000001</v>
      </c>
      <c r="M652" s="375">
        <v>264897.70484000002</v>
      </c>
      <c r="N652" s="372">
        <v>1.216</v>
      </c>
      <c r="O652" s="703">
        <v>1.0628592165178061</v>
      </c>
      <c r="P652" s="375" t="s">
        <v>623</v>
      </c>
      <c r="Q652" s="375" t="s">
        <v>623</v>
      </c>
      <c r="R652" s="695">
        <v>20100910</v>
      </c>
      <c r="S652" s="375" t="s">
        <v>4920</v>
      </c>
      <c r="T652" s="696">
        <v>0.23100000000000001</v>
      </c>
      <c r="U652" s="372" t="s">
        <v>4921</v>
      </c>
      <c r="V652" s="722">
        <v>5.13</v>
      </c>
      <c r="W652" s="722">
        <v>1.0900000000000001</v>
      </c>
      <c r="X652" s="722">
        <v>0.83</v>
      </c>
      <c r="Y652" s="722">
        <v>6.29</v>
      </c>
      <c r="Z652" s="382" t="s">
        <v>934</v>
      </c>
      <c r="AA652" s="372">
        <v>1831.9791963</v>
      </c>
      <c r="AB652" s="372">
        <v>2728.9632507000001</v>
      </c>
      <c r="AC652" s="372">
        <v>1976.7798427</v>
      </c>
      <c r="AD652" s="372">
        <v>3482.8145104</v>
      </c>
      <c r="AE652" s="372">
        <v>3821.5</v>
      </c>
      <c r="AF652" s="372">
        <v>4216.5</v>
      </c>
      <c r="AG652" s="372">
        <v>0</v>
      </c>
      <c r="AH652" s="372">
        <v>0</v>
      </c>
    </row>
    <row r="653" spans="1:34">
      <c r="A653" s="372" t="s">
        <v>4922</v>
      </c>
      <c r="B653" s="373" t="s">
        <v>4923</v>
      </c>
      <c r="C653" s="372" t="s">
        <v>4924</v>
      </c>
      <c r="D653" s="374">
        <v>1348110109828</v>
      </c>
      <c r="E653" s="372" t="s">
        <v>4925</v>
      </c>
      <c r="F653" s="375" t="s">
        <v>1195</v>
      </c>
      <c r="G653" s="375" t="s">
        <v>1195</v>
      </c>
      <c r="H653" s="375" t="s">
        <v>1388</v>
      </c>
      <c r="I653" s="375" t="s">
        <v>869</v>
      </c>
      <c r="J653" s="375">
        <v>123932.72788000001</v>
      </c>
      <c r="K653" s="375">
        <v>8216.7968700000001</v>
      </c>
      <c r="L653" s="375">
        <v>1804.3358900000001</v>
      </c>
      <c r="M653" s="375">
        <v>151877.71585000001</v>
      </c>
      <c r="N653" s="372">
        <v>1.2410000000000001</v>
      </c>
      <c r="O653" s="703">
        <v>11.832234602906269</v>
      </c>
      <c r="P653" s="375" t="s">
        <v>623</v>
      </c>
      <c r="Q653" s="375" t="s">
        <v>623</v>
      </c>
      <c r="R653" s="695">
        <v>20130207</v>
      </c>
      <c r="S653" s="375" t="s">
        <v>4926</v>
      </c>
      <c r="T653" s="696">
        <v>0.20900000000000002</v>
      </c>
      <c r="U653" s="375" t="s">
        <v>16019</v>
      </c>
      <c r="V653" s="722">
        <v>18.28</v>
      </c>
      <c r="W653" s="722">
        <v>1.79</v>
      </c>
      <c r="X653" s="722">
        <v>2.34</v>
      </c>
      <c r="Y653" s="722">
        <v>136.31</v>
      </c>
      <c r="Z653" s="382">
        <v>0.12298809902587493</v>
      </c>
      <c r="AA653" s="372">
        <v>1462.6504600000001</v>
      </c>
      <c r="AB653" s="372">
        <v>1636.6740066</v>
      </c>
      <c r="AC653" s="372">
        <v>1639.1236452000001</v>
      </c>
      <c r="AD653" s="372">
        <v>1239.3272787999999</v>
      </c>
      <c r="AE653" s="372">
        <v>1517</v>
      </c>
      <c r="AF653" s="372">
        <v>1719</v>
      </c>
      <c r="AG653" s="372">
        <v>1971</v>
      </c>
      <c r="AH653" s="372">
        <v>0</v>
      </c>
    </row>
    <row r="654" spans="1:34">
      <c r="A654" s="372" t="s">
        <v>4927</v>
      </c>
      <c r="B654" s="373" t="s">
        <v>4928</v>
      </c>
      <c r="C654" s="372" t="s">
        <v>4929</v>
      </c>
      <c r="D654" s="374">
        <v>1101110703210</v>
      </c>
      <c r="E654" s="372" t="s">
        <v>4930</v>
      </c>
      <c r="F654" s="375" t="s">
        <v>2207</v>
      </c>
      <c r="G654" s="375" t="s">
        <v>4931</v>
      </c>
      <c r="H654" s="375" t="s">
        <v>2079</v>
      </c>
      <c r="I654" s="375" t="s">
        <v>755</v>
      </c>
      <c r="J654" s="375">
        <v>727022.21877000004</v>
      </c>
      <c r="K654" s="375">
        <v>66380.698420000001</v>
      </c>
      <c r="L654" s="375">
        <v>82537.215790000002</v>
      </c>
      <c r="M654" s="375">
        <v>864919.79088999995</v>
      </c>
      <c r="N654" s="372">
        <v>1.07</v>
      </c>
      <c r="O654" s="703">
        <v>13.11551038248786</v>
      </c>
      <c r="P654" s="375" t="s">
        <v>623</v>
      </c>
      <c r="Q654" s="372" t="s">
        <v>623</v>
      </c>
      <c r="R654" s="695">
        <v>19960902</v>
      </c>
      <c r="S654" s="372" t="s">
        <v>4932</v>
      </c>
      <c r="T654" s="696">
        <v>0.23100000000000001</v>
      </c>
      <c r="U654" s="375" t="s">
        <v>4933</v>
      </c>
      <c r="V654" s="722">
        <v>3.98</v>
      </c>
      <c r="W654" s="722">
        <v>0.32</v>
      </c>
      <c r="X654" s="722">
        <v>0.34</v>
      </c>
      <c r="Y654" s="722">
        <v>5.25</v>
      </c>
      <c r="Z654" s="382" t="s">
        <v>934</v>
      </c>
      <c r="AA654" s="372">
        <v>5763.659267</v>
      </c>
      <c r="AB654" s="372">
        <v>5537.6339452000002</v>
      </c>
      <c r="AC654" s="372">
        <v>8579.7365525000005</v>
      </c>
      <c r="AD654" s="372">
        <v>7270.2221877000002</v>
      </c>
      <c r="AE654" s="372">
        <v>0</v>
      </c>
      <c r="AF654" s="372">
        <v>0</v>
      </c>
      <c r="AG654" s="372">
        <v>0</v>
      </c>
      <c r="AH654" s="372">
        <v>0</v>
      </c>
    </row>
    <row r="655" spans="1:34">
      <c r="A655" s="372" t="s">
        <v>4934</v>
      </c>
      <c r="B655" s="373" t="s">
        <v>4935</v>
      </c>
      <c r="C655" s="372" t="s">
        <v>4936</v>
      </c>
      <c r="D655" s="374">
        <v>1101115633585</v>
      </c>
      <c r="E655" s="372" t="s">
        <v>4937</v>
      </c>
      <c r="F655" s="375" t="s">
        <v>1768</v>
      </c>
      <c r="G655" s="375" t="s">
        <v>1768</v>
      </c>
      <c r="H655" s="375" t="s">
        <v>868</v>
      </c>
      <c r="I655" s="375" t="s">
        <v>869</v>
      </c>
      <c r="J655" s="375">
        <v>92438.893330000006</v>
      </c>
      <c r="K655" s="375">
        <v>-148.83533</v>
      </c>
      <c r="L655" s="375">
        <v>-852.04882999999995</v>
      </c>
      <c r="M655" s="375">
        <v>84594.30154</v>
      </c>
      <c r="N655" s="372">
        <v>1.226</v>
      </c>
      <c r="O655" s="703">
        <v>22.794405782189777</v>
      </c>
      <c r="P655" s="375" t="s">
        <v>623</v>
      </c>
      <c r="Q655" s="372" t="s">
        <v>623</v>
      </c>
      <c r="R655" s="695">
        <v>20150420</v>
      </c>
      <c r="S655" s="372" t="s">
        <v>4938</v>
      </c>
      <c r="T655" s="696" t="s">
        <v>772</v>
      </c>
      <c r="U655" s="372" t="s">
        <v>4939</v>
      </c>
      <c r="V655" s="722">
        <v>43.29</v>
      </c>
      <c r="W655" s="722">
        <v>3.9</v>
      </c>
      <c r="X655" s="722">
        <v>3.56</v>
      </c>
      <c r="Y655" s="722" t="s">
        <v>774</v>
      </c>
      <c r="Z655" s="382" t="s">
        <v>934</v>
      </c>
      <c r="AA655" s="372">
        <v>552.68488879999995</v>
      </c>
      <c r="AB655" s="372">
        <v>702.77277240000001</v>
      </c>
      <c r="AC655" s="372">
        <v>894.81004310000003</v>
      </c>
      <c r="AD655" s="372">
        <v>924.38893329999996</v>
      </c>
      <c r="AE655" s="372">
        <v>1676</v>
      </c>
      <c r="AF655" s="372">
        <v>2230</v>
      </c>
      <c r="AG655" s="372">
        <v>0</v>
      </c>
      <c r="AH655" s="372">
        <v>0</v>
      </c>
    </row>
    <row r="656" spans="1:34">
      <c r="A656" s="372" t="s">
        <v>4940</v>
      </c>
      <c r="B656" s="373" t="s">
        <v>4941</v>
      </c>
      <c r="C656" s="372" t="s">
        <v>4942</v>
      </c>
      <c r="D656" s="374">
        <v>2849110065613</v>
      </c>
      <c r="E656" s="372" t="s">
        <v>4943</v>
      </c>
      <c r="F656" s="375" t="s">
        <v>4944</v>
      </c>
      <c r="G656" s="375" t="s">
        <v>4944</v>
      </c>
      <c r="H656" s="375" t="s">
        <v>823</v>
      </c>
      <c r="I656" s="375" t="s">
        <v>755</v>
      </c>
      <c r="J656" s="375">
        <v>890054.55917000002</v>
      </c>
      <c r="K656" s="375">
        <v>5572.2272300000004</v>
      </c>
      <c r="L656" s="375">
        <v>-37954.9211</v>
      </c>
      <c r="M656" s="375">
        <v>321062.63123</v>
      </c>
      <c r="N656" s="372">
        <v>0.94799999999999995</v>
      </c>
      <c r="O656" s="703">
        <v>70.447629812491215</v>
      </c>
      <c r="P656" s="375" t="s">
        <v>623</v>
      </c>
      <c r="Q656" s="375" t="s">
        <v>623</v>
      </c>
      <c r="R656" s="695">
        <v>20070531</v>
      </c>
      <c r="S656" s="375" t="s">
        <v>4945</v>
      </c>
      <c r="T656" s="696" t="s">
        <v>772</v>
      </c>
      <c r="U656" s="372" t="s">
        <v>4946</v>
      </c>
      <c r="V656" s="722">
        <v>5.29</v>
      </c>
      <c r="W656" s="722">
        <v>0.9</v>
      </c>
      <c r="X656" s="722">
        <v>0.33</v>
      </c>
      <c r="Y656" s="722" t="s">
        <v>774</v>
      </c>
      <c r="Z656" s="382">
        <v>1.6896058685597959E-2</v>
      </c>
      <c r="AA656" s="372">
        <v>6461.3558685999997</v>
      </c>
      <c r="AB656" s="372">
        <v>8138.7593219999999</v>
      </c>
      <c r="AC656" s="372">
        <v>9332.8459640000001</v>
      </c>
      <c r="AD656" s="372">
        <v>8900.5455916999999</v>
      </c>
      <c r="AE656" s="372">
        <v>9124.33</v>
      </c>
      <c r="AF656" s="372">
        <v>9263.5</v>
      </c>
      <c r="AG656" s="372">
        <v>9517.5</v>
      </c>
      <c r="AH656" s="372">
        <v>0</v>
      </c>
    </row>
    <row r="657" spans="1:34">
      <c r="A657" s="372" t="s">
        <v>4947</v>
      </c>
      <c r="B657" s="373" t="s">
        <v>4948</v>
      </c>
      <c r="C657" s="372" t="s">
        <v>4949</v>
      </c>
      <c r="D657" s="374">
        <v>1345110004412</v>
      </c>
      <c r="E657" s="372" t="s">
        <v>4950</v>
      </c>
      <c r="F657" s="372" t="s">
        <v>1285</v>
      </c>
      <c r="G657" s="375" t="s">
        <v>1285</v>
      </c>
      <c r="H657" s="375" t="s">
        <v>1388</v>
      </c>
      <c r="I657" s="375" t="s">
        <v>869</v>
      </c>
      <c r="J657" s="375">
        <v>1116974.65753</v>
      </c>
      <c r="K657" s="375">
        <v>46451.135029999998</v>
      </c>
      <c r="L657" s="375">
        <v>-45491.70276</v>
      </c>
      <c r="M657" s="375">
        <v>977115.24253000005</v>
      </c>
      <c r="N657" s="372">
        <v>1.204</v>
      </c>
      <c r="O657" s="703">
        <v>139.97162747814872</v>
      </c>
      <c r="P657" s="375" t="s">
        <v>623</v>
      </c>
      <c r="Q657" s="372" t="s">
        <v>623</v>
      </c>
      <c r="R657" s="695">
        <v>19971110</v>
      </c>
      <c r="S657" s="375" t="s">
        <v>4951</v>
      </c>
      <c r="T657" s="696" t="s">
        <v>772</v>
      </c>
      <c r="U657" s="375" t="s">
        <v>4952</v>
      </c>
      <c r="V657" s="722">
        <v>17.489999999999998</v>
      </c>
      <c r="W657" s="722">
        <v>0.7</v>
      </c>
      <c r="X657" s="722">
        <v>0.24</v>
      </c>
      <c r="Y657" s="722" t="s">
        <v>774</v>
      </c>
      <c r="Z657" s="382" t="s">
        <v>934</v>
      </c>
      <c r="AA657" s="372">
        <v>8757.5946722999997</v>
      </c>
      <c r="AB657" s="372">
        <v>9580.2551702000001</v>
      </c>
      <c r="AC657" s="372">
        <v>10232.0967566</v>
      </c>
      <c r="AD657" s="372">
        <v>11169.7465753</v>
      </c>
      <c r="AE657" s="372">
        <v>0</v>
      </c>
      <c r="AF657" s="372">
        <v>0</v>
      </c>
      <c r="AG657" s="372">
        <v>0</v>
      </c>
      <c r="AH657" s="372">
        <v>0</v>
      </c>
    </row>
    <row r="658" spans="1:34">
      <c r="A658" s="372" t="s">
        <v>4953</v>
      </c>
      <c r="B658" s="373" t="s">
        <v>4954</v>
      </c>
      <c r="C658" s="372" t="s">
        <v>4955</v>
      </c>
      <c r="D658" s="374">
        <v>1101110400202</v>
      </c>
      <c r="E658" s="372" t="s">
        <v>4956</v>
      </c>
      <c r="F658" s="372" t="s">
        <v>1259</v>
      </c>
      <c r="G658" s="375" t="s">
        <v>1259</v>
      </c>
      <c r="H658" s="375" t="s">
        <v>868</v>
      </c>
      <c r="I658" s="375" t="s">
        <v>869</v>
      </c>
      <c r="J658" s="375">
        <v>758379.66058000003</v>
      </c>
      <c r="K658" s="375">
        <v>113949.99283</v>
      </c>
      <c r="L658" s="375">
        <v>119632.81268</v>
      </c>
      <c r="M658" s="375">
        <v>910677.18319000001</v>
      </c>
      <c r="N658" s="372">
        <v>1.0049999999999999</v>
      </c>
      <c r="O658" s="703">
        <v>97.262722108858569</v>
      </c>
      <c r="P658" s="375" t="s">
        <v>623</v>
      </c>
      <c r="Q658" s="372" t="s">
        <v>623</v>
      </c>
      <c r="R658" s="695">
        <v>20061219</v>
      </c>
      <c r="S658" s="372" t="s">
        <v>4957</v>
      </c>
      <c r="T658" s="696">
        <v>0.23100000000000001</v>
      </c>
      <c r="U658" s="372" t="s">
        <v>4958</v>
      </c>
      <c r="V658" s="722">
        <v>4.72</v>
      </c>
      <c r="W658" s="722">
        <v>0.57999999999999996</v>
      </c>
      <c r="X658" s="722">
        <v>0.39</v>
      </c>
      <c r="Y658" s="722">
        <v>7.78</v>
      </c>
      <c r="Z658" s="382" t="s">
        <v>934</v>
      </c>
      <c r="AA658" s="372">
        <v>5230.4773660000001</v>
      </c>
      <c r="AB658" s="372">
        <v>5746.4769472999997</v>
      </c>
      <c r="AC658" s="372">
        <v>6643.6471819999997</v>
      </c>
      <c r="AD658" s="372">
        <v>7583.7966058000002</v>
      </c>
      <c r="AE658" s="372">
        <v>0</v>
      </c>
      <c r="AF658" s="372">
        <v>0</v>
      </c>
      <c r="AG658" s="372">
        <v>0</v>
      </c>
      <c r="AH658" s="372">
        <v>0</v>
      </c>
    </row>
    <row r="659" spans="1:34">
      <c r="A659" s="372" t="s">
        <v>4959</v>
      </c>
      <c r="B659" s="373" t="s">
        <v>4960</v>
      </c>
      <c r="C659" s="372" t="s">
        <v>4961</v>
      </c>
      <c r="D659" s="374">
        <v>1942110094318</v>
      </c>
      <c r="E659" s="372" t="s">
        <v>4962</v>
      </c>
      <c r="F659" s="372" t="s">
        <v>816</v>
      </c>
      <c r="G659" s="375" t="s">
        <v>816</v>
      </c>
      <c r="H659" s="375" t="s">
        <v>817</v>
      </c>
      <c r="I659" s="375" t="s">
        <v>755</v>
      </c>
      <c r="J659" s="375">
        <v>905095.86302000005</v>
      </c>
      <c r="K659" s="375">
        <v>86552.278449999998</v>
      </c>
      <c r="L659" s="375">
        <v>91024.977140000003</v>
      </c>
      <c r="M659" s="375">
        <v>851747.53260000004</v>
      </c>
      <c r="N659" s="372">
        <v>0.91</v>
      </c>
      <c r="O659" s="703">
        <v>2.5508240127944608E-2</v>
      </c>
      <c r="P659" s="375" t="s">
        <v>623</v>
      </c>
      <c r="Q659" s="372" t="s">
        <v>623</v>
      </c>
      <c r="R659" s="695">
        <v>20080929</v>
      </c>
      <c r="S659" s="372" t="s">
        <v>4963</v>
      </c>
      <c r="T659" s="696">
        <v>0.23100000000000001</v>
      </c>
      <c r="U659" s="372" t="s">
        <v>4964</v>
      </c>
      <c r="V659" s="722">
        <v>0</v>
      </c>
      <c r="W659" s="722">
        <v>0.32</v>
      </c>
      <c r="X659" s="722">
        <v>0</v>
      </c>
      <c r="Y659" s="722">
        <v>0</v>
      </c>
      <c r="Z659" s="382" t="s">
        <v>934</v>
      </c>
      <c r="AA659" s="372">
        <v>6333.8216390999996</v>
      </c>
      <c r="AB659" s="372">
        <v>8866.5013343999999</v>
      </c>
      <c r="AC659" s="372">
        <v>10641.765094</v>
      </c>
      <c r="AD659" s="372">
        <v>9050.9586302000007</v>
      </c>
      <c r="AE659" s="372">
        <v>0</v>
      </c>
      <c r="AF659" s="372">
        <v>0</v>
      </c>
      <c r="AG659" s="372">
        <v>0</v>
      </c>
      <c r="AH659" s="372">
        <v>0</v>
      </c>
    </row>
    <row r="660" spans="1:34">
      <c r="A660" s="372" t="s">
        <v>4965</v>
      </c>
      <c r="B660" s="373" t="s">
        <v>4966</v>
      </c>
      <c r="C660" s="372" t="s">
        <v>4967</v>
      </c>
      <c r="D660" s="374">
        <v>1101110048143</v>
      </c>
      <c r="E660" s="372" t="s">
        <v>4968</v>
      </c>
      <c r="F660" s="375" t="s">
        <v>1259</v>
      </c>
      <c r="G660" s="375" t="s">
        <v>1259</v>
      </c>
      <c r="H660" s="375" t="s">
        <v>788</v>
      </c>
      <c r="I660" s="375" t="s">
        <v>755</v>
      </c>
      <c r="J660" s="375">
        <v>151071.14391000001</v>
      </c>
      <c r="K660" s="375">
        <v>1772.80376</v>
      </c>
      <c r="L660" s="375">
        <v>4031.96342</v>
      </c>
      <c r="M660" s="375">
        <v>248624.54457999999</v>
      </c>
      <c r="N660" s="372">
        <v>0.96799999999999997</v>
      </c>
      <c r="O660" s="703">
        <v>90.133082143897411</v>
      </c>
      <c r="P660" s="375" t="s">
        <v>623</v>
      </c>
      <c r="Q660" s="372" t="s">
        <v>623</v>
      </c>
      <c r="R660" s="695">
        <v>20100610</v>
      </c>
      <c r="S660" s="375" t="s">
        <v>4969</v>
      </c>
      <c r="T660" s="696">
        <v>0.20900000000000002</v>
      </c>
      <c r="U660" s="372" t="s">
        <v>4970</v>
      </c>
      <c r="V660" s="722">
        <v>77.95</v>
      </c>
      <c r="W660" s="722">
        <v>1.21</v>
      </c>
      <c r="X660" s="722">
        <v>2.0299999999999998</v>
      </c>
      <c r="Y660" s="722">
        <v>85.55</v>
      </c>
      <c r="Z660" s="382" t="s">
        <v>934</v>
      </c>
      <c r="AA660" s="372">
        <v>1300.3415319000001</v>
      </c>
      <c r="AB660" s="372">
        <v>1428.0136754</v>
      </c>
      <c r="AC660" s="372">
        <v>1540.3883926000001</v>
      </c>
      <c r="AD660" s="372">
        <v>1510.7114391</v>
      </c>
      <c r="AE660" s="372">
        <v>0</v>
      </c>
      <c r="AF660" s="372">
        <v>0</v>
      </c>
      <c r="AG660" s="372">
        <v>0</v>
      </c>
      <c r="AH660" s="372">
        <v>0</v>
      </c>
    </row>
    <row r="661" spans="1:34">
      <c r="A661" s="372" t="s">
        <v>4971</v>
      </c>
      <c r="B661" s="373" t="s">
        <v>4972</v>
      </c>
      <c r="C661" s="372" t="s">
        <v>4973</v>
      </c>
      <c r="D661" s="374">
        <v>1101116868529</v>
      </c>
      <c r="E661" s="372" t="s">
        <v>4974</v>
      </c>
      <c r="F661" s="375" t="s">
        <v>1259</v>
      </c>
      <c r="G661" s="375" t="s">
        <v>1259</v>
      </c>
      <c r="H661" s="375" t="s">
        <v>868</v>
      </c>
      <c r="I661" s="375" t="s">
        <v>869</v>
      </c>
      <c r="J661" s="375">
        <v>121997.8854</v>
      </c>
      <c r="K661" s="375">
        <v>6498.8318799999997</v>
      </c>
      <c r="L661" s="375">
        <v>1738.34258</v>
      </c>
      <c r="M661" s="375">
        <v>97456.273079999999</v>
      </c>
      <c r="N661" s="372">
        <v>0.62</v>
      </c>
      <c r="O661" s="703">
        <v>28.415734839587159</v>
      </c>
      <c r="P661" s="375" t="s">
        <v>623</v>
      </c>
      <c r="Q661" s="375" t="s">
        <v>623</v>
      </c>
      <c r="R661" s="695">
        <v>20181219</v>
      </c>
      <c r="S661" s="375" t="s">
        <v>2874</v>
      </c>
      <c r="T661" s="696">
        <v>0.20900000000000002</v>
      </c>
      <c r="U661" s="372" t="s">
        <v>4975</v>
      </c>
      <c r="V661" s="722">
        <v>33.26</v>
      </c>
      <c r="W661" s="722">
        <v>3.18</v>
      </c>
      <c r="X661" s="722">
        <v>2.5099999999999998</v>
      </c>
      <c r="Y661" s="722">
        <v>63.47</v>
      </c>
      <c r="Z661" s="382" t="s">
        <v>934</v>
      </c>
      <c r="AA661" s="372">
        <v>806.23075679999999</v>
      </c>
      <c r="AB661" s="372">
        <v>853.5422049</v>
      </c>
      <c r="AC661" s="372">
        <v>1037.1082796999999</v>
      </c>
      <c r="AD661" s="372">
        <v>1219.978854</v>
      </c>
      <c r="AE661" s="372">
        <v>0</v>
      </c>
      <c r="AF661" s="372">
        <v>0</v>
      </c>
      <c r="AG661" s="372">
        <v>0</v>
      </c>
      <c r="AH661" s="372">
        <v>0</v>
      </c>
    </row>
    <row r="662" spans="1:34">
      <c r="A662" s="372" t="s">
        <v>4976</v>
      </c>
      <c r="B662" s="373" t="s">
        <v>4977</v>
      </c>
      <c r="C662" s="372" t="s">
        <v>4978</v>
      </c>
      <c r="D662" s="374">
        <v>1101110088652</v>
      </c>
      <c r="E662" s="372" t="s">
        <v>4979</v>
      </c>
      <c r="F662" s="375" t="s">
        <v>1334</v>
      </c>
      <c r="G662" s="375" t="s">
        <v>1334</v>
      </c>
      <c r="H662" s="375" t="s">
        <v>788</v>
      </c>
      <c r="I662" s="375" t="s">
        <v>755</v>
      </c>
      <c r="J662" s="375">
        <v>292128.53373000002</v>
      </c>
      <c r="K662" s="375">
        <v>20484.355459999999</v>
      </c>
      <c r="L662" s="375">
        <v>15557.134770000001</v>
      </c>
      <c r="M662" s="375">
        <v>265364.99764999998</v>
      </c>
      <c r="N662" s="372">
        <v>0.51500000000000001</v>
      </c>
      <c r="O662" s="703">
        <v>46.902950318934899</v>
      </c>
      <c r="P662" s="375" t="s">
        <v>623</v>
      </c>
      <c r="Q662" s="375" t="s">
        <v>623</v>
      </c>
      <c r="R662" s="695">
        <v>19880618</v>
      </c>
      <c r="S662" s="375" t="s">
        <v>4980</v>
      </c>
      <c r="T662" s="696">
        <v>0.20900000000000002</v>
      </c>
      <c r="U662" s="375" t="s">
        <v>4981</v>
      </c>
      <c r="V662" s="722">
        <v>0</v>
      </c>
      <c r="W662" s="722">
        <v>1.04</v>
      </c>
      <c r="X662" s="722">
        <v>0</v>
      </c>
      <c r="Y662" s="722">
        <v>0</v>
      </c>
      <c r="Z662" s="382" t="s">
        <v>934</v>
      </c>
      <c r="AA662" s="372">
        <v>2351.6488949</v>
      </c>
      <c r="AB662" s="372">
        <v>2500.7035549000002</v>
      </c>
      <c r="AC662" s="372">
        <v>2740.3180845000002</v>
      </c>
      <c r="AD662" s="372">
        <v>2921.2853372999998</v>
      </c>
      <c r="AE662" s="372">
        <v>0</v>
      </c>
      <c r="AF662" s="372">
        <v>0</v>
      </c>
      <c r="AG662" s="372">
        <v>0</v>
      </c>
      <c r="AH662" s="372">
        <v>0</v>
      </c>
    </row>
    <row r="663" spans="1:34">
      <c r="A663" s="372" t="s">
        <v>4982</v>
      </c>
      <c r="B663" s="373" t="s">
        <v>4983</v>
      </c>
      <c r="C663" s="372" t="s">
        <v>4984</v>
      </c>
      <c r="D663" s="374">
        <v>1101110085583</v>
      </c>
      <c r="E663" s="372" t="s">
        <v>4985</v>
      </c>
      <c r="F663" s="375" t="s">
        <v>2771</v>
      </c>
      <c r="G663" s="375" t="s">
        <v>2772</v>
      </c>
      <c r="H663" s="375" t="s">
        <v>868</v>
      </c>
      <c r="I663" s="375" t="s">
        <v>869</v>
      </c>
      <c r="J663" s="375">
        <v>757010.07192000002</v>
      </c>
      <c r="K663" s="375">
        <v>-27109.102149999999</v>
      </c>
      <c r="L663" s="375">
        <v>-36068.158000000003</v>
      </c>
      <c r="M663" s="375">
        <v>525428.48580000002</v>
      </c>
      <c r="N663" s="372">
        <v>1.18</v>
      </c>
      <c r="O663" s="703">
        <v>54.287563165657978</v>
      </c>
      <c r="P663" s="375" t="s">
        <v>623</v>
      </c>
      <c r="Q663" s="375" t="s">
        <v>623</v>
      </c>
      <c r="R663" s="695">
        <v>19990623</v>
      </c>
      <c r="S663" s="375" t="s">
        <v>4986</v>
      </c>
      <c r="T663" s="696" t="s">
        <v>772</v>
      </c>
      <c r="U663" s="375" t="s">
        <v>4987</v>
      </c>
      <c r="V663" s="722" t="s">
        <v>774</v>
      </c>
      <c r="W663" s="722">
        <v>0.65</v>
      </c>
      <c r="X663" s="722">
        <v>0.35</v>
      </c>
      <c r="Y663" s="722" t="s">
        <v>774</v>
      </c>
      <c r="Z663" s="382" t="s">
        <v>934</v>
      </c>
      <c r="AA663" s="372">
        <v>5782.4973657</v>
      </c>
      <c r="AB663" s="372">
        <v>7291.3554539999996</v>
      </c>
      <c r="AC663" s="372">
        <v>8605.2953448000007</v>
      </c>
      <c r="AD663" s="372">
        <v>7570.1007191999997</v>
      </c>
      <c r="AE663" s="372">
        <v>7510</v>
      </c>
      <c r="AF663" s="372">
        <v>9330</v>
      </c>
      <c r="AG663" s="372">
        <v>0</v>
      </c>
      <c r="AH663" s="372">
        <v>0</v>
      </c>
    </row>
    <row r="664" spans="1:34">
      <c r="A664" s="372" t="s">
        <v>4988</v>
      </c>
      <c r="B664" s="373" t="s">
        <v>4989</v>
      </c>
      <c r="C664" s="372" t="s">
        <v>4990</v>
      </c>
      <c r="D664" s="374">
        <v>1311110104403</v>
      </c>
      <c r="E664" s="372" t="s">
        <v>4991</v>
      </c>
      <c r="F664" s="375" t="s">
        <v>1985</v>
      </c>
      <c r="G664" s="375" t="s">
        <v>1985</v>
      </c>
      <c r="H664" s="375" t="s">
        <v>868</v>
      </c>
      <c r="I664" s="375" t="s">
        <v>869</v>
      </c>
      <c r="J664" s="375">
        <v>45529.498549999997</v>
      </c>
      <c r="K664" s="375">
        <v>2369.6742599999998</v>
      </c>
      <c r="L664" s="375">
        <v>3284.0880900000002</v>
      </c>
      <c r="M664" s="375">
        <v>62366.907469999998</v>
      </c>
      <c r="N664" s="372">
        <v>1.5129999999999999</v>
      </c>
      <c r="O664" s="703">
        <v>0.65420852833994991</v>
      </c>
      <c r="P664" s="375" t="s">
        <v>623</v>
      </c>
      <c r="Q664" s="375" t="s">
        <v>623</v>
      </c>
      <c r="R664" s="695">
        <v>20210224</v>
      </c>
      <c r="S664" s="375" t="s">
        <v>4992</v>
      </c>
      <c r="T664" s="696">
        <v>0.20900000000000002</v>
      </c>
      <c r="U664" s="375" t="s">
        <v>4993</v>
      </c>
      <c r="V664" s="722">
        <v>48.03</v>
      </c>
      <c r="W664" s="722">
        <v>4.25</v>
      </c>
      <c r="X664" s="722">
        <v>6.02</v>
      </c>
      <c r="Y664" s="722">
        <v>81.09</v>
      </c>
      <c r="Z664" s="382">
        <v>0.27547968235980957</v>
      </c>
      <c r="AA664" s="372">
        <v>175.3728753</v>
      </c>
      <c r="AB664" s="372">
        <v>395.3035592</v>
      </c>
      <c r="AC664" s="372">
        <v>353.98202859999998</v>
      </c>
      <c r="AD664" s="372">
        <v>455.2949855</v>
      </c>
      <c r="AE664" s="372">
        <v>631.5</v>
      </c>
      <c r="AF664" s="372">
        <v>967.33</v>
      </c>
      <c r="AG664" s="372">
        <v>1205</v>
      </c>
      <c r="AH664" s="372">
        <v>0</v>
      </c>
    </row>
    <row r="665" spans="1:34">
      <c r="A665" s="372" t="s">
        <v>4994</v>
      </c>
      <c r="B665" s="373" t="s">
        <v>4995</v>
      </c>
      <c r="C665" s="372" t="s">
        <v>4996</v>
      </c>
      <c r="D665" s="374">
        <v>1347110002553</v>
      </c>
      <c r="E665" s="372" t="s">
        <v>4997</v>
      </c>
      <c r="F665" s="375" t="s">
        <v>4998</v>
      </c>
      <c r="G665" s="375" t="s">
        <v>4998</v>
      </c>
      <c r="H665" s="375" t="s">
        <v>975</v>
      </c>
      <c r="I665" s="375" t="s">
        <v>755</v>
      </c>
      <c r="J665" s="375">
        <v>952282.92611999996</v>
      </c>
      <c r="K665" s="375">
        <v>18342.039199999999</v>
      </c>
      <c r="L665" s="375">
        <v>624.81192999999996</v>
      </c>
      <c r="M665" s="375">
        <v>625763.57122000004</v>
      </c>
      <c r="N665" s="372">
        <v>1.0529999999999999</v>
      </c>
      <c r="O665" s="703">
        <v>100.95226855633008</v>
      </c>
      <c r="P665" s="375" t="s">
        <v>623</v>
      </c>
      <c r="Q665" s="375" t="s">
        <v>623</v>
      </c>
      <c r="R665" s="695">
        <v>19890530</v>
      </c>
      <c r="S665" s="375" t="s">
        <v>4999</v>
      </c>
      <c r="T665" s="696">
        <v>0.20900000000000002</v>
      </c>
      <c r="U665" s="372" t="s">
        <v>5000</v>
      </c>
      <c r="V665" s="722">
        <v>7</v>
      </c>
      <c r="W665" s="722">
        <v>0.52</v>
      </c>
      <c r="X665" s="722">
        <v>0.35</v>
      </c>
      <c r="Y665" s="722">
        <v>63.8</v>
      </c>
      <c r="Z665" s="382">
        <v>-1.9174729073366814E-3</v>
      </c>
      <c r="AA665" s="372">
        <v>9895.2478195000003</v>
      </c>
      <c r="AB665" s="372">
        <v>11238.4309397</v>
      </c>
      <c r="AC665" s="372">
        <v>11596.056602799999</v>
      </c>
      <c r="AD665" s="372">
        <v>9522.8292612000005</v>
      </c>
      <c r="AE665" s="372">
        <v>9010</v>
      </c>
      <c r="AF665" s="372">
        <v>9170</v>
      </c>
      <c r="AG665" s="372">
        <v>9450</v>
      </c>
      <c r="AH665" s="372">
        <v>0</v>
      </c>
    </row>
    <row r="666" spans="1:34">
      <c r="A666" s="372" t="s">
        <v>5001</v>
      </c>
      <c r="B666" s="373" t="s">
        <v>5002</v>
      </c>
      <c r="C666" s="372" t="s">
        <v>5003</v>
      </c>
      <c r="D666" s="374">
        <v>1344110059857</v>
      </c>
      <c r="E666" s="372" t="s">
        <v>5004</v>
      </c>
      <c r="F666" s="375" t="s">
        <v>2742</v>
      </c>
      <c r="G666" s="375" t="s">
        <v>3052</v>
      </c>
      <c r="H666" s="375" t="s">
        <v>1348</v>
      </c>
      <c r="I666" s="375" t="s">
        <v>869</v>
      </c>
      <c r="J666" s="375">
        <v>53256.955739999998</v>
      </c>
      <c r="K666" s="375">
        <v>752.19991000000005</v>
      </c>
      <c r="L666" s="375">
        <v>2851.3975999999998</v>
      </c>
      <c r="M666" s="375">
        <v>100063.76889000001</v>
      </c>
      <c r="N666" s="372" t="s">
        <v>1033</v>
      </c>
      <c r="O666" s="703">
        <v>7.7958000599003539</v>
      </c>
      <c r="P666" s="375" t="s">
        <v>623</v>
      </c>
      <c r="Q666" s="372" t="s">
        <v>623</v>
      </c>
      <c r="R666" s="695">
        <v>20221102</v>
      </c>
      <c r="S666" s="372" t="s">
        <v>5005</v>
      </c>
      <c r="T666" s="696">
        <v>0.20900000000000002</v>
      </c>
      <c r="U666" s="372" t="s">
        <v>5006</v>
      </c>
      <c r="V666" s="722">
        <v>18.98</v>
      </c>
      <c r="W666" s="722">
        <v>1.79</v>
      </c>
      <c r="X666" s="722">
        <v>3.37</v>
      </c>
      <c r="Y666" s="722">
        <v>68.3</v>
      </c>
      <c r="Z666" s="382" t="s">
        <v>934</v>
      </c>
      <c r="AA666" s="372">
        <v>546.56760550000001</v>
      </c>
      <c r="AB666" s="372">
        <v>719.04717840000001</v>
      </c>
      <c r="AC666" s="372">
        <v>596.28906229999996</v>
      </c>
      <c r="AD666" s="372">
        <v>532.56955740000001</v>
      </c>
      <c r="AE666" s="372">
        <v>715</v>
      </c>
      <c r="AF666" s="372">
        <v>0</v>
      </c>
      <c r="AG666" s="372">
        <v>0</v>
      </c>
      <c r="AH666" s="372">
        <v>0</v>
      </c>
    </row>
    <row r="667" spans="1:34">
      <c r="A667" s="372" t="s">
        <v>5007</v>
      </c>
      <c r="B667" s="373" t="s">
        <v>5008</v>
      </c>
      <c r="C667" s="372" t="s">
        <v>5009</v>
      </c>
      <c r="D667" s="374">
        <v>1311110002772</v>
      </c>
      <c r="E667" s="372" t="s">
        <v>5010</v>
      </c>
      <c r="F667" s="375" t="s">
        <v>4233</v>
      </c>
      <c r="G667" s="375" t="s">
        <v>4234</v>
      </c>
      <c r="H667" s="375" t="s">
        <v>868</v>
      </c>
      <c r="I667" s="375" t="s">
        <v>869</v>
      </c>
      <c r="J667" s="375">
        <v>306414.50049000001</v>
      </c>
      <c r="K667" s="375">
        <v>57030.296240000003</v>
      </c>
      <c r="L667" s="375">
        <v>63305.042999999998</v>
      </c>
      <c r="M667" s="375">
        <v>652717.38367000001</v>
      </c>
      <c r="N667" s="372">
        <v>0.498</v>
      </c>
      <c r="O667" s="703">
        <v>4.6372523695367165E-2</v>
      </c>
      <c r="P667" s="375" t="s">
        <v>623</v>
      </c>
      <c r="Q667" s="372" t="s">
        <v>623</v>
      </c>
      <c r="R667" s="695">
        <v>19960426</v>
      </c>
      <c r="S667" s="375" t="s">
        <v>5011</v>
      </c>
      <c r="T667" s="696">
        <v>0.23100000000000001</v>
      </c>
      <c r="U667" s="375" t="s">
        <v>5012</v>
      </c>
      <c r="V667" s="722">
        <v>4.3</v>
      </c>
      <c r="W667" s="722">
        <v>0.45</v>
      </c>
      <c r="X667" s="722">
        <v>0.96</v>
      </c>
      <c r="Y667" s="722">
        <v>5.7</v>
      </c>
      <c r="Z667" s="382" t="s">
        <v>934</v>
      </c>
      <c r="AA667" s="372">
        <v>2894.9851456000001</v>
      </c>
      <c r="AB667" s="372">
        <v>3463.7476145999999</v>
      </c>
      <c r="AC667" s="372">
        <v>3462.409161</v>
      </c>
      <c r="AD667" s="372">
        <v>3064.1450049</v>
      </c>
      <c r="AE667" s="372">
        <v>0</v>
      </c>
      <c r="AF667" s="372">
        <v>0</v>
      </c>
      <c r="AG667" s="372">
        <v>0</v>
      </c>
      <c r="AH667" s="372">
        <v>0</v>
      </c>
    </row>
    <row r="668" spans="1:34">
      <c r="A668" s="372" t="s">
        <v>5013</v>
      </c>
      <c r="B668" s="373" t="s">
        <v>5014</v>
      </c>
      <c r="C668" s="372" t="s">
        <v>5015</v>
      </c>
      <c r="D668" s="374">
        <v>1942110050823</v>
      </c>
      <c r="E668" s="372" t="s">
        <v>5016</v>
      </c>
      <c r="F668" s="372" t="s">
        <v>2139</v>
      </c>
      <c r="G668" s="375" t="s">
        <v>2140</v>
      </c>
      <c r="H668" s="375" t="s">
        <v>868</v>
      </c>
      <c r="I668" s="375" t="s">
        <v>869</v>
      </c>
      <c r="J668" s="375">
        <v>216024.72802000001</v>
      </c>
      <c r="K668" s="375">
        <v>15852.555850000001</v>
      </c>
      <c r="L668" s="375">
        <v>-5977.0150100000001</v>
      </c>
      <c r="M668" s="375">
        <v>146933.09245</v>
      </c>
      <c r="N668" s="372" t="s">
        <v>1033</v>
      </c>
      <c r="O668" s="703">
        <v>54.770396225582182</v>
      </c>
      <c r="P668" s="375" t="s">
        <v>623</v>
      </c>
      <c r="Q668" s="372" t="s">
        <v>623</v>
      </c>
      <c r="R668" s="695">
        <v>20230630</v>
      </c>
      <c r="S668" s="375" t="s">
        <v>5017</v>
      </c>
      <c r="T668" s="696" t="s">
        <v>772</v>
      </c>
      <c r="U668" s="375" t="s">
        <v>5018</v>
      </c>
      <c r="V668" s="722">
        <v>17.34</v>
      </c>
      <c r="W668" s="722">
        <v>2.23</v>
      </c>
      <c r="X668" s="722">
        <v>1.27</v>
      </c>
      <c r="Y668" s="722" t="s">
        <v>774</v>
      </c>
      <c r="Z668" s="382" t="s">
        <v>934</v>
      </c>
      <c r="AA668" s="372">
        <v>745.05121859999997</v>
      </c>
      <c r="AB668" s="372">
        <v>828.18902290000005</v>
      </c>
      <c r="AC668" s="372">
        <v>1567.5494332000001</v>
      </c>
      <c r="AD668" s="372">
        <v>2160.2472802000002</v>
      </c>
      <c r="AE668" s="372">
        <v>3505</v>
      </c>
      <c r="AF668" s="372">
        <v>4391</v>
      </c>
      <c r="AG668" s="372">
        <v>0</v>
      </c>
      <c r="AH668" s="372">
        <v>0</v>
      </c>
    </row>
    <row r="669" spans="1:34">
      <c r="A669" s="372" t="s">
        <v>5019</v>
      </c>
      <c r="B669" s="373" t="s">
        <v>5020</v>
      </c>
      <c r="C669" s="372" t="s">
        <v>5021</v>
      </c>
      <c r="D669" s="374">
        <v>1615110044697</v>
      </c>
      <c r="E669" s="372" t="s">
        <v>5022</v>
      </c>
      <c r="F669" s="375" t="s">
        <v>1195</v>
      </c>
      <c r="G669" s="375" t="s">
        <v>1196</v>
      </c>
      <c r="H669" s="375" t="s">
        <v>868</v>
      </c>
      <c r="I669" s="375" t="s">
        <v>869</v>
      </c>
      <c r="J669" s="375">
        <v>127353.69598999999</v>
      </c>
      <c r="K669" s="375">
        <v>1747.8110300000001</v>
      </c>
      <c r="L669" s="375">
        <v>1044.22378</v>
      </c>
      <c r="M669" s="375">
        <v>145331.79848999999</v>
      </c>
      <c r="N669" s="372">
        <v>1.2769999999999999</v>
      </c>
      <c r="O669" s="703">
        <v>13.243424240695587</v>
      </c>
      <c r="P669" s="375" t="s">
        <v>623</v>
      </c>
      <c r="Q669" s="375" t="s">
        <v>623</v>
      </c>
      <c r="R669" s="695">
        <v>20050124</v>
      </c>
      <c r="S669" s="375" t="s">
        <v>5023</v>
      </c>
      <c r="T669" s="696">
        <v>0.20900000000000002</v>
      </c>
      <c r="U669" s="372" t="s">
        <v>5024</v>
      </c>
      <c r="V669" s="722">
        <v>78.7</v>
      </c>
      <c r="W669" s="722">
        <v>2.31</v>
      </c>
      <c r="X669" s="722">
        <v>2.29</v>
      </c>
      <c r="Y669" s="722">
        <v>287.64999999999998</v>
      </c>
      <c r="Z669" s="382" t="s">
        <v>934</v>
      </c>
      <c r="AA669" s="372">
        <v>230.16088429999999</v>
      </c>
      <c r="AB669" s="372">
        <v>422.57960100000003</v>
      </c>
      <c r="AC669" s="372">
        <v>501.56594619999998</v>
      </c>
      <c r="AD669" s="372">
        <v>1273.5369599000001</v>
      </c>
      <c r="AE669" s="372">
        <v>1432</v>
      </c>
      <c r="AF669" s="372">
        <v>0</v>
      </c>
      <c r="AG669" s="372">
        <v>0</v>
      </c>
      <c r="AH669" s="372">
        <v>0</v>
      </c>
    </row>
    <row r="670" spans="1:34">
      <c r="A670" s="372" t="s">
        <v>5025</v>
      </c>
      <c r="B670" s="373" t="s">
        <v>5026</v>
      </c>
      <c r="C670" s="372" t="s">
        <v>5027</v>
      </c>
      <c r="D670" s="374">
        <v>1713110007259</v>
      </c>
      <c r="E670" s="372" t="s">
        <v>5028</v>
      </c>
      <c r="F670" s="375" t="s">
        <v>1782</v>
      </c>
      <c r="G670" s="375" t="s">
        <v>1782</v>
      </c>
      <c r="H670" s="375" t="s">
        <v>868</v>
      </c>
      <c r="I670" s="375" t="s">
        <v>869</v>
      </c>
      <c r="J670" s="375">
        <v>45990.061260000002</v>
      </c>
      <c r="K670" s="375">
        <v>-4902.5297600000004</v>
      </c>
      <c r="L670" s="375">
        <v>-4926.0401899999997</v>
      </c>
      <c r="M670" s="375">
        <v>63069.932430000001</v>
      </c>
      <c r="N670" s="372">
        <v>0.94299999999999995</v>
      </c>
      <c r="O670" s="703">
        <v>12.752567858703006</v>
      </c>
      <c r="P670" s="375" t="s">
        <v>623</v>
      </c>
      <c r="Q670" s="375" t="s">
        <v>623</v>
      </c>
      <c r="R670" s="695">
        <v>20220804</v>
      </c>
      <c r="S670" s="375" t="s">
        <v>5029</v>
      </c>
      <c r="T670" s="696" t="s">
        <v>772</v>
      </c>
      <c r="U670" s="375" t="s">
        <v>5030</v>
      </c>
      <c r="V670" s="722">
        <v>0</v>
      </c>
      <c r="W670" s="722">
        <v>5.33</v>
      </c>
      <c r="X670" s="722">
        <v>0</v>
      </c>
      <c r="Y670" s="722">
        <v>0</v>
      </c>
      <c r="Z670" s="382" t="s">
        <v>934</v>
      </c>
      <c r="AA670" s="372">
        <v>209.670131</v>
      </c>
      <c r="AB670" s="372">
        <v>333.88663650000001</v>
      </c>
      <c r="AC670" s="372">
        <v>481.261709</v>
      </c>
      <c r="AD670" s="372">
        <v>459.90061259999999</v>
      </c>
      <c r="AE670" s="372">
        <v>0</v>
      </c>
      <c r="AF670" s="372">
        <v>0</v>
      </c>
      <c r="AG670" s="372">
        <v>0</v>
      </c>
      <c r="AH670" s="372">
        <v>0</v>
      </c>
    </row>
    <row r="671" spans="1:34">
      <c r="A671" s="372" t="s">
        <v>5031</v>
      </c>
      <c r="B671" s="373" t="s">
        <v>5032</v>
      </c>
      <c r="C671" s="372" t="s">
        <v>16020</v>
      </c>
      <c r="D671" s="374">
        <v>1647110001591</v>
      </c>
      <c r="E671" s="372" t="s">
        <v>16021</v>
      </c>
      <c r="F671" s="375" t="s">
        <v>900</v>
      </c>
      <c r="G671" s="375" t="s">
        <v>901</v>
      </c>
      <c r="H671" s="375" t="s">
        <v>862</v>
      </c>
      <c r="I671" s="375" t="s">
        <v>755</v>
      </c>
      <c r="J671" s="375">
        <v>637274.32259</v>
      </c>
      <c r="K671" s="375">
        <v>19104.835139999999</v>
      </c>
      <c r="L671" s="375">
        <v>8075.86481</v>
      </c>
      <c r="M671" s="375">
        <v>816191.27037000004</v>
      </c>
      <c r="N671" s="372">
        <v>0.745</v>
      </c>
      <c r="O671" s="703">
        <v>117.44737309908446</v>
      </c>
      <c r="P671" s="375" t="s">
        <v>623</v>
      </c>
      <c r="Q671" s="375" t="s">
        <v>623</v>
      </c>
      <c r="R671" s="695">
        <v>19961024</v>
      </c>
      <c r="S671" s="375" t="s">
        <v>5033</v>
      </c>
      <c r="T671" s="696">
        <v>0.20900000000000002</v>
      </c>
      <c r="U671" s="372" t="s">
        <v>16022</v>
      </c>
      <c r="V671" s="722">
        <v>18.09</v>
      </c>
      <c r="W671" s="722">
        <v>0.48</v>
      </c>
      <c r="X671" s="722">
        <v>0.46</v>
      </c>
      <c r="Y671" s="722" t="s">
        <v>774</v>
      </c>
      <c r="Z671" s="382" t="s">
        <v>934</v>
      </c>
      <c r="AA671" s="372">
        <v>6754.8024634000003</v>
      </c>
      <c r="AB671" s="372">
        <v>6740.0600211999999</v>
      </c>
      <c r="AC671" s="372">
        <v>6498.7956875</v>
      </c>
      <c r="AD671" s="372">
        <v>6372.7432258999997</v>
      </c>
      <c r="AE671" s="372">
        <v>0</v>
      </c>
      <c r="AF671" s="372">
        <v>0</v>
      </c>
      <c r="AG671" s="372">
        <v>0</v>
      </c>
      <c r="AH671" s="372">
        <v>0</v>
      </c>
    </row>
    <row r="672" spans="1:34">
      <c r="A672" s="372" t="s">
        <v>5034</v>
      </c>
      <c r="B672" s="373" t="s">
        <v>5035</v>
      </c>
      <c r="C672" s="372" t="s">
        <v>5036</v>
      </c>
      <c r="D672" s="374">
        <v>1101111435810</v>
      </c>
      <c r="E672" s="372" t="s">
        <v>5037</v>
      </c>
      <c r="F672" s="375" t="s">
        <v>1381</v>
      </c>
      <c r="G672" s="375" t="s">
        <v>1381</v>
      </c>
      <c r="H672" s="375" t="s">
        <v>1693</v>
      </c>
      <c r="I672" s="375" t="s">
        <v>869</v>
      </c>
      <c r="J672" s="375">
        <v>295468.2341</v>
      </c>
      <c r="K672" s="375">
        <v>3497.7462599999999</v>
      </c>
      <c r="L672" s="375">
        <v>-35069.797359999997</v>
      </c>
      <c r="M672" s="375">
        <v>295492.70396000001</v>
      </c>
      <c r="N672" s="372">
        <v>1.133</v>
      </c>
      <c r="O672" s="703">
        <v>111.60838483385913</v>
      </c>
      <c r="P672" s="375" t="s">
        <v>623</v>
      </c>
      <c r="Q672" s="375" t="s">
        <v>623</v>
      </c>
      <c r="R672" s="695">
        <v>20040721</v>
      </c>
      <c r="S672" s="375" t="s">
        <v>5038</v>
      </c>
      <c r="T672" s="696" t="s">
        <v>772</v>
      </c>
      <c r="U672" s="375" t="s">
        <v>5039</v>
      </c>
      <c r="V672" s="722">
        <v>37.450000000000003</v>
      </c>
      <c r="W672" s="722">
        <v>1.07</v>
      </c>
      <c r="X672" s="722">
        <v>1.0900000000000001</v>
      </c>
      <c r="Y672" s="722" t="s">
        <v>774</v>
      </c>
      <c r="Z672" s="382" t="s">
        <v>934</v>
      </c>
      <c r="AA672" s="372">
        <v>2294.1819681000002</v>
      </c>
      <c r="AB672" s="372">
        <v>2855.5012167</v>
      </c>
      <c r="AC672" s="372">
        <v>2949.4828275999998</v>
      </c>
      <c r="AD672" s="372">
        <v>2954.6823410000002</v>
      </c>
      <c r="AE672" s="372">
        <v>3784</v>
      </c>
      <c r="AF672" s="372">
        <v>0</v>
      </c>
      <c r="AG672" s="372">
        <v>0</v>
      </c>
      <c r="AH672" s="372">
        <v>0</v>
      </c>
    </row>
    <row r="673" spans="1:34">
      <c r="A673" s="372" t="s">
        <v>5040</v>
      </c>
      <c r="B673" s="373" t="s">
        <v>5041</v>
      </c>
      <c r="C673" s="372" t="s">
        <v>5042</v>
      </c>
      <c r="D673" s="374">
        <v>1101110008600</v>
      </c>
      <c r="E673" s="372" t="s">
        <v>5043</v>
      </c>
      <c r="F673" s="375" t="s">
        <v>830</v>
      </c>
      <c r="G673" s="375" t="s">
        <v>831</v>
      </c>
      <c r="H673" s="375" t="s">
        <v>832</v>
      </c>
      <c r="I673" s="375" t="s">
        <v>755</v>
      </c>
      <c r="J673" s="375">
        <v>1995488.4534199999</v>
      </c>
      <c r="K673" s="375">
        <v>-56017.93075</v>
      </c>
      <c r="L673" s="375">
        <v>-36908.787499999999</v>
      </c>
      <c r="M673" s="375">
        <v>260664.59108000001</v>
      </c>
      <c r="N673" s="372">
        <v>1.2829999999999999</v>
      </c>
      <c r="O673" s="703">
        <v>184.21869240037617</v>
      </c>
      <c r="P673" s="375" t="s">
        <v>623</v>
      </c>
      <c r="Q673" s="375" t="s">
        <v>623</v>
      </c>
      <c r="R673" s="695">
        <v>19880428</v>
      </c>
      <c r="S673" s="375" t="s">
        <v>5044</v>
      </c>
      <c r="T673" s="696" t="s">
        <v>772</v>
      </c>
      <c r="U673" s="375" t="s">
        <v>5045</v>
      </c>
      <c r="V673" s="722" t="s">
        <v>774</v>
      </c>
      <c r="W673" s="722">
        <v>1.83</v>
      </c>
      <c r="X673" s="722">
        <v>0.17</v>
      </c>
      <c r="Y673" s="722" t="s">
        <v>774</v>
      </c>
      <c r="Z673" s="382" t="s">
        <v>934</v>
      </c>
      <c r="AA673" s="372">
        <v>13132.9520698</v>
      </c>
      <c r="AB673" s="372">
        <v>17033.371160300001</v>
      </c>
      <c r="AC673" s="372">
        <v>20017.857942400002</v>
      </c>
      <c r="AD673" s="372">
        <v>19954.884534199999</v>
      </c>
      <c r="AE673" s="372">
        <v>25960</v>
      </c>
      <c r="AF673" s="372">
        <v>0</v>
      </c>
      <c r="AG673" s="372">
        <v>0</v>
      </c>
      <c r="AH673" s="372">
        <v>0</v>
      </c>
    </row>
    <row r="674" spans="1:34">
      <c r="A674" s="372" t="s">
        <v>5046</v>
      </c>
      <c r="B674" s="373" t="s">
        <v>5047</v>
      </c>
      <c r="C674" s="372" t="s">
        <v>5048</v>
      </c>
      <c r="D674" s="374">
        <v>1101110077283</v>
      </c>
      <c r="E674" s="372" t="s">
        <v>5049</v>
      </c>
      <c r="F674" s="375" t="s">
        <v>2509</v>
      </c>
      <c r="G674" s="375" t="s">
        <v>2510</v>
      </c>
      <c r="H674" s="375" t="s">
        <v>817</v>
      </c>
      <c r="I674" s="375" t="s">
        <v>755</v>
      </c>
      <c r="J674" s="375">
        <v>764841.70002999995</v>
      </c>
      <c r="K674" s="375">
        <v>123214.73301</v>
      </c>
      <c r="L674" s="375">
        <v>123192.11559</v>
      </c>
      <c r="M674" s="375">
        <v>1007030.9061</v>
      </c>
      <c r="N674" s="372">
        <v>1.0940000000000001</v>
      </c>
      <c r="O674" s="703">
        <v>56.006215859391482</v>
      </c>
      <c r="P674" s="375" t="s">
        <v>623</v>
      </c>
      <c r="Q674" s="372" t="s">
        <v>623</v>
      </c>
      <c r="R674" s="695">
        <v>19730629</v>
      </c>
      <c r="S674" s="372" t="s">
        <v>5050</v>
      </c>
      <c r="T674" s="696">
        <v>0.23100000000000001</v>
      </c>
      <c r="U674" s="372" t="s">
        <v>5051</v>
      </c>
      <c r="V674" s="722">
        <v>2.04</v>
      </c>
      <c r="W674" s="722">
        <v>0.28000000000000003</v>
      </c>
      <c r="X674" s="722">
        <v>0.37</v>
      </c>
      <c r="Y674" s="722">
        <v>3.88</v>
      </c>
      <c r="Z674" s="382" t="s">
        <v>934</v>
      </c>
      <c r="AA674" s="372">
        <v>3656.1312062000002</v>
      </c>
      <c r="AB674" s="372">
        <v>6165.0552230000003</v>
      </c>
      <c r="AC674" s="372">
        <v>10309.234667000001</v>
      </c>
      <c r="AD674" s="372">
        <v>7648.4170002999999</v>
      </c>
      <c r="AE674" s="372">
        <v>0</v>
      </c>
      <c r="AF674" s="372">
        <v>0</v>
      </c>
      <c r="AG674" s="372">
        <v>0</v>
      </c>
      <c r="AH674" s="372">
        <v>0</v>
      </c>
    </row>
    <row r="675" spans="1:34">
      <c r="A675" s="372" t="s">
        <v>5052</v>
      </c>
      <c r="B675" s="373" t="s">
        <v>5053</v>
      </c>
      <c r="C675" s="372" t="s">
        <v>5054</v>
      </c>
      <c r="D675" s="374">
        <v>0</v>
      </c>
      <c r="E675" s="372" t="s">
        <v>5055</v>
      </c>
      <c r="F675" s="375" t="s">
        <v>1368</v>
      </c>
      <c r="G675" s="375" t="s">
        <v>1368</v>
      </c>
      <c r="H675" s="375">
        <v>0</v>
      </c>
      <c r="I675" s="375" t="s">
        <v>869</v>
      </c>
      <c r="J675" s="375">
        <v>206784.09899999999</v>
      </c>
      <c r="K675" s="375">
        <v>28855.109</v>
      </c>
      <c r="L675" s="375">
        <v>28715.378000000001</v>
      </c>
      <c r="M675" s="375">
        <v>114916.125</v>
      </c>
      <c r="N675" s="372">
        <v>0.66800000000000004</v>
      </c>
      <c r="O675" s="703">
        <v>4.7985948974064989</v>
      </c>
      <c r="P675" s="375" t="s">
        <v>623</v>
      </c>
      <c r="Q675" s="375" t="s">
        <v>623</v>
      </c>
      <c r="R675" s="695">
        <v>20161014</v>
      </c>
      <c r="S675" s="375" t="s">
        <v>5056</v>
      </c>
      <c r="T675" s="696">
        <v>0.23100000000000001</v>
      </c>
      <c r="U675" s="372" t="s">
        <v>5057</v>
      </c>
      <c r="V675" s="722">
        <v>7.97</v>
      </c>
      <c r="W675" s="722">
        <v>2.2999999999999998</v>
      </c>
      <c r="X675" s="722">
        <v>1.28</v>
      </c>
      <c r="Y675" s="722">
        <v>12.77</v>
      </c>
      <c r="Z675" s="382" t="s">
        <v>934</v>
      </c>
      <c r="AA675" s="372">
        <v>1371.6812199999999</v>
      </c>
      <c r="AB675" s="372">
        <v>1608.1644100000001</v>
      </c>
      <c r="AC675" s="372">
        <v>1515.0876599999999</v>
      </c>
      <c r="AD675" s="372">
        <v>2067.8409900000001</v>
      </c>
      <c r="AE675" s="372">
        <v>2366</v>
      </c>
      <c r="AF675" s="372">
        <v>2600</v>
      </c>
      <c r="AG675" s="372">
        <v>0</v>
      </c>
      <c r="AH675" s="372">
        <v>0</v>
      </c>
    </row>
    <row r="676" spans="1:34">
      <c r="A676" s="372" t="s">
        <v>5058</v>
      </c>
      <c r="B676" s="373" t="s">
        <v>5059</v>
      </c>
      <c r="C676" s="372" t="s">
        <v>5060</v>
      </c>
      <c r="D676" s="374">
        <v>1345110059821</v>
      </c>
      <c r="E676" s="372" t="s">
        <v>5061</v>
      </c>
      <c r="F676" s="375" t="s">
        <v>1124</v>
      </c>
      <c r="G676" s="375" t="s">
        <v>1347</v>
      </c>
      <c r="H676" s="375" t="s">
        <v>1348</v>
      </c>
      <c r="I676" s="375" t="s">
        <v>869</v>
      </c>
      <c r="J676" s="375">
        <v>73126.594639999996</v>
      </c>
      <c r="K676" s="375">
        <v>-6794.0862999999999</v>
      </c>
      <c r="L676" s="375">
        <v>-7085.0639000000001</v>
      </c>
      <c r="M676" s="375">
        <v>228142.69860999999</v>
      </c>
      <c r="N676" s="372">
        <v>0.95599999999999996</v>
      </c>
      <c r="O676" s="703">
        <v>24.443350322172368</v>
      </c>
      <c r="P676" s="375" t="s">
        <v>623</v>
      </c>
      <c r="Q676" s="372" t="s">
        <v>623</v>
      </c>
      <c r="R676" s="695">
        <v>20130701</v>
      </c>
      <c r="S676" s="372" t="s">
        <v>5062</v>
      </c>
      <c r="T676" s="696" t="s">
        <v>772</v>
      </c>
      <c r="U676" s="372" t="s">
        <v>5063</v>
      </c>
      <c r="V676" s="722" t="s">
        <v>774</v>
      </c>
      <c r="W676" s="722">
        <v>1.26</v>
      </c>
      <c r="X676" s="722">
        <v>3.9</v>
      </c>
      <c r="Y676" s="722" t="s">
        <v>774</v>
      </c>
      <c r="Z676" s="382" t="s">
        <v>934</v>
      </c>
      <c r="AA676" s="372">
        <v>1194.7805381999999</v>
      </c>
      <c r="AB676" s="372">
        <v>2024.0736360999999</v>
      </c>
      <c r="AC676" s="372">
        <v>1447.7274563000001</v>
      </c>
      <c r="AD676" s="372">
        <v>731.26594639999996</v>
      </c>
      <c r="AE676" s="372">
        <v>1120.5</v>
      </c>
      <c r="AF676" s="372">
        <v>1674.5</v>
      </c>
      <c r="AG676" s="372">
        <v>0</v>
      </c>
      <c r="AH676" s="372">
        <v>0</v>
      </c>
    </row>
    <row r="677" spans="1:34">
      <c r="A677" s="372" t="s">
        <v>5064</v>
      </c>
      <c r="B677" s="373" t="s">
        <v>5065</v>
      </c>
      <c r="C677" s="372" t="s">
        <v>5066</v>
      </c>
      <c r="D677" s="374">
        <v>1101116770188</v>
      </c>
      <c r="E677" s="372" t="s">
        <v>5067</v>
      </c>
      <c r="F677" s="372" t="s">
        <v>1313</v>
      </c>
      <c r="G677" s="375" t="s">
        <v>1313</v>
      </c>
      <c r="H677" s="375" t="s">
        <v>832</v>
      </c>
      <c r="I677" s="375" t="s">
        <v>755</v>
      </c>
      <c r="J677" s="375">
        <v>2791629.3665300002</v>
      </c>
      <c r="K677" s="375">
        <v>-188836.19675999999</v>
      </c>
      <c r="L677" s="375">
        <v>-371893.02295999997</v>
      </c>
      <c r="M677" s="375">
        <v>61883.631379999999</v>
      </c>
      <c r="N677" s="372">
        <v>1.179</v>
      </c>
      <c r="O677" s="703">
        <v>1087.3884193361475</v>
      </c>
      <c r="P677" s="375" t="s">
        <v>623</v>
      </c>
      <c r="Q677" s="372" t="s">
        <v>623</v>
      </c>
      <c r="R677" s="695">
        <v>20180713</v>
      </c>
      <c r="S677" s="372" t="s">
        <v>772</v>
      </c>
      <c r="T677" s="696" t="s">
        <v>772</v>
      </c>
      <c r="U677" s="372" t="s">
        <v>5068</v>
      </c>
      <c r="V677" s="722">
        <v>48.79</v>
      </c>
      <c r="W677" s="722">
        <v>5.12</v>
      </c>
      <c r="X677" s="722">
        <v>0.1</v>
      </c>
      <c r="Y677" s="722" t="s">
        <v>774</v>
      </c>
      <c r="Z677" s="382">
        <v>3.4822909668391633E-2</v>
      </c>
      <c r="AA677" s="372">
        <v>18171.8998049</v>
      </c>
      <c r="AB677" s="372">
        <v>25199.652850400002</v>
      </c>
      <c r="AC677" s="372">
        <v>28785.581805900001</v>
      </c>
      <c r="AD677" s="372">
        <v>27916.2936653</v>
      </c>
      <c r="AE677" s="372">
        <v>29514.67</v>
      </c>
      <c r="AF677" s="372">
        <v>30823</v>
      </c>
      <c r="AG677" s="372">
        <v>32012.67</v>
      </c>
      <c r="AH677" s="372">
        <v>0</v>
      </c>
    </row>
    <row r="678" spans="1:34">
      <c r="A678" s="372" t="s">
        <v>5069</v>
      </c>
      <c r="B678" s="373" t="s">
        <v>5070</v>
      </c>
      <c r="C678" s="372" t="s">
        <v>5071</v>
      </c>
      <c r="D678" s="374">
        <v>1101111775894</v>
      </c>
      <c r="E678" s="372" t="s">
        <v>5072</v>
      </c>
      <c r="F678" s="375" t="s">
        <v>2147</v>
      </c>
      <c r="G678" s="375" t="s">
        <v>4273</v>
      </c>
      <c r="H678" s="375" t="s">
        <v>868</v>
      </c>
      <c r="I678" s="375" t="s">
        <v>869</v>
      </c>
      <c r="J678" s="375">
        <v>220250.53855</v>
      </c>
      <c r="K678" s="375">
        <v>18736.46254</v>
      </c>
      <c r="L678" s="375">
        <v>16688.717250000002</v>
      </c>
      <c r="M678" s="375">
        <v>215644.53812000001</v>
      </c>
      <c r="N678" s="372">
        <v>0.65600000000000003</v>
      </c>
      <c r="O678" s="703">
        <v>20.82846857069249</v>
      </c>
      <c r="P678" s="375" t="s">
        <v>623</v>
      </c>
      <c r="Q678" s="372" t="s">
        <v>623</v>
      </c>
      <c r="R678" s="695">
        <v>20090410</v>
      </c>
      <c r="S678" s="372" t="s">
        <v>5073</v>
      </c>
      <c r="T678" s="696">
        <v>0.20900000000000002</v>
      </c>
      <c r="U678" s="372" t="s">
        <v>5074</v>
      </c>
      <c r="V678" s="722">
        <v>10.7</v>
      </c>
      <c r="W678" s="722">
        <v>1.1200000000000001</v>
      </c>
      <c r="X678" s="722">
        <v>1.23</v>
      </c>
      <c r="Y678" s="722">
        <v>18.350000000000001</v>
      </c>
      <c r="Z678" s="382">
        <v>8.0916624448756913E-2</v>
      </c>
      <c r="AA678" s="372">
        <v>1602.6384315</v>
      </c>
      <c r="AB678" s="372">
        <v>1931.3935652</v>
      </c>
      <c r="AC678" s="372">
        <v>2379.2881261000002</v>
      </c>
      <c r="AD678" s="372">
        <v>2202.5053855000001</v>
      </c>
      <c r="AE678" s="372">
        <v>2448.67</v>
      </c>
      <c r="AF678" s="372">
        <v>2720.33</v>
      </c>
      <c r="AG678" s="372">
        <v>3006.67</v>
      </c>
      <c r="AH678" s="372">
        <v>0</v>
      </c>
    </row>
    <row r="679" spans="1:34">
      <c r="A679" s="372" t="s">
        <v>5075</v>
      </c>
      <c r="B679" s="373" t="s">
        <v>5076</v>
      </c>
      <c r="C679" s="372" t="s">
        <v>5077</v>
      </c>
      <c r="D679" s="374">
        <v>1701110005042</v>
      </c>
      <c r="E679" s="372" t="s">
        <v>5078</v>
      </c>
      <c r="F679" s="375" t="s">
        <v>2139</v>
      </c>
      <c r="G679" s="375" t="s">
        <v>2140</v>
      </c>
      <c r="H679" s="375" t="s">
        <v>817</v>
      </c>
      <c r="I679" s="375" t="s">
        <v>755</v>
      </c>
      <c r="J679" s="375">
        <v>310499.1875</v>
      </c>
      <c r="K679" s="375">
        <v>6445.9685900000004</v>
      </c>
      <c r="L679" s="375">
        <v>-4994.3176599999997</v>
      </c>
      <c r="M679" s="375">
        <v>303168.21324999997</v>
      </c>
      <c r="N679" s="372">
        <v>0.95099999999999996</v>
      </c>
      <c r="O679" s="703">
        <v>11.96610552858726</v>
      </c>
      <c r="P679" s="375" t="s">
        <v>623</v>
      </c>
      <c r="Q679" s="375" t="s">
        <v>623</v>
      </c>
      <c r="R679" s="695">
        <v>19780522</v>
      </c>
      <c r="S679" s="375" t="s">
        <v>5079</v>
      </c>
      <c r="T679" s="696" t="s">
        <v>772</v>
      </c>
      <c r="U679" s="375" t="s">
        <v>5080</v>
      </c>
      <c r="V679" s="722">
        <v>30.23</v>
      </c>
      <c r="W679" s="722">
        <v>1.01</v>
      </c>
      <c r="X679" s="722">
        <v>0.98</v>
      </c>
      <c r="Y679" s="722" t="s">
        <v>774</v>
      </c>
      <c r="Z679" s="382" t="s">
        <v>934</v>
      </c>
      <c r="AA679" s="372">
        <v>2684.7478599000001</v>
      </c>
      <c r="AB679" s="372">
        <v>2303.4353658999999</v>
      </c>
      <c r="AC679" s="372">
        <v>2557.4029996999998</v>
      </c>
      <c r="AD679" s="372">
        <v>3104.9918750000002</v>
      </c>
      <c r="AE679" s="372">
        <v>0</v>
      </c>
      <c r="AF679" s="372">
        <v>0</v>
      </c>
      <c r="AG679" s="372">
        <v>0</v>
      </c>
      <c r="AH679" s="372">
        <v>0</v>
      </c>
    </row>
    <row r="680" spans="1:34">
      <c r="A680" s="372" t="s">
        <v>5081</v>
      </c>
      <c r="B680" s="373" t="s">
        <v>5082</v>
      </c>
      <c r="C680" s="372" t="s">
        <v>5083</v>
      </c>
      <c r="D680" s="374">
        <v>1101112125262</v>
      </c>
      <c r="E680" s="372" t="s">
        <v>5084</v>
      </c>
      <c r="F680" s="375" t="s">
        <v>1761</v>
      </c>
      <c r="G680" s="375" t="s">
        <v>1761</v>
      </c>
      <c r="H680" s="375" t="s">
        <v>853</v>
      </c>
      <c r="I680" s="375" t="s">
        <v>755</v>
      </c>
      <c r="J680" s="375">
        <v>3425595.9973599999</v>
      </c>
      <c r="K680" s="375">
        <v>51107.089820000001</v>
      </c>
      <c r="L680" s="375">
        <v>30488.306250000001</v>
      </c>
      <c r="M680" s="375">
        <v>400371.90389000002</v>
      </c>
      <c r="N680" s="372">
        <v>0.61399999999999999</v>
      </c>
      <c r="O680" s="703">
        <v>52.487400920662054</v>
      </c>
      <c r="P680" s="375" t="s">
        <v>623</v>
      </c>
      <c r="Q680" s="375" t="s">
        <v>623</v>
      </c>
      <c r="R680" s="695">
        <v>20100730</v>
      </c>
      <c r="S680" s="375" t="s">
        <v>5085</v>
      </c>
      <c r="T680" s="696">
        <v>0.23100000000000001</v>
      </c>
      <c r="U680" s="372" t="s">
        <v>5086</v>
      </c>
      <c r="V680" s="722">
        <v>4.6399999999999997</v>
      </c>
      <c r="W680" s="722">
        <v>0.78</v>
      </c>
      <c r="X680" s="722">
        <v>0.08</v>
      </c>
      <c r="Y680" s="722">
        <v>18.98</v>
      </c>
      <c r="Z680" s="382" t="s">
        <v>934</v>
      </c>
      <c r="AA680" s="372">
        <v>28394.112953700002</v>
      </c>
      <c r="AB680" s="372">
        <v>31324.917795599998</v>
      </c>
      <c r="AC680" s="372">
        <v>35881.746959399999</v>
      </c>
      <c r="AD680" s="372">
        <v>34255.959973600002</v>
      </c>
      <c r="AE680" s="372">
        <v>37260</v>
      </c>
      <c r="AF680" s="372">
        <v>39760</v>
      </c>
      <c r="AG680" s="372">
        <v>0</v>
      </c>
      <c r="AH680" s="372">
        <v>0</v>
      </c>
    </row>
    <row r="681" spans="1:34">
      <c r="A681" s="372" t="s">
        <v>5087</v>
      </c>
      <c r="B681" s="373" t="s">
        <v>5088</v>
      </c>
      <c r="C681" s="372" t="s">
        <v>5089</v>
      </c>
      <c r="D681" s="374">
        <v>1801110029438</v>
      </c>
      <c r="E681" s="372" t="s">
        <v>5090</v>
      </c>
      <c r="F681" s="375" t="s">
        <v>1867</v>
      </c>
      <c r="G681" s="375" t="s">
        <v>1868</v>
      </c>
      <c r="H681" s="375" t="s">
        <v>4894</v>
      </c>
      <c r="I681" s="375" t="s">
        <v>869</v>
      </c>
      <c r="J681" s="375">
        <v>736557.42842999997</v>
      </c>
      <c r="K681" s="375">
        <v>30000.134269999999</v>
      </c>
      <c r="L681" s="375">
        <v>59737.508260000002</v>
      </c>
      <c r="M681" s="375">
        <v>1035603.60547</v>
      </c>
      <c r="N681" s="372">
        <v>0.78400000000000003</v>
      </c>
      <c r="O681" s="703">
        <v>54.413524768399043</v>
      </c>
      <c r="P681" s="375" t="s">
        <v>623</v>
      </c>
      <c r="Q681" s="372" t="s">
        <v>623</v>
      </c>
      <c r="R681" s="695">
        <v>19941222</v>
      </c>
      <c r="S681" s="372" t="s">
        <v>5091</v>
      </c>
      <c r="T681" s="696">
        <v>0.23100000000000001</v>
      </c>
      <c r="U681" s="372" t="s">
        <v>5092</v>
      </c>
      <c r="V681" s="722">
        <v>8.93</v>
      </c>
      <c r="W681" s="722">
        <v>0.28000000000000003</v>
      </c>
      <c r="X681" s="722">
        <v>0.39</v>
      </c>
      <c r="Y681" s="722">
        <v>6.74</v>
      </c>
      <c r="Z681" s="382" t="s">
        <v>934</v>
      </c>
      <c r="AA681" s="372">
        <v>6306.1565831999997</v>
      </c>
      <c r="AB681" s="372">
        <v>4207.3305018999999</v>
      </c>
      <c r="AC681" s="372">
        <v>5815.0417995999996</v>
      </c>
      <c r="AD681" s="372">
        <v>7365.5742842999998</v>
      </c>
      <c r="AE681" s="372">
        <v>6550</v>
      </c>
      <c r="AF681" s="372">
        <v>7250</v>
      </c>
      <c r="AG681" s="372">
        <v>0</v>
      </c>
      <c r="AH681" s="372">
        <v>0</v>
      </c>
    </row>
    <row r="682" spans="1:34">
      <c r="A682" s="372" t="s">
        <v>5093</v>
      </c>
      <c r="B682" s="373" t="s">
        <v>5094</v>
      </c>
      <c r="C682" s="372" t="s">
        <v>5095</v>
      </c>
      <c r="D682" s="374">
        <v>1101111892333</v>
      </c>
      <c r="E682" s="372" t="s">
        <v>5096</v>
      </c>
      <c r="F682" s="375" t="s">
        <v>1368</v>
      </c>
      <c r="G682" s="375" t="s">
        <v>1368</v>
      </c>
      <c r="H682" s="375" t="s">
        <v>868</v>
      </c>
      <c r="I682" s="375" t="s">
        <v>869</v>
      </c>
      <c r="J682" s="375">
        <v>0</v>
      </c>
      <c r="K682" s="375">
        <v>0</v>
      </c>
      <c r="L682" s="375">
        <v>0</v>
      </c>
      <c r="M682" s="375">
        <v>68994.279169999994</v>
      </c>
      <c r="N682" s="372">
        <v>0.54100000000000004</v>
      </c>
      <c r="O682" s="703">
        <v>2.2453107669219232</v>
      </c>
      <c r="P682" s="375" t="s">
        <v>623</v>
      </c>
      <c r="Q682" s="375" t="s">
        <v>623</v>
      </c>
      <c r="R682" s="695">
        <v>20211028</v>
      </c>
      <c r="S682" s="375" t="s">
        <v>5097</v>
      </c>
      <c r="T682" s="696" t="s">
        <v>772</v>
      </c>
      <c r="U682" s="375" t="s">
        <v>5098</v>
      </c>
      <c r="V682" s="722">
        <v>0</v>
      </c>
      <c r="W682" s="722">
        <v>3.28</v>
      </c>
      <c r="X682" s="722">
        <v>0</v>
      </c>
      <c r="Y682" s="722">
        <v>0</v>
      </c>
      <c r="Z682" s="382">
        <v>0.20702646564577187</v>
      </c>
      <c r="AA682" s="372">
        <v>792.18232509999996</v>
      </c>
      <c r="AB682" s="372">
        <v>716.18219780000004</v>
      </c>
      <c r="AC682" s="372">
        <v>853.35168950000002</v>
      </c>
      <c r="AD682" s="372">
        <v>1486.8591295000001</v>
      </c>
      <c r="AE682" s="372">
        <v>2116</v>
      </c>
      <c r="AF682" s="372">
        <v>2527</v>
      </c>
      <c r="AG682" s="372">
        <v>3156</v>
      </c>
      <c r="AH682" s="372">
        <v>0</v>
      </c>
    </row>
    <row r="683" spans="1:34">
      <c r="A683" s="372" t="s">
        <v>5099</v>
      </c>
      <c r="B683" s="373" t="s">
        <v>5100</v>
      </c>
      <c r="C683" s="372" t="s">
        <v>5101</v>
      </c>
      <c r="D683" s="374">
        <v>2011110000440</v>
      </c>
      <c r="E683" s="372" t="s">
        <v>5102</v>
      </c>
      <c r="F683" s="372" t="s">
        <v>5103</v>
      </c>
      <c r="G683" s="375" t="s">
        <v>5103</v>
      </c>
      <c r="H683" s="375" t="s">
        <v>1481</v>
      </c>
      <c r="I683" s="375" t="s">
        <v>755</v>
      </c>
      <c r="J683" s="375">
        <v>816904.44553000003</v>
      </c>
      <c r="K683" s="375">
        <v>39415.273350000003</v>
      </c>
      <c r="L683" s="375">
        <v>30979.228760000002</v>
      </c>
      <c r="M683" s="375">
        <v>826684.10681000003</v>
      </c>
      <c r="N683" s="372">
        <v>0.59</v>
      </c>
      <c r="O683" s="703">
        <v>232.35677209311777</v>
      </c>
      <c r="P683" s="375" t="s">
        <v>623</v>
      </c>
      <c r="Q683" s="375" t="s">
        <v>623</v>
      </c>
      <c r="R683" s="695">
        <v>19780630</v>
      </c>
      <c r="S683" s="375" t="s">
        <v>5104</v>
      </c>
      <c r="T683" s="696">
        <v>0.23100000000000001</v>
      </c>
      <c r="U683" s="375" t="s">
        <v>5105</v>
      </c>
      <c r="V683" s="722">
        <v>14.84</v>
      </c>
      <c r="W683" s="722">
        <v>0.51</v>
      </c>
      <c r="X683" s="722">
        <v>0.28999999999999998</v>
      </c>
      <c r="Y683" s="722">
        <v>586.38</v>
      </c>
      <c r="Z683" s="382" t="s">
        <v>934</v>
      </c>
      <c r="AA683" s="372">
        <v>7052.2674401000004</v>
      </c>
      <c r="AB683" s="372">
        <v>7462.9140463000003</v>
      </c>
      <c r="AC683" s="372">
        <v>7980.3961325</v>
      </c>
      <c r="AD683" s="372">
        <v>8169.0444552999998</v>
      </c>
      <c r="AE683" s="372">
        <v>0</v>
      </c>
      <c r="AF683" s="372">
        <v>0</v>
      </c>
      <c r="AG683" s="372">
        <v>0</v>
      </c>
      <c r="AH683" s="372">
        <v>0</v>
      </c>
    </row>
    <row r="684" spans="1:34">
      <c r="A684" s="372" t="s">
        <v>5106</v>
      </c>
      <c r="B684" s="373" t="s">
        <v>5107</v>
      </c>
      <c r="C684" s="372" t="s">
        <v>5108</v>
      </c>
      <c r="D684" s="374">
        <v>1350110108445</v>
      </c>
      <c r="E684" s="372" t="s">
        <v>5109</v>
      </c>
      <c r="F684" s="375" t="s">
        <v>1614</v>
      </c>
      <c r="G684" s="375" t="s">
        <v>1615</v>
      </c>
      <c r="H684" s="375" t="s">
        <v>868</v>
      </c>
      <c r="I684" s="375" t="s">
        <v>869</v>
      </c>
      <c r="J684" s="375">
        <v>12196.671039999999</v>
      </c>
      <c r="K684" s="375">
        <v>3501.6229699999999</v>
      </c>
      <c r="L684" s="375">
        <v>3954.8013900000001</v>
      </c>
      <c r="M684" s="375">
        <v>36038.751120000001</v>
      </c>
      <c r="N684" s="372">
        <v>0.76100000000000001</v>
      </c>
      <c r="O684" s="703">
        <v>0.17408981970653759</v>
      </c>
      <c r="P684" s="375" t="s">
        <v>623</v>
      </c>
      <c r="Q684" s="372" t="s">
        <v>623</v>
      </c>
      <c r="R684" s="695">
        <v>20201223</v>
      </c>
      <c r="S684" s="372" t="s">
        <v>5110</v>
      </c>
      <c r="T684" s="696">
        <v>0.20900000000000002</v>
      </c>
      <c r="U684" s="375" t="s">
        <v>5111</v>
      </c>
      <c r="V684" s="722">
        <v>70.19</v>
      </c>
      <c r="W684" s="722">
        <v>8.52</v>
      </c>
      <c r="X684" s="722">
        <v>25.18</v>
      </c>
      <c r="Y684" s="722">
        <v>88.99</v>
      </c>
      <c r="Z684" s="382" t="s">
        <v>934</v>
      </c>
      <c r="AA684" s="372">
        <v>67.227474700000002</v>
      </c>
      <c r="AB684" s="372">
        <v>90.596626400000005</v>
      </c>
      <c r="AC684" s="372">
        <v>123.45756299999999</v>
      </c>
      <c r="AD684" s="372">
        <v>121.9667104</v>
      </c>
      <c r="AE684" s="372">
        <v>0</v>
      </c>
      <c r="AF684" s="372">
        <v>0</v>
      </c>
      <c r="AG684" s="372">
        <v>0</v>
      </c>
      <c r="AH684" s="372">
        <v>0</v>
      </c>
    </row>
    <row r="685" spans="1:34">
      <c r="A685" s="372" t="s">
        <v>5112</v>
      </c>
      <c r="B685" s="373" t="s">
        <v>5113</v>
      </c>
      <c r="C685" s="372" t="s">
        <v>5114</v>
      </c>
      <c r="D685" s="374">
        <v>1101110124802</v>
      </c>
      <c r="E685" s="372" t="s">
        <v>5115</v>
      </c>
      <c r="F685" s="375" t="s">
        <v>1334</v>
      </c>
      <c r="G685" s="375" t="s">
        <v>1334</v>
      </c>
      <c r="H685" s="375" t="s">
        <v>788</v>
      </c>
      <c r="I685" s="375" t="s">
        <v>755</v>
      </c>
      <c r="J685" s="375">
        <v>370537.40672999999</v>
      </c>
      <c r="K685" s="375">
        <v>24812.856339999998</v>
      </c>
      <c r="L685" s="375">
        <v>3048.10682</v>
      </c>
      <c r="M685" s="375">
        <v>263027.70445000002</v>
      </c>
      <c r="N685" s="372">
        <v>0.91900000000000004</v>
      </c>
      <c r="O685" s="703">
        <v>34.168460530733853</v>
      </c>
      <c r="P685" s="375" t="s">
        <v>623</v>
      </c>
      <c r="Q685" s="375" t="s">
        <v>623</v>
      </c>
      <c r="R685" s="695">
        <v>19740828</v>
      </c>
      <c r="S685" s="375" t="s">
        <v>5116</v>
      </c>
      <c r="T685" s="696">
        <v>0.20900000000000002</v>
      </c>
      <c r="U685" s="372" t="s">
        <v>5117</v>
      </c>
      <c r="V685" s="722">
        <v>10.61</v>
      </c>
      <c r="W685" s="722">
        <v>1.28</v>
      </c>
      <c r="X685" s="722">
        <v>0.82</v>
      </c>
      <c r="Y685" s="722" t="s">
        <v>774</v>
      </c>
      <c r="Z685" s="382" t="s">
        <v>934</v>
      </c>
      <c r="AA685" s="372">
        <v>3433.2872394999999</v>
      </c>
      <c r="AB685" s="372">
        <v>3713.4750804</v>
      </c>
      <c r="AC685" s="372">
        <v>3838.1082178000001</v>
      </c>
      <c r="AD685" s="372">
        <v>3705.3740673000002</v>
      </c>
      <c r="AE685" s="372">
        <v>0</v>
      </c>
      <c r="AF685" s="372">
        <v>0</v>
      </c>
      <c r="AG685" s="372">
        <v>0</v>
      </c>
      <c r="AH685" s="372">
        <v>0</v>
      </c>
    </row>
    <row r="686" spans="1:34">
      <c r="A686" s="372" t="s">
        <v>5118</v>
      </c>
      <c r="B686" s="373" t="s">
        <v>5119</v>
      </c>
      <c r="C686" s="372" t="s">
        <v>5120</v>
      </c>
      <c r="D686" s="374">
        <v>1243110008204</v>
      </c>
      <c r="E686" s="372" t="s">
        <v>5121</v>
      </c>
      <c r="F686" s="375" t="s">
        <v>3924</v>
      </c>
      <c r="G686" s="375" t="s">
        <v>3924</v>
      </c>
      <c r="H686" s="375" t="s">
        <v>862</v>
      </c>
      <c r="I686" s="375" t="s">
        <v>755</v>
      </c>
      <c r="J686" s="375">
        <v>93760.17886</v>
      </c>
      <c r="K686" s="375">
        <v>33098.19945</v>
      </c>
      <c r="L686" s="375">
        <v>35085.843030000004</v>
      </c>
      <c r="M686" s="375">
        <v>252782.01063</v>
      </c>
      <c r="N686" s="372">
        <v>1.0880000000000001</v>
      </c>
      <c r="O686" s="703">
        <v>0</v>
      </c>
      <c r="P686" s="375" t="s">
        <v>623</v>
      </c>
      <c r="Q686" s="375" t="s">
        <v>623</v>
      </c>
      <c r="R686" s="695">
        <v>19971125</v>
      </c>
      <c r="S686" s="372" t="s">
        <v>5122</v>
      </c>
      <c r="T686" s="696">
        <v>0.23100000000000001</v>
      </c>
      <c r="U686" s="372" t="s">
        <v>5123</v>
      </c>
      <c r="V686" s="722">
        <v>0</v>
      </c>
      <c r="W686" s="722">
        <v>1.06</v>
      </c>
      <c r="X686" s="722">
        <v>3.08</v>
      </c>
      <c r="Y686" s="722">
        <v>10.47</v>
      </c>
      <c r="Z686" s="382" t="s">
        <v>934</v>
      </c>
      <c r="AA686" s="372">
        <v>0</v>
      </c>
      <c r="AB686" s="372">
        <v>1444.4296561000001</v>
      </c>
      <c r="AC686" s="372">
        <v>604.48538370000006</v>
      </c>
      <c r="AD686" s="372">
        <v>937.60178859999996</v>
      </c>
      <c r="AE686" s="372">
        <v>0</v>
      </c>
      <c r="AF686" s="372">
        <v>0</v>
      </c>
      <c r="AG686" s="372">
        <v>0</v>
      </c>
      <c r="AH686" s="372">
        <v>0</v>
      </c>
    </row>
    <row r="687" spans="1:34">
      <c r="A687" s="372" t="s">
        <v>5124</v>
      </c>
      <c r="B687" s="373" t="s">
        <v>5125</v>
      </c>
      <c r="C687" s="372" t="s">
        <v>5126</v>
      </c>
      <c r="D687" s="374">
        <v>1101110043870</v>
      </c>
      <c r="E687" s="372" t="s">
        <v>5127</v>
      </c>
      <c r="F687" s="375" t="s">
        <v>1334</v>
      </c>
      <c r="G687" s="375" t="s">
        <v>1334</v>
      </c>
      <c r="H687" s="375" t="s">
        <v>788</v>
      </c>
      <c r="I687" s="375" t="s">
        <v>755</v>
      </c>
      <c r="J687" s="375">
        <v>361108.56199999998</v>
      </c>
      <c r="K687" s="375">
        <v>18775.880120000002</v>
      </c>
      <c r="L687" s="375">
        <v>36955.579790000003</v>
      </c>
      <c r="M687" s="375">
        <v>407056.36573999998</v>
      </c>
      <c r="N687" s="372">
        <v>0.86299999999999999</v>
      </c>
      <c r="O687" s="703">
        <v>20.072183495095782</v>
      </c>
      <c r="P687" s="375" t="s">
        <v>623</v>
      </c>
      <c r="Q687" s="375" t="s">
        <v>623</v>
      </c>
      <c r="R687" s="695">
        <v>19760324</v>
      </c>
      <c r="S687" s="375" t="s">
        <v>5128</v>
      </c>
      <c r="T687" s="696">
        <v>0.23100000000000001</v>
      </c>
      <c r="U687" s="375" t="s">
        <v>5129</v>
      </c>
      <c r="V687" s="722">
        <v>9.86</v>
      </c>
      <c r="W687" s="722">
        <v>0.77</v>
      </c>
      <c r="X687" s="722">
        <v>0.79</v>
      </c>
      <c r="Y687" s="722">
        <v>10.45</v>
      </c>
      <c r="Z687" s="382" t="s">
        <v>934</v>
      </c>
      <c r="AA687" s="372">
        <v>2720.7538380000001</v>
      </c>
      <c r="AB687" s="372">
        <v>2930.1811201999999</v>
      </c>
      <c r="AC687" s="372">
        <v>3404.263273</v>
      </c>
      <c r="AD687" s="372">
        <v>3611.0856199999998</v>
      </c>
      <c r="AE687" s="372">
        <v>4073</v>
      </c>
      <c r="AF687" s="372">
        <v>4370</v>
      </c>
      <c r="AG687" s="372">
        <v>0</v>
      </c>
      <c r="AH687" s="372">
        <v>0</v>
      </c>
    </row>
    <row r="688" spans="1:34">
      <c r="A688" s="372" t="s">
        <v>5130</v>
      </c>
      <c r="B688" s="373" t="s">
        <v>5131</v>
      </c>
      <c r="C688" s="372" t="s">
        <v>5132</v>
      </c>
      <c r="D688" s="374">
        <v>1351110047419</v>
      </c>
      <c r="E688" s="372" t="s">
        <v>5133</v>
      </c>
      <c r="F688" s="375" t="s">
        <v>1985</v>
      </c>
      <c r="G688" s="375" t="s">
        <v>1985</v>
      </c>
      <c r="H688" s="375" t="s">
        <v>868</v>
      </c>
      <c r="I688" s="375" t="s">
        <v>869</v>
      </c>
      <c r="J688" s="375">
        <v>335958.32552999997</v>
      </c>
      <c r="K688" s="375">
        <v>22817.285080000001</v>
      </c>
      <c r="L688" s="375">
        <v>25479.83224</v>
      </c>
      <c r="M688" s="375">
        <v>276633.57986</v>
      </c>
      <c r="N688" s="372">
        <v>1.117</v>
      </c>
      <c r="O688" s="703">
        <v>28.406088115512752</v>
      </c>
      <c r="P688" s="375" t="s">
        <v>623</v>
      </c>
      <c r="Q688" s="372" t="s">
        <v>623</v>
      </c>
      <c r="R688" s="695">
        <v>20190805</v>
      </c>
      <c r="S688" s="372" t="s">
        <v>5134</v>
      </c>
      <c r="T688" s="696">
        <v>0.23100000000000001</v>
      </c>
      <c r="U688" s="375" t="s">
        <v>5135</v>
      </c>
      <c r="V688" s="722">
        <v>14.78</v>
      </c>
      <c r="W688" s="722">
        <v>1.8</v>
      </c>
      <c r="X688" s="722">
        <v>0.89</v>
      </c>
      <c r="Y688" s="722">
        <v>25.32</v>
      </c>
      <c r="Z688" s="382" t="s">
        <v>934</v>
      </c>
      <c r="AA688" s="372">
        <v>453.54760700000003</v>
      </c>
      <c r="AB688" s="372">
        <v>1063.4989989000001</v>
      </c>
      <c r="AC688" s="372">
        <v>2011.5491632999999</v>
      </c>
      <c r="AD688" s="372">
        <v>3359.5832553</v>
      </c>
      <c r="AE688" s="372">
        <v>4286</v>
      </c>
      <c r="AF688" s="372">
        <v>5005</v>
      </c>
      <c r="AG688" s="372">
        <v>0</v>
      </c>
      <c r="AH688" s="372">
        <v>0</v>
      </c>
    </row>
    <row r="689" spans="1:34">
      <c r="A689" s="372" t="s">
        <v>5136</v>
      </c>
      <c r="B689" s="373" t="s">
        <v>5137</v>
      </c>
      <c r="C689" s="372" t="s">
        <v>5138</v>
      </c>
      <c r="D689" s="374">
        <v>1101111905516</v>
      </c>
      <c r="E689" s="372" t="s">
        <v>5139</v>
      </c>
      <c r="F689" s="375" t="s">
        <v>1714</v>
      </c>
      <c r="G689" s="375" t="s">
        <v>1714</v>
      </c>
      <c r="H689" s="375" t="s">
        <v>1348</v>
      </c>
      <c r="I689" s="375" t="s">
        <v>869</v>
      </c>
      <c r="J689" s="375">
        <v>146769.14017999999</v>
      </c>
      <c r="K689" s="375">
        <v>20516.81235</v>
      </c>
      <c r="L689" s="375">
        <v>21895.249179999999</v>
      </c>
      <c r="M689" s="375">
        <v>250975.23104000001</v>
      </c>
      <c r="N689" s="372">
        <v>0.53</v>
      </c>
      <c r="O689" s="703">
        <v>4.6144073354777779</v>
      </c>
      <c r="P689" s="375" t="s">
        <v>623</v>
      </c>
      <c r="Q689" s="375" t="s">
        <v>623</v>
      </c>
      <c r="R689" s="695">
        <v>20130717</v>
      </c>
      <c r="S689" s="375" t="s">
        <v>5140</v>
      </c>
      <c r="T689" s="696">
        <v>0.23100000000000001</v>
      </c>
      <c r="U689" s="372" t="s">
        <v>5141</v>
      </c>
      <c r="V689" s="722">
        <v>10.25</v>
      </c>
      <c r="W689" s="722">
        <v>1.17</v>
      </c>
      <c r="X689" s="722">
        <v>1.76</v>
      </c>
      <c r="Y689" s="722">
        <v>15.43</v>
      </c>
      <c r="Z689" s="382">
        <v>6.0903201624053382E-2</v>
      </c>
      <c r="AA689" s="372">
        <v>1116.410766</v>
      </c>
      <c r="AB689" s="372">
        <v>1241.6071311999999</v>
      </c>
      <c r="AC689" s="372">
        <v>1523.9354212000001</v>
      </c>
      <c r="AD689" s="372">
        <v>1467.6914018</v>
      </c>
      <c r="AE689" s="372">
        <v>1624.33</v>
      </c>
      <c r="AF689" s="372">
        <v>1772.2</v>
      </c>
      <c r="AG689" s="372">
        <v>1859.25</v>
      </c>
      <c r="AH689" s="372">
        <v>0</v>
      </c>
    </row>
    <row r="690" spans="1:34">
      <c r="A690" s="372" t="s">
        <v>5142</v>
      </c>
      <c r="B690" s="373" t="s">
        <v>5143</v>
      </c>
      <c r="C690" s="372" t="s">
        <v>16153</v>
      </c>
      <c r="D690" s="374">
        <v>1713110003504</v>
      </c>
      <c r="E690" s="372" t="s">
        <v>16154</v>
      </c>
      <c r="F690" s="375" t="s">
        <v>2305</v>
      </c>
      <c r="G690" s="375" t="s">
        <v>5144</v>
      </c>
      <c r="H690" s="375" t="s">
        <v>832</v>
      </c>
      <c r="I690" s="375" t="s">
        <v>755</v>
      </c>
      <c r="J690" s="375">
        <v>456198.06701</v>
      </c>
      <c r="K690" s="375">
        <v>33813.729099999997</v>
      </c>
      <c r="L690" s="375">
        <v>41927.175260000004</v>
      </c>
      <c r="M690" s="375">
        <v>281752.70445000002</v>
      </c>
      <c r="N690" s="372">
        <v>0.94499999999999995</v>
      </c>
      <c r="O690" s="703">
        <v>3.4723838247069954</v>
      </c>
      <c r="P690" s="375" t="s">
        <v>623</v>
      </c>
      <c r="Q690" s="372" t="s">
        <v>623</v>
      </c>
      <c r="R690" s="695">
        <v>20110615</v>
      </c>
      <c r="S690" s="372" t="s">
        <v>5145</v>
      </c>
      <c r="T690" s="696">
        <v>0.23100000000000001</v>
      </c>
      <c r="U690" s="375" t="s">
        <v>5146</v>
      </c>
      <c r="V690" s="722">
        <v>6.15</v>
      </c>
      <c r="W690" s="722">
        <v>1.06</v>
      </c>
      <c r="X690" s="722">
        <v>0.65</v>
      </c>
      <c r="Y690" s="722">
        <v>9.07</v>
      </c>
      <c r="Z690" s="382" t="s">
        <v>934</v>
      </c>
      <c r="AA690" s="372">
        <v>2951.8252634999999</v>
      </c>
      <c r="AB690" s="372">
        <v>4052.7222485000002</v>
      </c>
      <c r="AC690" s="372">
        <v>5180.7586160000001</v>
      </c>
      <c r="AD690" s="372">
        <v>4561.9806700999998</v>
      </c>
      <c r="AE690" s="372">
        <v>5098</v>
      </c>
      <c r="AF690" s="372">
        <v>5834</v>
      </c>
      <c r="AG690" s="372">
        <v>0</v>
      </c>
      <c r="AH690" s="372">
        <v>0</v>
      </c>
    </row>
    <row r="691" spans="1:34">
      <c r="A691" s="372" t="s">
        <v>5147</v>
      </c>
      <c r="B691" s="373" t="s">
        <v>5148</v>
      </c>
      <c r="C691" s="372" t="s">
        <v>5149</v>
      </c>
      <c r="D691" s="374">
        <v>1101113805293</v>
      </c>
      <c r="E691" s="372" t="s">
        <v>5150</v>
      </c>
      <c r="F691" s="375" t="s">
        <v>1814</v>
      </c>
      <c r="G691" s="375" t="s">
        <v>1815</v>
      </c>
      <c r="H691" s="375" t="s">
        <v>1693</v>
      </c>
      <c r="I691" s="375" t="s">
        <v>869</v>
      </c>
      <c r="J691" s="375">
        <v>51088.22913</v>
      </c>
      <c r="K691" s="375">
        <v>16377.48544</v>
      </c>
      <c r="L691" s="375">
        <v>11637.078649999999</v>
      </c>
      <c r="M691" s="375">
        <v>72671.814830000003</v>
      </c>
      <c r="N691" s="372">
        <v>0.95499999999999996</v>
      </c>
      <c r="O691" s="703">
        <v>4.2726397395388274</v>
      </c>
      <c r="P691" s="375" t="s">
        <v>623</v>
      </c>
      <c r="Q691" s="375" t="s">
        <v>623</v>
      </c>
      <c r="R691" s="695">
        <v>20171130</v>
      </c>
      <c r="S691" s="375" t="s">
        <v>5151</v>
      </c>
      <c r="T691" s="696">
        <v>0.20900000000000002</v>
      </c>
      <c r="U691" s="375" t="s">
        <v>5152</v>
      </c>
      <c r="V691" s="722">
        <v>15.29</v>
      </c>
      <c r="W691" s="722">
        <v>3.96</v>
      </c>
      <c r="X691" s="722">
        <v>5.58</v>
      </c>
      <c r="Y691" s="722">
        <v>27.57</v>
      </c>
      <c r="Z691" s="382" t="s">
        <v>934</v>
      </c>
      <c r="AA691" s="372">
        <v>184.29751540000001</v>
      </c>
      <c r="AB691" s="372">
        <v>335.26682399999999</v>
      </c>
      <c r="AC691" s="372">
        <v>439.14433769999999</v>
      </c>
      <c r="AD691" s="372">
        <v>510.88229130000002</v>
      </c>
      <c r="AE691" s="372">
        <v>575</v>
      </c>
      <c r="AF691" s="372">
        <v>709</v>
      </c>
      <c r="AG691" s="372">
        <v>0</v>
      </c>
      <c r="AH691" s="372">
        <v>0</v>
      </c>
    </row>
    <row r="692" spans="1:34">
      <c r="A692" s="372" t="s">
        <v>5153</v>
      </c>
      <c r="B692" s="373" t="s">
        <v>5154</v>
      </c>
      <c r="C692" s="372" t="s">
        <v>5155</v>
      </c>
      <c r="D692" s="374">
        <v>1101111258220</v>
      </c>
      <c r="E692" s="372" t="s">
        <v>5156</v>
      </c>
      <c r="F692" s="375" t="s">
        <v>3924</v>
      </c>
      <c r="G692" s="375" t="s">
        <v>3924</v>
      </c>
      <c r="H692" s="375" t="s">
        <v>862</v>
      </c>
      <c r="I692" s="375" t="s">
        <v>755</v>
      </c>
      <c r="J692" s="375">
        <v>270086.08270000003</v>
      </c>
      <c r="K692" s="375">
        <v>31235.368979999999</v>
      </c>
      <c r="L692" s="375">
        <v>-9545.2716</v>
      </c>
      <c r="M692" s="375">
        <v>1007337.9347400001</v>
      </c>
      <c r="N692" s="372">
        <v>0.81200000000000006</v>
      </c>
      <c r="O692" s="703">
        <v>308.28101372803513</v>
      </c>
      <c r="P692" s="375" t="s">
        <v>623</v>
      </c>
      <c r="Q692" s="375" t="s">
        <v>623</v>
      </c>
      <c r="R692" s="695">
        <v>20010518</v>
      </c>
      <c r="S692" s="375" t="s">
        <v>5157</v>
      </c>
      <c r="T692" s="696" t="s">
        <v>772</v>
      </c>
      <c r="U692" s="372" t="s">
        <v>5158</v>
      </c>
      <c r="V692" s="722">
        <v>0</v>
      </c>
      <c r="W692" s="722">
        <v>0.28000000000000003</v>
      </c>
      <c r="X692" s="722">
        <v>1.1000000000000001</v>
      </c>
      <c r="Y692" s="722" t="s">
        <v>774</v>
      </c>
      <c r="Z692" s="382" t="s">
        <v>934</v>
      </c>
      <c r="AA692" s="372">
        <v>2374.3067758000002</v>
      </c>
      <c r="AB692" s="372">
        <v>2255.0102117000001</v>
      </c>
      <c r="AC692" s="372">
        <v>2128.5823303000002</v>
      </c>
      <c r="AD692" s="372">
        <v>2700.860827</v>
      </c>
      <c r="AE692" s="372">
        <v>2020</v>
      </c>
      <c r="AF692" s="372">
        <v>0</v>
      </c>
      <c r="AG692" s="372">
        <v>0</v>
      </c>
      <c r="AH692" s="372">
        <v>0</v>
      </c>
    </row>
    <row r="693" spans="1:34">
      <c r="A693" s="372" t="s">
        <v>5159</v>
      </c>
      <c r="B693" s="373" t="s">
        <v>5160</v>
      </c>
      <c r="C693" s="372" t="s">
        <v>5161</v>
      </c>
      <c r="D693" s="374">
        <v>1101113224849</v>
      </c>
      <c r="E693" s="372" t="s">
        <v>5162</v>
      </c>
      <c r="F693" s="375" t="s">
        <v>982</v>
      </c>
      <c r="G693" s="375" t="s">
        <v>983</v>
      </c>
      <c r="H693" s="375" t="s">
        <v>1693</v>
      </c>
      <c r="I693" s="375" t="s">
        <v>869</v>
      </c>
      <c r="J693" s="375">
        <v>2815145.2013599998</v>
      </c>
      <c r="K693" s="375">
        <v>30518.76799</v>
      </c>
      <c r="L693" s="375">
        <v>601.53655000000003</v>
      </c>
      <c r="M693" s="375">
        <v>284410.59087999997</v>
      </c>
      <c r="N693" s="372">
        <v>0.87</v>
      </c>
      <c r="O693" s="703">
        <v>128.87534513335478</v>
      </c>
      <c r="P693" s="375" t="s">
        <v>623</v>
      </c>
      <c r="Q693" s="375" t="s">
        <v>623</v>
      </c>
      <c r="R693" s="695">
        <v>20130701</v>
      </c>
      <c r="S693" s="375" t="s">
        <v>5163</v>
      </c>
      <c r="T693" s="696">
        <v>0.20900000000000002</v>
      </c>
      <c r="U693" s="375" t="s">
        <v>5164</v>
      </c>
      <c r="V693" s="722">
        <v>8.99</v>
      </c>
      <c r="W693" s="722">
        <v>2.4500000000000002</v>
      </c>
      <c r="X693" s="722">
        <v>0.06</v>
      </c>
      <c r="Y693" s="722">
        <v>259.83999999999997</v>
      </c>
      <c r="Z693" s="382" t="s">
        <v>934</v>
      </c>
      <c r="AA693" s="372">
        <v>22750.826805799999</v>
      </c>
      <c r="AB693" s="372">
        <v>32808.8449081</v>
      </c>
      <c r="AC693" s="372">
        <v>26210.543781199998</v>
      </c>
      <c r="AD693" s="372">
        <v>28151.452013599999</v>
      </c>
      <c r="AE693" s="372">
        <v>0</v>
      </c>
      <c r="AF693" s="372">
        <v>0</v>
      </c>
      <c r="AG693" s="372">
        <v>0</v>
      </c>
      <c r="AH693" s="372">
        <v>0</v>
      </c>
    </row>
    <row r="694" spans="1:34">
      <c r="A694" s="372" t="s">
        <v>5165</v>
      </c>
      <c r="B694" s="373" t="s">
        <v>5166</v>
      </c>
      <c r="C694" s="372" t="s">
        <v>5167</v>
      </c>
      <c r="D694" s="374">
        <v>1615110001613</v>
      </c>
      <c r="E694" s="372" t="s">
        <v>5168</v>
      </c>
      <c r="F694" s="372" t="s">
        <v>5169</v>
      </c>
      <c r="G694" s="375" t="s">
        <v>5169</v>
      </c>
      <c r="H694" s="375" t="s">
        <v>1397</v>
      </c>
      <c r="I694" s="375" t="s">
        <v>755</v>
      </c>
      <c r="J694" s="375">
        <v>324740.17277</v>
      </c>
      <c r="K694" s="375">
        <v>50231.142469999999</v>
      </c>
      <c r="L694" s="375">
        <v>54079.632230000003</v>
      </c>
      <c r="M694" s="375">
        <v>498947.23686</v>
      </c>
      <c r="N694" s="372">
        <v>1.016</v>
      </c>
      <c r="O694" s="703">
        <v>13.266132218619095</v>
      </c>
      <c r="P694" s="375" t="s">
        <v>623</v>
      </c>
      <c r="Q694" s="375" t="s">
        <v>623</v>
      </c>
      <c r="R694" s="695">
        <v>20220801</v>
      </c>
      <c r="S694" s="375" t="s">
        <v>5170</v>
      </c>
      <c r="T694" s="696">
        <v>0.23100000000000001</v>
      </c>
      <c r="U694" s="372" t="s">
        <v>5171</v>
      </c>
      <c r="V694" s="722">
        <v>4.43</v>
      </c>
      <c r="W694" s="722">
        <v>0.54</v>
      </c>
      <c r="X694" s="722">
        <v>0.83</v>
      </c>
      <c r="Y694" s="722">
        <v>5.54</v>
      </c>
      <c r="Z694" s="382" t="s">
        <v>934</v>
      </c>
      <c r="AA694" s="372">
        <v>2638.8658005000002</v>
      </c>
      <c r="AB694" s="372">
        <v>2941.1071265</v>
      </c>
      <c r="AC694" s="372">
        <v>3035.3943792999999</v>
      </c>
      <c r="AD694" s="372">
        <v>3247.4017276999998</v>
      </c>
      <c r="AE694" s="372">
        <v>3612</v>
      </c>
      <c r="AF694" s="372">
        <v>4098</v>
      </c>
      <c r="AG694" s="372">
        <v>0</v>
      </c>
      <c r="AH694" s="372">
        <v>0</v>
      </c>
    </row>
    <row r="695" spans="1:34">
      <c r="A695" s="372" t="s">
        <v>5172</v>
      </c>
      <c r="B695" s="373" t="s">
        <v>5173</v>
      </c>
      <c r="C695" s="372" t="s">
        <v>5174</v>
      </c>
      <c r="D695" s="374">
        <v>1101110065395</v>
      </c>
      <c r="E695" s="372" t="s">
        <v>5175</v>
      </c>
      <c r="F695" s="375" t="s">
        <v>2771</v>
      </c>
      <c r="G695" s="375" t="s">
        <v>2772</v>
      </c>
      <c r="H695" s="375" t="s">
        <v>817</v>
      </c>
      <c r="I695" s="375" t="s">
        <v>755</v>
      </c>
      <c r="J695" s="375">
        <v>1045305.56322</v>
      </c>
      <c r="K695" s="375">
        <v>-35227.804649999998</v>
      </c>
      <c r="L695" s="375">
        <v>-38751.900569999998</v>
      </c>
      <c r="M695" s="375">
        <v>493860.72191999998</v>
      </c>
      <c r="N695" s="372">
        <v>1.0940000000000001</v>
      </c>
      <c r="O695" s="703">
        <v>58.701068279704529</v>
      </c>
      <c r="P695" s="375" t="s">
        <v>623</v>
      </c>
      <c r="Q695" s="372" t="s">
        <v>623</v>
      </c>
      <c r="R695" s="695">
        <v>19870324</v>
      </c>
      <c r="S695" s="372" t="s">
        <v>5176</v>
      </c>
      <c r="T695" s="696" t="s">
        <v>772</v>
      </c>
      <c r="U695" s="372" t="s">
        <v>5177</v>
      </c>
      <c r="V695" s="722" t="s">
        <v>774</v>
      </c>
      <c r="W695" s="722">
        <v>0.45</v>
      </c>
      <c r="X695" s="722">
        <v>0.21</v>
      </c>
      <c r="Y695" s="722" t="s">
        <v>774</v>
      </c>
      <c r="Z695" s="382" t="s">
        <v>934</v>
      </c>
      <c r="AA695" s="372">
        <v>6802.4292273999999</v>
      </c>
      <c r="AB695" s="372">
        <v>8557.0401492000001</v>
      </c>
      <c r="AC695" s="372">
        <v>12811.571552699999</v>
      </c>
      <c r="AD695" s="372">
        <v>10453.055632199999</v>
      </c>
      <c r="AE695" s="372">
        <v>0</v>
      </c>
      <c r="AF695" s="372">
        <v>0</v>
      </c>
      <c r="AG695" s="372">
        <v>0</v>
      </c>
      <c r="AH695" s="372">
        <v>0</v>
      </c>
    </row>
    <row r="696" spans="1:34">
      <c r="A696" s="372" t="s">
        <v>5178</v>
      </c>
      <c r="B696" s="373" t="s">
        <v>5179</v>
      </c>
      <c r="C696" s="372" t="s">
        <v>5180</v>
      </c>
      <c r="D696" s="374">
        <v>1101110707674</v>
      </c>
      <c r="E696" s="372" t="s">
        <v>5181</v>
      </c>
      <c r="F696" s="372" t="s">
        <v>5182</v>
      </c>
      <c r="G696" s="375" t="s">
        <v>5183</v>
      </c>
      <c r="H696" s="375" t="s">
        <v>3127</v>
      </c>
      <c r="I696" s="375" t="s">
        <v>869</v>
      </c>
      <c r="J696" s="375">
        <v>2145067.6789899999</v>
      </c>
      <c r="K696" s="375">
        <v>53542.641949999997</v>
      </c>
      <c r="L696" s="375">
        <v>40217.076959999999</v>
      </c>
      <c r="M696" s="375">
        <v>377309.61271000002</v>
      </c>
      <c r="N696" s="372">
        <v>0.96199999999999997</v>
      </c>
      <c r="O696" s="703">
        <v>27.443748625056713</v>
      </c>
      <c r="P696" s="375" t="s">
        <v>623</v>
      </c>
      <c r="Q696" s="372" t="s">
        <v>623</v>
      </c>
      <c r="R696" s="695">
        <v>20000519</v>
      </c>
      <c r="S696" s="372" t="s">
        <v>5184</v>
      </c>
      <c r="T696" s="696">
        <v>0.23100000000000001</v>
      </c>
      <c r="U696" s="375" t="s">
        <v>5185</v>
      </c>
      <c r="V696" s="722">
        <v>5.74</v>
      </c>
      <c r="W696" s="722">
        <v>0.71</v>
      </c>
      <c r="X696" s="722">
        <v>0.13</v>
      </c>
      <c r="Y696" s="722">
        <v>8.33</v>
      </c>
      <c r="Z696" s="382" t="s">
        <v>934</v>
      </c>
      <c r="AA696" s="372">
        <v>12404.5834225</v>
      </c>
      <c r="AB696" s="372">
        <v>22319.758317</v>
      </c>
      <c r="AC696" s="372">
        <v>25443.857665</v>
      </c>
      <c r="AD696" s="372">
        <v>21450.676789900001</v>
      </c>
      <c r="AE696" s="372">
        <v>0</v>
      </c>
      <c r="AF696" s="372">
        <v>0</v>
      </c>
      <c r="AG696" s="372">
        <v>0</v>
      </c>
      <c r="AH696" s="372">
        <v>0</v>
      </c>
    </row>
    <row r="697" spans="1:34">
      <c r="A697" s="372" t="s">
        <v>5186</v>
      </c>
      <c r="B697" s="373" t="s">
        <v>5187</v>
      </c>
      <c r="C697" s="372" t="s">
        <v>5188</v>
      </c>
      <c r="D697" s="374">
        <v>1101110339542</v>
      </c>
      <c r="E697" s="372" t="s">
        <v>5189</v>
      </c>
      <c r="F697" s="375" t="s">
        <v>1334</v>
      </c>
      <c r="G697" s="375" t="s">
        <v>1334</v>
      </c>
      <c r="H697" s="375" t="s">
        <v>788</v>
      </c>
      <c r="I697" s="375" t="s">
        <v>755</v>
      </c>
      <c r="J697" s="375">
        <v>230393.57897999999</v>
      </c>
      <c r="K697" s="375">
        <v>30170.28786</v>
      </c>
      <c r="L697" s="375">
        <v>33793.312330000001</v>
      </c>
      <c r="M697" s="375">
        <v>358207.48058999999</v>
      </c>
      <c r="N697" s="372">
        <v>0.61599999999999999</v>
      </c>
      <c r="O697" s="703">
        <v>0.29277196507683723</v>
      </c>
      <c r="P697" s="375" t="s">
        <v>623</v>
      </c>
      <c r="Q697" s="372" t="s">
        <v>623</v>
      </c>
      <c r="R697" s="695">
        <v>19960703</v>
      </c>
      <c r="S697" s="375" t="s">
        <v>5190</v>
      </c>
      <c r="T697" s="696">
        <v>0.23100000000000001</v>
      </c>
      <c r="U697" s="375" t="s">
        <v>5191</v>
      </c>
      <c r="V697" s="722">
        <v>7.6</v>
      </c>
      <c r="W697" s="722">
        <v>0.76</v>
      </c>
      <c r="X697" s="722">
        <v>1.21</v>
      </c>
      <c r="Y697" s="722">
        <v>9.4</v>
      </c>
      <c r="Z697" s="382">
        <v>8.1248635362858757E-2</v>
      </c>
      <c r="AA697" s="372">
        <v>1717.0540497</v>
      </c>
      <c r="AB697" s="372">
        <v>1777.7570060999999</v>
      </c>
      <c r="AC697" s="372">
        <v>1989.3473438999999</v>
      </c>
      <c r="AD697" s="372">
        <v>2303.9357897999998</v>
      </c>
      <c r="AE697" s="372">
        <v>2573.5</v>
      </c>
      <c r="AF697" s="372">
        <v>2800.5</v>
      </c>
      <c r="AG697" s="372">
        <v>3149</v>
      </c>
      <c r="AH697" s="372">
        <v>0</v>
      </c>
    </row>
    <row r="698" spans="1:34">
      <c r="A698" s="372" t="s">
        <v>5192</v>
      </c>
      <c r="B698" s="373" t="s">
        <v>5193</v>
      </c>
      <c r="C698" s="372" t="s">
        <v>5194</v>
      </c>
      <c r="D698" s="374">
        <v>1101116865103</v>
      </c>
      <c r="E698" s="372" t="s">
        <v>5195</v>
      </c>
      <c r="F698" s="375" t="s">
        <v>1768</v>
      </c>
      <c r="G698" s="375" t="s">
        <v>1768</v>
      </c>
      <c r="H698" s="375" t="s">
        <v>868</v>
      </c>
      <c r="I698" s="375" t="s">
        <v>869</v>
      </c>
      <c r="J698" s="375">
        <v>0</v>
      </c>
      <c r="K698" s="375">
        <v>0</v>
      </c>
      <c r="L698" s="375">
        <v>0</v>
      </c>
      <c r="M698" s="375">
        <v>52883.45523</v>
      </c>
      <c r="N698" s="372" t="s">
        <v>1033</v>
      </c>
      <c r="O698" s="703">
        <v>0.20390950714946288</v>
      </c>
      <c r="P698" s="375" t="s">
        <v>623</v>
      </c>
      <c r="Q698" s="375" t="s">
        <v>623</v>
      </c>
      <c r="R698" s="695">
        <v>20230810</v>
      </c>
      <c r="S698" s="375" t="s">
        <v>5196</v>
      </c>
      <c r="T698" s="696" t="s">
        <v>772</v>
      </c>
      <c r="U698" s="375" t="s">
        <v>5197</v>
      </c>
      <c r="V698" s="722">
        <v>0</v>
      </c>
      <c r="W698" s="722">
        <v>7.63</v>
      </c>
      <c r="X698" s="722">
        <v>0</v>
      </c>
      <c r="Y698" s="722">
        <v>0</v>
      </c>
      <c r="Z698" s="382" t="s">
        <v>934</v>
      </c>
      <c r="AA698" s="372">
        <v>43.842405499999998</v>
      </c>
      <c r="AB698" s="372">
        <v>55.227990800000001</v>
      </c>
      <c r="AC698" s="372">
        <v>72.369778199999999</v>
      </c>
      <c r="AD698" s="372">
        <v>67.879109299999996</v>
      </c>
      <c r="AE698" s="372">
        <v>0</v>
      </c>
      <c r="AF698" s="372">
        <v>0</v>
      </c>
      <c r="AG698" s="372">
        <v>0</v>
      </c>
      <c r="AH698" s="372">
        <v>0</v>
      </c>
    </row>
    <row r="699" spans="1:34">
      <c r="A699" s="372" t="s">
        <v>5198</v>
      </c>
      <c r="B699" s="373" t="s">
        <v>5199</v>
      </c>
      <c r="C699" s="372" t="s">
        <v>5200</v>
      </c>
      <c r="D699" s="374">
        <v>1101115192036</v>
      </c>
      <c r="E699" s="372" t="s">
        <v>5201</v>
      </c>
      <c r="F699" s="375" t="s">
        <v>1083</v>
      </c>
      <c r="G699" s="375" t="s">
        <v>1546</v>
      </c>
      <c r="H699" s="375" t="s">
        <v>1547</v>
      </c>
      <c r="I699" s="375" t="s">
        <v>869</v>
      </c>
      <c r="J699" s="375">
        <v>142272.17262999999</v>
      </c>
      <c r="K699" s="375">
        <v>15423.770909999999</v>
      </c>
      <c r="L699" s="375">
        <v>14782.46718</v>
      </c>
      <c r="M699" s="375">
        <v>79621.130420000001</v>
      </c>
      <c r="N699" s="372">
        <v>0.66700000000000004</v>
      </c>
      <c r="O699" s="703">
        <v>3.47997611367949</v>
      </c>
      <c r="P699" s="375" t="s">
        <v>623</v>
      </c>
      <c r="Q699" s="375" t="s">
        <v>623</v>
      </c>
      <c r="R699" s="695">
        <v>20131121</v>
      </c>
      <c r="S699" s="372" t="s">
        <v>5202</v>
      </c>
      <c r="T699" s="696">
        <v>0.20900000000000002</v>
      </c>
      <c r="U699" s="372" t="s">
        <v>5203</v>
      </c>
      <c r="V699" s="722">
        <v>13.49</v>
      </c>
      <c r="W699" s="722">
        <v>3.27</v>
      </c>
      <c r="X699" s="722">
        <v>1.85</v>
      </c>
      <c r="Y699" s="722">
        <v>24.07</v>
      </c>
      <c r="Z699" s="382" t="s">
        <v>934</v>
      </c>
      <c r="AA699" s="372">
        <v>374.95538379999999</v>
      </c>
      <c r="AB699" s="372">
        <v>719.43559240000002</v>
      </c>
      <c r="AC699" s="372">
        <v>1206.3792834999999</v>
      </c>
      <c r="AD699" s="372">
        <v>1422.7217263</v>
      </c>
      <c r="AE699" s="372">
        <v>1600</v>
      </c>
      <c r="AF699" s="372">
        <v>2349</v>
      </c>
      <c r="AG699" s="372">
        <v>0</v>
      </c>
      <c r="AH699" s="372">
        <v>0</v>
      </c>
    </row>
    <row r="700" spans="1:34">
      <c r="A700" s="372" t="s">
        <v>5204</v>
      </c>
      <c r="B700" s="373" t="s">
        <v>5205</v>
      </c>
      <c r="C700" s="372" t="s">
        <v>5206</v>
      </c>
      <c r="D700" s="374">
        <v>1348110045535</v>
      </c>
      <c r="E700" s="372" t="s">
        <v>5207</v>
      </c>
      <c r="F700" s="375" t="s">
        <v>1985</v>
      </c>
      <c r="G700" s="375" t="s">
        <v>1985</v>
      </c>
      <c r="H700" s="375" t="s">
        <v>868</v>
      </c>
      <c r="I700" s="375" t="s">
        <v>869</v>
      </c>
      <c r="J700" s="375">
        <v>306840.17090000003</v>
      </c>
      <c r="K700" s="375">
        <v>2894.0147900000002</v>
      </c>
      <c r="L700" s="375">
        <v>-6274.7387200000003</v>
      </c>
      <c r="M700" s="375">
        <v>140063.64180000001</v>
      </c>
      <c r="N700" s="372">
        <v>1.121</v>
      </c>
      <c r="O700" s="703">
        <v>48.059925387872099</v>
      </c>
      <c r="P700" s="375" t="s">
        <v>623</v>
      </c>
      <c r="Q700" s="375" t="s">
        <v>623</v>
      </c>
      <c r="R700" s="695">
        <v>20151207</v>
      </c>
      <c r="S700" s="375" t="s">
        <v>5208</v>
      </c>
      <c r="T700" s="696" t="s">
        <v>772</v>
      </c>
      <c r="U700" s="372" t="s">
        <v>5209</v>
      </c>
      <c r="V700" s="722">
        <v>27.91</v>
      </c>
      <c r="W700" s="722">
        <v>1.69</v>
      </c>
      <c r="X700" s="722">
        <v>0.88</v>
      </c>
      <c r="Y700" s="722" t="s">
        <v>774</v>
      </c>
      <c r="Z700" s="382" t="s">
        <v>934</v>
      </c>
      <c r="AA700" s="372">
        <v>666.26102730000002</v>
      </c>
      <c r="AB700" s="372">
        <v>1764.1832859000001</v>
      </c>
      <c r="AC700" s="372">
        <v>2888.4365501000002</v>
      </c>
      <c r="AD700" s="372">
        <v>3068.4017090000002</v>
      </c>
      <c r="AE700" s="372">
        <v>0</v>
      </c>
      <c r="AF700" s="372">
        <v>0</v>
      </c>
      <c r="AG700" s="372">
        <v>0</v>
      </c>
      <c r="AH700" s="372">
        <v>0</v>
      </c>
    </row>
    <row r="701" spans="1:34">
      <c r="A701" s="372" t="s">
        <v>5210</v>
      </c>
      <c r="B701" s="373" t="s">
        <v>5211</v>
      </c>
      <c r="C701" s="372" t="s">
        <v>5212</v>
      </c>
      <c r="D701" s="374">
        <v>1101110019962</v>
      </c>
      <c r="E701" s="372" t="s">
        <v>5213</v>
      </c>
      <c r="F701" s="372" t="s">
        <v>1272</v>
      </c>
      <c r="G701" s="375" t="s">
        <v>1273</v>
      </c>
      <c r="H701" s="375" t="s">
        <v>1274</v>
      </c>
      <c r="I701" s="375" t="s">
        <v>755</v>
      </c>
      <c r="J701" s="375">
        <v>251608</v>
      </c>
      <c r="K701" s="375">
        <v>65170</v>
      </c>
      <c r="L701" s="375">
        <v>65353</v>
      </c>
      <c r="M701" s="375">
        <v>1277802</v>
      </c>
      <c r="N701" s="372">
        <v>0.80300000000000005</v>
      </c>
      <c r="O701" s="703">
        <v>2478.5173405876408</v>
      </c>
      <c r="P701" s="375" t="s">
        <v>623</v>
      </c>
      <c r="Q701" s="375" t="s">
        <v>623</v>
      </c>
      <c r="R701" s="695">
        <v>19900609</v>
      </c>
      <c r="S701" s="372" t="s">
        <v>5214</v>
      </c>
      <c r="T701" s="696">
        <v>0.23100000000000001</v>
      </c>
      <c r="U701" s="375" t="s">
        <v>5215</v>
      </c>
      <c r="V701" s="722">
        <v>0</v>
      </c>
      <c r="W701" s="722">
        <v>0.26</v>
      </c>
      <c r="X701" s="722">
        <v>0.21</v>
      </c>
      <c r="Y701" s="722">
        <v>6.22</v>
      </c>
      <c r="Z701" s="382" t="s">
        <v>934</v>
      </c>
      <c r="AA701" s="372">
        <v>2764.77</v>
      </c>
      <c r="AB701" s="372">
        <v>3258.22</v>
      </c>
      <c r="AC701" s="372">
        <v>3256.23</v>
      </c>
      <c r="AD701" s="372">
        <v>2516.08</v>
      </c>
      <c r="AE701" s="372">
        <v>0</v>
      </c>
      <c r="AF701" s="372">
        <v>0</v>
      </c>
      <c r="AG701" s="372">
        <v>0</v>
      </c>
      <c r="AH701" s="372">
        <v>0</v>
      </c>
    </row>
    <row r="702" spans="1:34">
      <c r="A702" s="372" t="s">
        <v>5216</v>
      </c>
      <c r="B702" s="373" t="s">
        <v>5217</v>
      </c>
      <c r="C702" s="372" t="s">
        <v>5218</v>
      </c>
      <c r="D702" s="374">
        <v>1101115340065</v>
      </c>
      <c r="E702" s="372" t="s">
        <v>5219</v>
      </c>
      <c r="F702" s="375" t="s">
        <v>1381</v>
      </c>
      <c r="G702" s="375" t="s">
        <v>1381</v>
      </c>
      <c r="H702" s="375" t="s">
        <v>1693</v>
      </c>
      <c r="I702" s="375" t="s">
        <v>869</v>
      </c>
      <c r="J702" s="375">
        <v>2488.9837499999999</v>
      </c>
      <c r="K702" s="375">
        <v>-7147.5689499999999</v>
      </c>
      <c r="L702" s="375">
        <v>-7306.0379000000003</v>
      </c>
      <c r="M702" s="375">
        <v>11724.993200000001</v>
      </c>
      <c r="N702" s="372">
        <v>1.177</v>
      </c>
      <c r="O702" s="703">
        <v>9.5273435810975169</v>
      </c>
      <c r="P702" s="375" t="s">
        <v>623</v>
      </c>
      <c r="Q702" s="372" t="s">
        <v>623</v>
      </c>
      <c r="R702" s="695">
        <v>20191211</v>
      </c>
      <c r="S702" s="372" t="s">
        <v>5220</v>
      </c>
      <c r="T702" s="696" t="s">
        <v>772</v>
      </c>
      <c r="U702" s="372" t="s">
        <v>5221</v>
      </c>
      <c r="V702" s="722" t="s">
        <v>774</v>
      </c>
      <c r="W702" s="722">
        <v>30.26</v>
      </c>
      <c r="X702" s="722">
        <v>140.56</v>
      </c>
      <c r="Y702" s="722" t="s">
        <v>774</v>
      </c>
      <c r="Z702" s="382" t="s">
        <v>934</v>
      </c>
      <c r="AA702" s="372">
        <v>44.899914899999999</v>
      </c>
      <c r="AB702" s="372">
        <v>37.860504300000002</v>
      </c>
      <c r="AC702" s="372">
        <v>34.1533072</v>
      </c>
      <c r="AD702" s="372">
        <v>24.889837499999999</v>
      </c>
      <c r="AE702" s="372">
        <v>109</v>
      </c>
      <c r="AF702" s="372">
        <v>215</v>
      </c>
      <c r="AG702" s="372">
        <v>0</v>
      </c>
      <c r="AH702" s="372">
        <v>0</v>
      </c>
    </row>
    <row r="703" spans="1:34">
      <c r="A703" s="372" t="s">
        <v>5222</v>
      </c>
      <c r="B703" s="373" t="s">
        <v>5223</v>
      </c>
      <c r="C703" s="372" t="s">
        <v>5224</v>
      </c>
      <c r="D703" s="374">
        <v>1101110161317</v>
      </c>
      <c r="E703" s="372" t="s">
        <v>5225</v>
      </c>
      <c r="F703" s="375" t="s">
        <v>2030</v>
      </c>
      <c r="G703" s="375" t="s">
        <v>2030</v>
      </c>
      <c r="H703" s="375" t="s">
        <v>797</v>
      </c>
      <c r="I703" s="375" t="s">
        <v>755</v>
      </c>
      <c r="J703" s="375">
        <v>244258.77755999999</v>
      </c>
      <c r="K703" s="375">
        <v>15150.18253</v>
      </c>
      <c r="L703" s="375">
        <v>32568.277470000001</v>
      </c>
      <c r="M703" s="375">
        <v>447117.30011000001</v>
      </c>
      <c r="N703" s="372">
        <v>0.70399999999999996</v>
      </c>
      <c r="O703" s="703">
        <v>0.69101486131939172</v>
      </c>
      <c r="P703" s="375" t="s">
        <v>623</v>
      </c>
      <c r="Q703" s="375" t="s">
        <v>623</v>
      </c>
      <c r="R703" s="695">
        <v>19940114</v>
      </c>
      <c r="S703" s="375" t="s">
        <v>5226</v>
      </c>
      <c r="T703" s="696">
        <v>0.23100000000000001</v>
      </c>
      <c r="U703" s="372" t="s">
        <v>5227</v>
      </c>
      <c r="V703" s="722">
        <v>12.89</v>
      </c>
      <c r="W703" s="722">
        <v>0.57999999999999996</v>
      </c>
      <c r="X703" s="722">
        <v>1.1200000000000001</v>
      </c>
      <c r="Y703" s="722">
        <v>9.93</v>
      </c>
      <c r="Z703" s="382" t="s">
        <v>934</v>
      </c>
      <c r="AA703" s="372">
        <v>1785.5766731000001</v>
      </c>
      <c r="AB703" s="372">
        <v>1960.8391558000001</v>
      </c>
      <c r="AC703" s="372">
        <v>2238.6021277</v>
      </c>
      <c r="AD703" s="372">
        <v>2442.5877756</v>
      </c>
      <c r="AE703" s="372">
        <v>0</v>
      </c>
      <c r="AF703" s="372">
        <v>0</v>
      </c>
      <c r="AG703" s="372">
        <v>0</v>
      </c>
      <c r="AH703" s="372">
        <v>0</v>
      </c>
    </row>
    <row r="704" spans="1:34">
      <c r="A704" s="372" t="s">
        <v>5228</v>
      </c>
      <c r="B704" s="373" t="s">
        <v>5229</v>
      </c>
      <c r="C704" s="372" t="s">
        <v>5230</v>
      </c>
      <c r="D704" s="374">
        <v>1101112149436</v>
      </c>
      <c r="E704" s="372" t="s">
        <v>5231</v>
      </c>
      <c r="F704" s="372" t="s">
        <v>4782</v>
      </c>
      <c r="G704" s="375" t="s">
        <v>5232</v>
      </c>
      <c r="H704" s="375" t="s">
        <v>823</v>
      </c>
      <c r="I704" s="375" t="s">
        <v>755</v>
      </c>
      <c r="J704" s="375">
        <v>1025595.27465</v>
      </c>
      <c r="K704" s="375">
        <v>14067.496349999999</v>
      </c>
      <c r="L704" s="375">
        <v>-108472.55588</v>
      </c>
      <c r="M704" s="375">
        <v>737132.73308999999</v>
      </c>
      <c r="N704" s="372">
        <v>0.57499999999999996</v>
      </c>
      <c r="O704" s="703">
        <v>67.133680684515653</v>
      </c>
      <c r="P704" s="375" t="s">
        <v>623</v>
      </c>
      <c r="Q704" s="372" t="s">
        <v>623</v>
      </c>
      <c r="R704" s="695">
        <v>20110603</v>
      </c>
      <c r="S704" s="372" t="s">
        <v>5233</v>
      </c>
      <c r="T704" s="696" t="s">
        <v>772</v>
      </c>
      <c r="U704" s="375" t="s">
        <v>5234</v>
      </c>
      <c r="V704" s="722">
        <v>1.66</v>
      </c>
      <c r="W704" s="722">
        <v>0.4</v>
      </c>
      <c r="X704" s="722">
        <v>0.28000000000000003</v>
      </c>
      <c r="Y704" s="722" t="s">
        <v>774</v>
      </c>
      <c r="Z704" s="382">
        <v>2.8117323736593924E-2</v>
      </c>
      <c r="AA704" s="372">
        <v>6987.1535514999996</v>
      </c>
      <c r="AB704" s="372">
        <v>7632.2259936</v>
      </c>
      <c r="AC704" s="372">
        <v>10136.7725237</v>
      </c>
      <c r="AD704" s="372">
        <v>10255.952746499999</v>
      </c>
      <c r="AE704" s="372">
        <v>10576.86</v>
      </c>
      <c r="AF704" s="372">
        <v>10877.86</v>
      </c>
      <c r="AG704" s="372">
        <v>11459</v>
      </c>
      <c r="AH704" s="372">
        <v>0</v>
      </c>
    </row>
    <row r="705" spans="1:34">
      <c r="A705" s="372" t="s">
        <v>5235</v>
      </c>
      <c r="B705" s="373" t="s">
        <v>5236</v>
      </c>
      <c r="C705" s="372" t="s">
        <v>5237</v>
      </c>
      <c r="D705" s="374">
        <v>1101115554418</v>
      </c>
      <c r="E705" s="372" t="s">
        <v>5238</v>
      </c>
      <c r="F705" s="375" t="s">
        <v>2866</v>
      </c>
      <c r="G705" s="375" t="s">
        <v>4724</v>
      </c>
      <c r="H705" s="375" t="s">
        <v>832</v>
      </c>
      <c r="I705" s="375" t="s">
        <v>755</v>
      </c>
      <c r="J705" s="375">
        <v>421668.81109999999</v>
      </c>
      <c r="K705" s="375">
        <v>32467.578420000002</v>
      </c>
      <c r="L705" s="375">
        <v>30286.811239999999</v>
      </c>
      <c r="M705" s="375">
        <v>374574.48771999998</v>
      </c>
      <c r="N705" s="372">
        <v>0.6</v>
      </c>
      <c r="O705" s="703">
        <v>68.944180280862184</v>
      </c>
      <c r="P705" s="375" t="s">
        <v>623</v>
      </c>
      <c r="Q705" s="375" t="s">
        <v>623</v>
      </c>
      <c r="R705" s="695">
        <v>20171129</v>
      </c>
      <c r="S705" s="375" t="s">
        <v>5239</v>
      </c>
      <c r="T705" s="696">
        <v>0.23100000000000001</v>
      </c>
      <c r="U705" s="375" t="s">
        <v>5240</v>
      </c>
      <c r="V705" s="722">
        <v>7.06</v>
      </c>
      <c r="W705" s="722">
        <v>0.67</v>
      </c>
      <c r="X705" s="722">
        <v>0.59</v>
      </c>
      <c r="Y705" s="722">
        <v>9.81</v>
      </c>
      <c r="Z705" s="382" t="s">
        <v>934</v>
      </c>
      <c r="AA705" s="372">
        <v>3675.6927132999999</v>
      </c>
      <c r="AB705" s="372">
        <v>3919.4619634999999</v>
      </c>
      <c r="AC705" s="372">
        <v>4073.5272617999999</v>
      </c>
      <c r="AD705" s="372">
        <v>4216.6881110000004</v>
      </c>
      <c r="AE705" s="372">
        <v>0</v>
      </c>
      <c r="AF705" s="372">
        <v>0</v>
      </c>
      <c r="AG705" s="372">
        <v>0</v>
      </c>
      <c r="AH705" s="372">
        <v>0</v>
      </c>
    </row>
    <row r="706" spans="1:34">
      <c r="A706" s="372" t="s">
        <v>5241</v>
      </c>
      <c r="B706" s="373" t="s">
        <v>5242</v>
      </c>
      <c r="C706" s="372" t="s">
        <v>5243</v>
      </c>
      <c r="D706" s="374">
        <v>1101110376148</v>
      </c>
      <c r="E706" s="372" t="s">
        <v>5244</v>
      </c>
      <c r="F706" s="375" t="s">
        <v>2729</v>
      </c>
      <c r="G706" s="375" t="s">
        <v>5245</v>
      </c>
      <c r="H706" s="375" t="s">
        <v>868</v>
      </c>
      <c r="I706" s="375" t="s">
        <v>869</v>
      </c>
      <c r="J706" s="375">
        <v>1473426.0552399999</v>
      </c>
      <c r="K706" s="375">
        <v>84442.700649999999</v>
      </c>
      <c r="L706" s="375">
        <v>86332.048540000003</v>
      </c>
      <c r="M706" s="375">
        <v>1067945.49263</v>
      </c>
      <c r="N706" s="372">
        <v>0.88500000000000001</v>
      </c>
      <c r="O706" s="703">
        <v>370.54087689385636</v>
      </c>
      <c r="P706" s="375" t="s">
        <v>623</v>
      </c>
      <c r="Q706" s="375" t="s">
        <v>623</v>
      </c>
      <c r="R706" s="695">
        <v>19940930</v>
      </c>
      <c r="S706" s="375" t="s">
        <v>5246</v>
      </c>
      <c r="T706" s="696">
        <v>0.23100000000000001</v>
      </c>
      <c r="U706" s="372" t="s">
        <v>5247</v>
      </c>
      <c r="V706" s="722">
        <v>8.68</v>
      </c>
      <c r="W706" s="722">
        <v>0.26</v>
      </c>
      <c r="X706" s="722">
        <v>0.18</v>
      </c>
      <c r="Y706" s="722">
        <v>4.05</v>
      </c>
      <c r="Z706" s="382" t="s">
        <v>934</v>
      </c>
      <c r="AA706" s="372">
        <v>11363.1725957</v>
      </c>
      <c r="AB706" s="372">
        <v>13453.2820605</v>
      </c>
      <c r="AC706" s="372">
        <v>14077.174590500001</v>
      </c>
      <c r="AD706" s="372">
        <v>14734.260552399999</v>
      </c>
      <c r="AE706" s="372">
        <v>0</v>
      </c>
      <c r="AF706" s="372">
        <v>0</v>
      </c>
      <c r="AG706" s="372">
        <v>0</v>
      </c>
      <c r="AH706" s="372">
        <v>0</v>
      </c>
    </row>
    <row r="707" spans="1:34">
      <c r="A707" s="372" t="s">
        <v>5248</v>
      </c>
      <c r="B707" s="373" t="s">
        <v>5249</v>
      </c>
      <c r="C707" s="372" t="s">
        <v>5250</v>
      </c>
      <c r="D707" s="374">
        <v>1942110066763</v>
      </c>
      <c r="E707" s="372" t="s">
        <v>5251</v>
      </c>
      <c r="F707" s="375" t="s">
        <v>1048</v>
      </c>
      <c r="G707" s="375" t="s">
        <v>3197</v>
      </c>
      <c r="H707" s="375" t="s">
        <v>1050</v>
      </c>
      <c r="I707" s="375" t="s">
        <v>755</v>
      </c>
      <c r="J707" s="375">
        <v>630377.73398999998</v>
      </c>
      <c r="K707" s="375">
        <v>18868.403979999999</v>
      </c>
      <c r="L707" s="375">
        <v>7656.6356699999997</v>
      </c>
      <c r="M707" s="375">
        <v>259634.23805000001</v>
      </c>
      <c r="N707" s="372">
        <v>0.67200000000000004</v>
      </c>
      <c r="O707" s="703">
        <v>82.770249704432302</v>
      </c>
      <c r="P707" s="375" t="s">
        <v>623</v>
      </c>
      <c r="Q707" s="372" t="s">
        <v>623</v>
      </c>
      <c r="R707" s="695">
        <v>20040510</v>
      </c>
      <c r="S707" s="372" t="s">
        <v>5252</v>
      </c>
      <c r="T707" s="696">
        <v>0.20900000000000002</v>
      </c>
      <c r="U707" s="372" t="s">
        <v>5253</v>
      </c>
      <c r="V707" s="722">
        <v>14.9</v>
      </c>
      <c r="W707" s="722">
        <v>1.26</v>
      </c>
      <c r="X707" s="722">
        <v>0.52</v>
      </c>
      <c r="Y707" s="722">
        <v>57.65</v>
      </c>
      <c r="Z707" s="382" t="s">
        <v>934</v>
      </c>
      <c r="AA707" s="372">
        <v>5866.9526785999997</v>
      </c>
      <c r="AB707" s="372">
        <v>4934.5530150000004</v>
      </c>
      <c r="AC707" s="372">
        <v>5440.2169397999996</v>
      </c>
      <c r="AD707" s="372">
        <v>6303.7773398999998</v>
      </c>
      <c r="AE707" s="372">
        <v>6701</v>
      </c>
      <c r="AF707" s="372">
        <v>7238</v>
      </c>
      <c r="AG707" s="372">
        <v>0</v>
      </c>
      <c r="AH707" s="372">
        <v>0</v>
      </c>
    </row>
    <row r="708" spans="1:34">
      <c r="A708" s="372" t="s">
        <v>5254</v>
      </c>
      <c r="B708" s="373" t="s">
        <v>5255</v>
      </c>
      <c r="C708" s="372" t="s">
        <v>5256</v>
      </c>
      <c r="D708" s="374">
        <v>1311110396927</v>
      </c>
      <c r="E708" s="372" t="s">
        <v>5257</v>
      </c>
      <c r="F708" s="375" t="s">
        <v>1728</v>
      </c>
      <c r="G708" s="375" t="s">
        <v>1729</v>
      </c>
      <c r="H708" s="375" t="s">
        <v>868</v>
      </c>
      <c r="I708" s="375" t="s">
        <v>869</v>
      </c>
      <c r="J708" s="375">
        <v>31697.412700000001</v>
      </c>
      <c r="K708" s="375">
        <v>1528.6513600000001</v>
      </c>
      <c r="L708" s="375">
        <v>2623.7060900000001</v>
      </c>
      <c r="M708" s="375">
        <v>65130.685870000001</v>
      </c>
      <c r="N708" s="372">
        <v>1.24</v>
      </c>
      <c r="O708" s="703">
        <v>6.9949877254649007</v>
      </c>
      <c r="P708" s="375" t="s">
        <v>623</v>
      </c>
      <c r="Q708" s="375" t="s">
        <v>623</v>
      </c>
      <c r="R708" s="695">
        <v>20170724</v>
      </c>
      <c r="S708" s="375" t="s">
        <v>5258</v>
      </c>
      <c r="T708" s="696">
        <v>0.20900000000000002</v>
      </c>
      <c r="U708" s="375" t="s">
        <v>5259</v>
      </c>
      <c r="V708" s="722">
        <v>0</v>
      </c>
      <c r="W708" s="722">
        <v>2.2599999999999998</v>
      </c>
      <c r="X708" s="722">
        <v>0</v>
      </c>
      <c r="Y708" s="722">
        <v>0</v>
      </c>
      <c r="Z708" s="382" t="s">
        <v>934</v>
      </c>
      <c r="AA708" s="372">
        <v>491.65299809999999</v>
      </c>
      <c r="AB708" s="372">
        <v>511.10135009999999</v>
      </c>
      <c r="AC708" s="372">
        <v>530.06504470000004</v>
      </c>
      <c r="AD708" s="372">
        <v>316.97412700000001</v>
      </c>
      <c r="AE708" s="372">
        <v>0</v>
      </c>
      <c r="AF708" s="372">
        <v>0</v>
      </c>
      <c r="AG708" s="372">
        <v>0</v>
      </c>
      <c r="AH708" s="372">
        <v>0</v>
      </c>
    </row>
    <row r="709" spans="1:34">
      <c r="A709" s="372" t="s">
        <v>5260</v>
      </c>
      <c r="B709" s="373" t="s">
        <v>5261</v>
      </c>
      <c r="C709" s="372" t="s">
        <v>5262</v>
      </c>
      <c r="D709" s="374">
        <v>1101111342289</v>
      </c>
      <c r="E709" s="372" t="s">
        <v>5262</v>
      </c>
      <c r="F709" s="375" t="s">
        <v>2542</v>
      </c>
      <c r="G709" s="375" t="s">
        <v>2542</v>
      </c>
      <c r="H709" s="375" t="s">
        <v>823</v>
      </c>
      <c r="I709" s="375" t="s">
        <v>755</v>
      </c>
      <c r="J709" s="375">
        <v>223637.11723999999</v>
      </c>
      <c r="K709" s="375">
        <v>13903.1319</v>
      </c>
      <c r="L709" s="375">
        <v>25042.67051</v>
      </c>
      <c r="M709" s="375">
        <v>166900.53096</v>
      </c>
      <c r="N709" s="372">
        <v>0.99399999999999999</v>
      </c>
      <c r="O709" s="703">
        <v>2.4180221588924229</v>
      </c>
      <c r="P709" s="375" t="s">
        <v>623</v>
      </c>
      <c r="Q709" s="372" t="s">
        <v>623</v>
      </c>
      <c r="R709" s="695">
        <v>20030801</v>
      </c>
      <c r="S709" s="372" t="s">
        <v>5263</v>
      </c>
      <c r="T709" s="696">
        <v>0.23100000000000001</v>
      </c>
      <c r="U709" s="372" t="s">
        <v>5264</v>
      </c>
      <c r="V709" s="722">
        <v>16.82</v>
      </c>
      <c r="W709" s="722">
        <v>1.71</v>
      </c>
      <c r="X709" s="722">
        <v>1.24</v>
      </c>
      <c r="Y709" s="722">
        <v>12.9</v>
      </c>
      <c r="Z709" s="382">
        <v>7.7992562238783592E-2</v>
      </c>
      <c r="AA709" s="372">
        <v>1071.3976439999999</v>
      </c>
      <c r="AB709" s="372">
        <v>1203.0793547000001</v>
      </c>
      <c r="AC709" s="372">
        <v>1402.2111557999999</v>
      </c>
      <c r="AD709" s="372">
        <v>2236.3711724</v>
      </c>
      <c r="AE709" s="372">
        <v>2204</v>
      </c>
      <c r="AF709" s="372">
        <v>2549</v>
      </c>
      <c r="AG709" s="372">
        <v>3020</v>
      </c>
      <c r="AH709" s="372">
        <v>3630</v>
      </c>
    </row>
    <row r="710" spans="1:34">
      <c r="A710" s="372" t="s">
        <v>5265</v>
      </c>
      <c r="B710" s="373" t="s">
        <v>5266</v>
      </c>
      <c r="C710" s="372" t="s">
        <v>5267</v>
      </c>
      <c r="D710" s="374">
        <v>1243110033235</v>
      </c>
      <c r="E710" s="372" t="s">
        <v>5268</v>
      </c>
      <c r="F710" s="375" t="s">
        <v>1313</v>
      </c>
      <c r="G710" s="375" t="s">
        <v>1313</v>
      </c>
      <c r="H710" s="375" t="s">
        <v>868</v>
      </c>
      <c r="I710" s="375" t="s">
        <v>869</v>
      </c>
      <c r="J710" s="375">
        <v>749527.05012999999</v>
      </c>
      <c r="K710" s="375">
        <v>45774.773659999999</v>
      </c>
      <c r="L710" s="375">
        <v>-15200.90223</v>
      </c>
      <c r="M710" s="375">
        <v>1317600.3559699999</v>
      </c>
      <c r="N710" s="372">
        <v>1.22</v>
      </c>
      <c r="O710" s="703">
        <v>144.22685283537538</v>
      </c>
      <c r="P710" s="375" t="s">
        <v>623</v>
      </c>
      <c r="Q710" s="372" t="s">
        <v>623</v>
      </c>
      <c r="R710" s="695">
        <v>19960924</v>
      </c>
      <c r="S710" s="375" t="s">
        <v>5269</v>
      </c>
      <c r="T710" s="696" t="s">
        <v>772</v>
      </c>
      <c r="U710" s="375" t="s">
        <v>5270</v>
      </c>
      <c r="V710" s="722">
        <v>9.3000000000000007</v>
      </c>
      <c r="W710" s="722">
        <v>0.25</v>
      </c>
      <c r="X710" s="722">
        <v>0.35</v>
      </c>
      <c r="Y710" s="722" t="s">
        <v>774</v>
      </c>
      <c r="Z710" s="382" t="s">
        <v>934</v>
      </c>
      <c r="AA710" s="372">
        <v>6459.6462617999996</v>
      </c>
      <c r="AB710" s="372">
        <v>6679.4559513000004</v>
      </c>
      <c r="AC710" s="372">
        <v>8810.1168923000005</v>
      </c>
      <c r="AD710" s="372">
        <v>7495.2705013000004</v>
      </c>
      <c r="AE710" s="372">
        <v>0</v>
      </c>
      <c r="AF710" s="372">
        <v>0</v>
      </c>
      <c r="AG710" s="372">
        <v>0</v>
      </c>
      <c r="AH710" s="372">
        <v>0</v>
      </c>
    </row>
    <row r="711" spans="1:34">
      <c r="A711" s="372" t="s">
        <v>5271</v>
      </c>
      <c r="B711" s="373" t="s">
        <v>5272</v>
      </c>
      <c r="C711" s="372" t="s">
        <v>5273</v>
      </c>
      <c r="D711" s="374">
        <v>1101110700555</v>
      </c>
      <c r="E711" s="372" t="s">
        <v>5274</v>
      </c>
      <c r="F711" s="375" t="s">
        <v>1985</v>
      </c>
      <c r="G711" s="375" t="s">
        <v>1985</v>
      </c>
      <c r="H711" s="375" t="s">
        <v>1388</v>
      </c>
      <c r="I711" s="375" t="s">
        <v>869</v>
      </c>
      <c r="J711" s="375">
        <v>62412.80242</v>
      </c>
      <c r="K711" s="375">
        <v>-4057.3861900000002</v>
      </c>
      <c r="L711" s="375">
        <v>-9538.4815400000007</v>
      </c>
      <c r="M711" s="375">
        <v>70872.953410000002</v>
      </c>
      <c r="N711" s="372">
        <v>1.069</v>
      </c>
      <c r="O711" s="703">
        <v>4.2521654852094244</v>
      </c>
      <c r="P711" s="375" t="s">
        <v>623</v>
      </c>
      <c r="Q711" s="372" t="s">
        <v>623</v>
      </c>
      <c r="R711" s="695">
        <v>20170920</v>
      </c>
      <c r="S711" s="372" t="s">
        <v>5275</v>
      </c>
      <c r="T711" s="696" t="s">
        <v>772</v>
      </c>
      <c r="U711" s="372" t="s">
        <v>5276</v>
      </c>
      <c r="V711" s="722">
        <v>1051.79</v>
      </c>
      <c r="W711" s="722">
        <v>3.63</v>
      </c>
      <c r="X711" s="722">
        <v>4.4000000000000004</v>
      </c>
      <c r="Y711" s="722" t="s">
        <v>774</v>
      </c>
      <c r="Z711" s="382">
        <v>0.25917854457838185</v>
      </c>
      <c r="AA711" s="372">
        <v>656.40857989999995</v>
      </c>
      <c r="AB711" s="372">
        <v>462.29294490000001</v>
      </c>
      <c r="AC711" s="372">
        <v>740.52657060000001</v>
      </c>
      <c r="AD711" s="372">
        <v>624.12802420000003</v>
      </c>
      <c r="AE711" s="372">
        <v>1208</v>
      </c>
      <c r="AF711" s="372">
        <v>1380</v>
      </c>
      <c r="AG711" s="372">
        <v>1569</v>
      </c>
      <c r="AH711" s="372">
        <v>0</v>
      </c>
    </row>
    <row r="712" spans="1:34">
      <c r="A712" s="372" t="s">
        <v>5277</v>
      </c>
      <c r="B712" s="373" t="s">
        <v>5278</v>
      </c>
      <c r="C712" s="372" t="s">
        <v>5279</v>
      </c>
      <c r="D712" s="374">
        <v>1801110181428</v>
      </c>
      <c r="E712" s="372" t="s">
        <v>5280</v>
      </c>
      <c r="F712" s="375" t="s">
        <v>5281</v>
      </c>
      <c r="G712" s="375" t="s">
        <v>5282</v>
      </c>
      <c r="H712" s="375" t="s">
        <v>4894</v>
      </c>
      <c r="I712" s="375" t="s">
        <v>869</v>
      </c>
      <c r="J712" s="375">
        <v>70779.250390000001</v>
      </c>
      <c r="K712" s="375">
        <v>13086.945970000001</v>
      </c>
      <c r="L712" s="375">
        <v>14509.790139999999</v>
      </c>
      <c r="M712" s="375">
        <v>122630.21829</v>
      </c>
      <c r="N712" s="372">
        <v>0.80500000000000005</v>
      </c>
      <c r="O712" s="703">
        <v>0.10688278308149698</v>
      </c>
      <c r="P712" s="375" t="s">
        <v>623</v>
      </c>
      <c r="Q712" s="372" t="s">
        <v>623</v>
      </c>
      <c r="R712" s="695">
        <v>20020208</v>
      </c>
      <c r="S712" s="372" t="s">
        <v>5283</v>
      </c>
      <c r="T712" s="696">
        <v>0.20900000000000002</v>
      </c>
      <c r="U712" s="372" t="s">
        <v>5284</v>
      </c>
      <c r="V712" s="722">
        <v>0</v>
      </c>
      <c r="W712" s="722">
        <v>2.2799999999999998</v>
      </c>
      <c r="X712" s="722">
        <v>0</v>
      </c>
      <c r="Y712" s="722">
        <v>0</v>
      </c>
      <c r="Z712" s="382" t="s">
        <v>934</v>
      </c>
      <c r="AA712" s="372">
        <v>522.25722450000001</v>
      </c>
      <c r="AB712" s="372">
        <v>298.76633520000001</v>
      </c>
      <c r="AC712" s="372">
        <v>427.873266</v>
      </c>
      <c r="AD712" s="372">
        <v>707.79250390000004</v>
      </c>
      <c r="AE712" s="372">
        <v>0</v>
      </c>
      <c r="AF712" s="372">
        <v>0</v>
      </c>
      <c r="AG712" s="372">
        <v>0</v>
      </c>
      <c r="AH712" s="372">
        <v>0</v>
      </c>
    </row>
    <row r="713" spans="1:34">
      <c r="A713" s="372" t="s">
        <v>5285</v>
      </c>
      <c r="B713" s="373" t="s">
        <v>5286</v>
      </c>
      <c r="C713" s="372" t="s">
        <v>5287</v>
      </c>
      <c r="D713" s="374">
        <v>1101116265410</v>
      </c>
      <c r="E713" s="372" t="s">
        <v>5288</v>
      </c>
      <c r="F713" s="375" t="s">
        <v>770</v>
      </c>
      <c r="G713" s="375" t="s">
        <v>770</v>
      </c>
      <c r="H713" s="375" t="s">
        <v>754</v>
      </c>
      <c r="I713" s="375" t="s">
        <v>755</v>
      </c>
      <c r="J713" s="375">
        <v>546119.80599000002</v>
      </c>
      <c r="K713" s="375">
        <v>17542.85973</v>
      </c>
      <c r="L713" s="375">
        <v>-3438.0453200000002</v>
      </c>
      <c r="M713" s="375">
        <v>371556.91308999999</v>
      </c>
      <c r="N713" s="372">
        <v>1.472</v>
      </c>
      <c r="O713" s="703">
        <v>18.017487291231731</v>
      </c>
      <c r="P713" s="375" t="s">
        <v>623</v>
      </c>
      <c r="Q713" s="375" t="s">
        <v>623</v>
      </c>
      <c r="R713" s="695">
        <v>20191119</v>
      </c>
      <c r="S713" s="375" t="s">
        <v>5289</v>
      </c>
      <c r="T713" s="696" t="s">
        <v>772</v>
      </c>
      <c r="U713" s="372" t="s">
        <v>16023</v>
      </c>
      <c r="V713" s="722">
        <v>9.94</v>
      </c>
      <c r="W713" s="722">
        <v>0.84</v>
      </c>
      <c r="X713" s="722">
        <v>0.56999999999999995</v>
      </c>
      <c r="Y713" s="722" t="s">
        <v>774</v>
      </c>
      <c r="Z713" s="382">
        <v>0.12763408307298496</v>
      </c>
      <c r="AA713" s="372">
        <v>3943.9671256000001</v>
      </c>
      <c r="AB713" s="372">
        <v>5931.6358186999996</v>
      </c>
      <c r="AC713" s="372">
        <v>9848.1241312000002</v>
      </c>
      <c r="AD713" s="372">
        <v>5461.1980598999999</v>
      </c>
      <c r="AE713" s="372">
        <v>6305</v>
      </c>
      <c r="AF713" s="372">
        <v>7903</v>
      </c>
      <c r="AG713" s="372">
        <v>8830</v>
      </c>
      <c r="AH713" s="372">
        <v>0</v>
      </c>
    </row>
    <row r="714" spans="1:34">
      <c r="A714" s="372" t="s">
        <v>5290</v>
      </c>
      <c r="B714" s="373" t="s">
        <v>5291</v>
      </c>
      <c r="C714" s="372" t="s">
        <v>5292</v>
      </c>
      <c r="D714" s="374">
        <v>1101111105364</v>
      </c>
      <c r="E714" s="372" t="s">
        <v>5293</v>
      </c>
      <c r="F714" s="375" t="s">
        <v>1814</v>
      </c>
      <c r="G714" s="375" t="s">
        <v>2821</v>
      </c>
      <c r="H714" s="375" t="s">
        <v>1693</v>
      </c>
      <c r="I714" s="375" t="s">
        <v>869</v>
      </c>
      <c r="J714" s="375">
        <v>154040.83739999999</v>
      </c>
      <c r="K714" s="375">
        <v>3509.1259300000002</v>
      </c>
      <c r="L714" s="375">
        <v>1940.8758499999999</v>
      </c>
      <c r="M714" s="375">
        <v>113536.45878</v>
      </c>
      <c r="N714" s="372">
        <v>1.1859999999999999</v>
      </c>
      <c r="O714" s="703">
        <v>7.367350068844619</v>
      </c>
      <c r="P714" s="375" t="s">
        <v>623</v>
      </c>
      <c r="Q714" s="372" t="s">
        <v>623</v>
      </c>
      <c r="R714" s="695">
        <v>19970502</v>
      </c>
      <c r="S714" s="372" t="s">
        <v>5294</v>
      </c>
      <c r="T714" s="696">
        <v>0.20900000000000002</v>
      </c>
      <c r="U714" s="372" t="s">
        <v>5295</v>
      </c>
      <c r="V714" s="722">
        <v>28.68</v>
      </c>
      <c r="W714" s="722">
        <v>2.21</v>
      </c>
      <c r="X714" s="722">
        <v>1.6</v>
      </c>
      <c r="Y714" s="722" t="s">
        <v>774</v>
      </c>
      <c r="Z714" s="382" t="s">
        <v>934</v>
      </c>
      <c r="AA714" s="372">
        <v>1048.0386143000001</v>
      </c>
      <c r="AB714" s="372">
        <v>1117.6162933000001</v>
      </c>
      <c r="AC714" s="372">
        <v>1333.4323019999999</v>
      </c>
      <c r="AD714" s="372">
        <v>1540.4083740000001</v>
      </c>
      <c r="AE714" s="372">
        <v>0</v>
      </c>
      <c r="AF714" s="372">
        <v>0</v>
      </c>
      <c r="AG714" s="372">
        <v>0</v>
      </c>
      <c r="AH714" s="372">
        <v>0</v>
      </c>
    </row>
    <row r="715" spans="1:34">
      <c r="A715" s="372" t="s">
        <v>5296</v>
      </c>
      <c r="B715" s="373" t="s">
        <v>5297</v>
      </c>
      <c r="C715" s="372" t="s">
        <v>5298</v>
      </c>
      <c r="D715" s="374">
        <v>1101113394048</v>
      </c>
      <c r="E715" s="372" t="s">
        <v>5299</v>
      </c>
      <c r="F715" s="375" t="s">
        <v>1104</v>
      </c>
      <c r="G715" s="375" t="s">
        <v>1105</v>
      </c>
      <c r="H715" s="375" t="s">
        <v>832</v>
      </c>
      <c r="I715" s="375" t="s">
        <v>755</v>
      </c>
      <c r="J715" s="375">
        <v>139161.72226000001</v>
      </c>
      <c r="K715" s="375">
        <v>8054.87619</v>
      </c>
      <c r="L715" s="375">
        <v>19848.11004</v>
      </c>
      <c r="M715" s="375">
        <v>466711.81293000001</v>
      </c>
      <c r="N715" s="372">
        <v>0.89500000000000002</v>
      </c>
      <c r="O715" s="703">
        <v>5.0740050429794161</v>
      </c>
      <c r="P715" s="375" t="s">
        <v>623</v>
      </c>
      <c r="Q715" s="372" t="s">
        <v>623</v>
      </c>
      <c r="R715" s="695">
        <v>20151228</v>
      </c>
      <c r="S715" s="375" t="s">
        <v>5300</v>
      </c>
      <c r="T715" s="696">
        <v>0.20900000000000002</v>
      </c>
      <c r="U715" s="375" t="s">
        <v>5301</v>
      </c>
      <c r="V715" s="722">
        <v>28.77</v>
      </c>
      <c r="W715" s="722">
        <v>0.73</v>
      </c>
      <c r="X715" s="722">
        <v>1.93</v>
      </c>
      <c r="Y715" s="722">
        <v>79.09</v>
      </c>
      <c r="Z715" s="382" t="s">
        <v>934</v>
      </c>
      <c r="AA715" s="372">
        <v>1463.7835875000001</v>
      </c>
      <c r="AB715" s="372">
        <v>1401.7779403</v>
      </c>
      <c r="AC715" s="372">
        <v>1307.1413278</v>
      </c>
      <c r="AD715" s="372">
        <v>1391.6172226000001</v>
      </c>
      <c r="AE715" s="372">
        <v>0</v>
      </c>
      <c r="AF715" s="372">
        <v>0</v>
      </c>
      <c r="AG715" s="372">
        <v>0</v>
      </c>
      <c r="AH715" s="372">
        <v>0</v>
      </c>
    </row>
    <row r="716" spans="1:34">
      <c r="A716" s="372" t="s">
        <v>5302</v>
      </c>
      <c r="B716" s="373" t="s">
        <v>5303</v>
      </c>
      <c r="C716" s="372" t="s">
        <v>5304</v>
      </c>
      <c r="D716" s="374">
        <v>1101115739804</v>
      </c>
      <c r="E716" s="372" t="s">
        <v>5305</v>
      </c>
      <c r="F716" s="372" t="s">
        <v>1259</v>
      </c>
      <c r="G716" s="375" t="s">
        <v>1259</v>
      </c>
      <c r="H716" s="375" t="s">
        <v>868</v>
      </c>
      <c r="I716" s="375" t="s">
        <v>869</v>
      </c>
      <c r="J716" s="375">
        <v>1745.82934</v>
      </c>
      <c r="K716" s="375">
        <v>-40042.56018</v>
      </c>
      <c r="L716" s="375">
        <v>-39441.614430000001</v>
      </c>
      <c r="M716" s="375">
        <v>99802.775370000003</v>
      </c>
      <c r="N716" s="372">
        <v>0.97799999999999998</v>
      </c>
      <c r="O716" s="703">
        <v>63.150927393263686</v>
      </c>
      <c r="P716" s="375" t="s">
        <v>623</v>
      </c>
      <c r="Q716" s="372" t="s">
        <v>623</v>
      </c>
      <c r="R716" s="695">
        <v>20210311</v>
      </c>
      <c r="S716" s="372" t="s">
        <v>5306</v>
      </c>
      <c r="T716" s="696" t="s">
        <v>772</v>
      </c>
      <c r="U716" s="372" t="s">
        <v>5307</v>
      </c>
      <c r="V716" s="722">
        <v>0</v>
      </c>
      <c r="W716" s="722">
        <v>2.73</v>
      </c>
      <c r="X716" s="722">
        <v>0</v>
      </c>
      <c r="Y716" s="722">
        <v>0</v>
      </c>
      <c r="Z716" s="382" t="s">
        <v>934</v>
      </c>
      <c r="AA716" s="372">
        <v>0</v>
      </c>
      <c r="AB716" s="372">
        <v>32.268381900000001</v>
      </c>
      <c r="AC716" s="372">
        <v>0.15565699999999999</v>
      </c>
      <c r="AD716" s="372">
        <v>17.302636400000001</v>
      </c>
      <c r="AE716" s="372">
        <v>0</v>
      </c>
      <c r="AF716" s="372">
        <v>0</v>
      </c>
      <c r="AG716" s="372">
        <v>0</v>
      </c>
      <c r="AH716" s="372">
        <v>0</v>
      </c>
    </row>
    <row r="717" spans="1:34">
      <c r="A717" s="372" t="s">
        <v>5308</v>
      </c>
      <c r="B717" s="373" t="s">
        <v>5309</v>
      </c>
      <c r="C717" s="372" t="s">
        <v>5310</v>
      </c>
      <c r="D717" s="374">
        <v>1101112860173</v>
      </c>
      <c r="E717" s="372" t="s">
        <v>5311</v>
      </c>
      <c r="F717" s="372" t="s">
        <v>2438</v>
      </c>
      <c r="G717" s="375" t="s">
        <v>2438</v>
      </c>
      <c r="H717" s="375" t="s">
        <v>868</v>
      </c>
      <c r="I717" s="375" t="s">
        <v>869</v>
      </c>
      <c r="J717" s="375">
        <v>0</v>
      </c>
      <c r="K717" s="375">
        <v>0</v>
      </c>
      <c r="L717" s="375">
        <v>0</v>
      </c>
      <c r="M717" s="375">
        <v>40145.417670000003</v>
      </c>
      <c r="N717" s="372" t="s">
        <v>1033</v>
      </c>
      <c r="O717" s="703">
        <v>14.421482185066051</v>
      </c>
      <c r="P717" s="375" t="s">
        <v>623</v>
      </c>
      <c r="Q717" s="372" t="s">
        <v>623</v>
      </c>
      <c r="R717" s="695">
        <v>20240129</v>
      </c>
      <c r="S717" s="375" t="s">
        <v>5312</v>
      </c>
      <c r="T717" s="696" t="s">
        <v>772</v>
      </c>
      <c r="U717" s="375" t="s">
        <v>5313</v>
      </c>
      <c r="V717" s="722">
        <v>0</v>
      </c>
      <c r="W717" s="722">
        <v>0</v>
      </c>
      <c r="X717" s="722">
        <v>0</v>
      </c>
      <c r="Y717" s="722">
        <v>0</v>
      </c>
      <c r="Z717" s="382" t="s">
        <v>934</v>
      </c>
      <c r="AA717" s="372">
        <v>617.47885259999998</v>
      </c>
      <c r="AB717" s="372">
        <v>914.96346470000003</v>
      </c>
      <c r="AC717" s="372">
        <v>914.88384989999997</v>
      </c>
      <c r="AD717" s="372">
        <v>792.84386389999997</v>
      </c>
      <c r="AE717" s="372">
        <v>1115.5</v>
      </c>
      <c r="AF717" s="372">
        <v>0</v>
      </c>
      <c r="AG717" s="372">
        <v>0</v>
      </c>
      <c r="AH717" s="372">
        <v>0</v>
      </c>
    </row>
    <row r="718" spans="1:34">
      <c r="A718" s="372" t="s">
        <v>5314</v>
      </c>
      <c r="B718" s="373" t="s">
        <v>5315</v>
      </c>
      <c r="C718" s="372" t="s">
        <v>5316</v>
      </c>
      <c r="D718" s="374">
        <v>1101118570891</v>
      </c>
      <c r="E718" s="372" t="s">
        <v>5317</v>
      </c>
      <c r="F718" s="375" t="s">
        <v>1665</v>
      </c>
      <c r="G718" s="375" t="s">
        <v>1666</v>
      </c>
      <c r="H718" s="375" t="s">
        <v>853</v>
      </c>
      <c r="I718" s="375" t="s">
        <v>755</v>
      </c>
      <c r="J718" s="375">
        <v>434495.38461000001</v>
      </c>
      <c r="K718" s="375">
        <v>9820.5928100000001</v>
      </c>
      <c r="L718" s="375">
        <v>-38544.808920000003</v>
      </c>
      <c r="M718" s="375">
        <v>828664.55925000005</v>
      </c>
      <c r="N718" s="372" t="s">
        <v>1033</v>
      </c>
      <c r="O718" s="703">
        <v>148.7609350255224</v>
      </c>
      <c r="P718" s="375" t="s">
        <v>623</v>
      </c>
      <c r="Q718" s="375" t="s">
        <v>623</v>
      </c>
      <c r="R718" s="695">
        <v>20230331</v>
      </c>
      <c r="S718" s="375" t="s">
        <v>1666</v>
      </c>
      <c r="T718" s="696" t="s">
        <v>772</v>
      </c>
      <c r="U718" s="375" t="s">
        <v>5318</v>
      </c>
      <c r="V718" s="722">
        <v>8.16</v>
      </c>
      <c r="W718" s="722">
        <v>0.32</v>
      </c>
      <c r="X718" s="722">
        <v>0.61</v>
      </c>
      <c r="Y718" s="722" t="s">
        <v>774</v>
      </c>
      <c r="Z718" s="382" t="s">
        <v>934</v>
      </c>
      <c r="AA718" s="372">
        <v>0</v>
      </c>
      <c r="AB718" s="372">
        <v>0</v>
      </c>
      <c r="AC718" s="372">
        <v>0</v>
      </c>
      <c r="AD718" s="372">
        <v>4344.9538461000002</v>
      </c>
      <c r="AE718" s="372">
        <v>0</v>
      </c>
      <c r="AF718" s="372">
        <v>0</v>
      </c>
      <c r="AG718" s="372">
        <v>0</v>
      </c>
      <c r="AH718" s="372">
        <v>0</v>
      </c>
    </row>
    <row r="719" spans="1:34">
      <c r="A719" s="372" t="s">
        <v>5319</v>
      </c>
      <c r="B719" s="373" t="s">
        <v>5320</v>
      </c>
      <c r="C719" s="372" t="s">
        <v>5321</v>
      </c>
      <c r="D719" s="374">
        <v>1101110003345</v>
      </c>
      <c r="E719" s="372" t="s">
        <v>5322</v>
      </c>
      <c r="F719" s="375" t="s">
        <v>852</v>
      </c>
      <c r="G719" s="375" t="s">
        <v>852</v>
      </c>
      <c r="H719" s="375" t="s">
        <v>853</v>
      </c>
      <c r="I719" s="375" t="s">
        <v>755</v>
      </c>
      <c r="J719" s="375">
        <v>1542577.0889600001</v>
      </c>
      <c r="K719" s="375">
        <v>144094.93463999999</v>
      </c>
      <c r="L719" s="375">
        <v>113825.37595</v>
      </c>
      <c r="M719" s="375">
        <v>423925.65749000001</v>
      </c>
      <c r="N719" s="372">
        <v>0.86699999999999999</v>
      </c>
      <c r="O719" s="703">
        <v>166.95560205098894</v>
      </c>
      <c r="P719" s="375" t="s">
        <v>623</v>
      </c>
      <c r="Q719" s="375" t="s">
        <v>623</v>
      </c>
      <c r="R719" s="695">
        <v>19751222</v>
      </c>
      <c r="S719" s="375" t="s">
        <v>5323</v>
      </c>
      <c r="T719" s="696">
        <v>0.23100000000000001</v>
      </c>
      <c r="U719" s="375" t="s">
        <v>5324</v>
      </c>
      <c r="V719" s="722">
        <v>2.64</v>
      </c>
      <c r="W719" s="722">
        <v>0.72</v>
      </c>
      <c r="X719" s="722">
        <v>0.2</v>
      </c>
      <c r="Y719" s="722">
        <v>3.69</v>
      </c>
      <c r="Z719" s="382" t="s">
        <v>934</v>
      </c>
      <c r="AA719" s="372">
        <v>10272.424917799999</v>
      </c>
      <c r="AB719" s="372">
        <v>11999.030160800001</v>
      </c>
      <c r="AC719" s="372">
        <v>14658.112342099999</v>
      </c>
      <c r="AD719" s="372">
        <v>15425.7708896</v>
      </c>
      <c r="AE719" s="372">
        <v>0</v>
      </c>
      <c r="AF719" s="372">
        <v>0</v>
      </c>
      <c r="AG719" s="372">
        <v>0</v>
      </c>
      <c r="AH719" s="372">
        <v>0</v>
      </c>
    </row>
    <row r="720" spans="1:34">
      <c r="A720" s="372" t="s">
        <v>5325</v>
      </c>
      <c r="B720" s="373" t="s">
        <v>5326</v>
      </c>
      <c r="C720" s="372" t="s">
        <v>5327</v>
      </c>
      <c r="D720" s="374">
        <v>1101110005995</v>
      </c>
      <c r="E720" s="372" t="s">
        <v>5327</v>
      </c>
      <c r="F720" s="375" t="s">
        <v>5328</v>
      </c>
      <c r="G720" s="375" t="s">
        <v>5328</v>
      </c>
      <c r="H720" s="375" t="s">
        <v>1555</v>
      </c>
      <c r="I720" s="375" t="s">
        <v>755</v>
      </c>
      <c r="J720" s="375">
        <v>168401.52387999999</v>
      </c>
      <c r="K720" s="375">
        <v>27498.39428</v>
      </c>
      <c r="L720" s="375">
        <v>28975.644830000001</v>
      </c>
      <c r="M720" s="375">
        <v>534920.57016</v>
      </c>
      <c r="N720" s="372">
        <v>0.86599999999999999</v>
      </c>
      <c r="O720" s="703">
        <v>11.988778584999888</v>
      </c>
      <c r="P720" s="375" t="s">
        <v>623</v>
      </c>
      <c r="Q720" s="375" t="s">
        <v>623</v>
      </c>
      <c r="R720" s="695">
        <v>19750602</v>
      </c>
      <c r="S720" s="375" t="s">
        <v>5329</v>
      </c>
      <c r="T720" s="696">
        <v>0.23100000000000001</v>
      </c>
      <c r="U720" s="375" t="s">
        <v>5330</v>
      </c>
      <c r="V720" s="722">
        <v>7.49</v>
      </c>
      <c r="W720" s="722">
        <v>0.67</v>
      </c>
      <c r="X720" s="722">
        <v>2.13</v>
      </c>
      <c r="Y720" s="722">
        <v>15.13</v>
      </c>
      <c r="Z720" s="382" t="s">
        <v>934</v>
      </c>
      <c r="AA720" s="372">
        <v>1618.6337701</v>
      </c>
      <c r="AB720" s="372">
        <v>1644.4589378000001</v>
      </c>
      <c r="AC720" s="372">
        <v>1696.8033686000001</v>
      </c>
      <c r="AD720" s="372">
        <v>1684.0152387999999</v>
      </c>
      <c r="AE720" s="372">
        <v>0</v>
      </c>
      <c r="AF720" s="372">
        <v>0</v>
      </c>
      <c r="AG720" s="372">
        <v>0</v>
      </c>
      <c r="AH720" s="372">
        <v>0</v>
      </c>
    </row>
    <row r="721" spans="1:34">
      <c r="A721" s="372" t="s">
        <v>5331</v>
      </c>
      <c r="B721" s="373" t="s">
        <v>5332</v>
      </c>
      <c r="C721" s="372" t="s">
        <v>5333</v>
      </c>
      <c r="D721" s="374">
        <v>1311110051935</v>
      </c>
      <c r="E721" s="372" t="s">
        <v>5334</v>
      </c>
      <c r="F721" s="375" t="s">
        <v>4892</v>
      </c>
      <c r="G721" s="375" t="s">
        <v>4892</v>
      </c>
      <c r="H721" s="375" t="s">
        <v>4894</v>
      </c>
      <c r="I721" s="375" t="s">
        <v>869</v>
      </c>
      <c r="J721" s="375">
        <v>61640.473400000003</v>
      </c>
      <c r="K721" s="375">
        <v>16741.316159999998</v>
      </c>
      <c r="L721" s="375">
        <v>6134.5863399999998</v>
      </c>
      <c r="M721" s="375">
        <v>120955.07483</v>
      </c>
      <c r="N721" s="372">
        <v>1.702</v>
      </c>
      <c r="O721" s="703">
        <v>64.584941954962076</v>
      </c>
      <c r="P721" s="375" t="s">
        <v>623</v>
      </c>
      <c r="Q721" s="375" t="s">
        <v>623</v>
      </c>
      <c r="R721" s="695">
        <v>20220516</v>
      </c>
      <c r="S721" s="375" t="s">
        <v>5335</v>
      </c>
      <c r="T721" s="696">
        <v>0.20900000000000002</v>
      </c>
      <c r="U721" s="375" t="s">
        <v>5336</v>
      </c>
      <c r="V721" s="722">
        <v>14.75</v>
      </c>
      <c r="W721" s="722">
        <v>2.46</v>
      </c>
      <c r="X721" s="722">
        <v>4.82</v>
      </c>
      <c r="Y721" s="722">
        <v>48.41</v>
      </c>
      <c r="Z721" s="382" t="s">
        <v>934</v>
      </c>
      <c r="AA721" s="372">
        <v>1662.4548400000001</v>
      </c>
      <c r="AB721" s="372">
        <v>1360.7570301999999</v>
      </c>
      <c r="AC721" s="372">
        <v>879.94198400000005</v>
      </c>
      <c r="AD721" s="372">
        <v>616.40473399999996</v>
      </c>
      <c r="AE721" s="372">
        <v>1020</v>
      </c>
      <c r="AF721" s="372">
        <v>1230</v>
      </c>
      <c r="AG721" s="372">
        <v>0</v>
      </c>
      <c r="AH721" s="372">
        <v>0</v>
      </c>
    </row>
    <row r="722" spans="1:34">
      <c r="A722" s="372" t="s">
        <v>5337</v>
      </c>
      <c r="B722" s="373" t="s">
        <v>5338</v>
      </c>
      <c r="C722" s="372" t="s">
        <v>5339</v>
      </c>
      <c r="D722" s="374">
        <v>1101114398859</v>
      </c>
      <c r="E722" s="372" t="s">
        <v>5340</v>
      </c>
      <c r="F722" s="375" t="s">
        <v>1814</v>
      </c>
      <c r="G722" s="375" t="s">
        <v>1815</v>
      </c>
      <c r="H722" s="375" t="s">
        <v>1693</v>
      </c>
      <c r="I722" s="375" t="s">
        <v>869</v>
      </c>
      <c r="J722" s="375">
        <v>50411.451719999997</v>
      </c>
      <c r="K722" s="375">
        <v>7927.5684799999999</v>
      </c>
      <c r="L722" s="375">
        <v>8835.1159900000002</v>
      </c>
      <c r="M722" s="375">
        <v>92656.46269</v>
      </c>
      <c r="N722" s="372">
        <v>0.51500000000000001</v>
      </c>
      <c r="O722" s="703">
        <v>0.40822835658395185</v>
      </c>
      <c r="P722" s="375" t="s">
        <v>623</v>
      </c>
      <c r="Q722" s="375" t="s">
        <v>623</v>
      </c>
      <c r="R722" s="695">
        <v>20110105</v>
      </c>
      <c r="S722" s="375" t="s">
        <v>5341</v>
      </c>
      <c r="T722" s="696">
        <v>0.20900000000000002</v>
      </c>
      <c r="U722" s="372" t="s">
        <v>5342</v>
      </c>
      <c r="V722" s="722">
        <v>19.96</v>
      </c>
      <c r="W722" s="722">
        <v>2.06</v>
      </c>
      <c r="X722" s="722">
        <v>3.89</v>
      </c>
      <c r="Y722" s="722">
        <v>27.02</v>
      </c>
      <c r="Z722" s="382" t="s">
        <v>934</v>
      </c>
      <c r="AA722" s="372">
        <v>463.56652400000002</v>
      </c>
      <c r="AB722" s="372">
        <v>524.69273020000003</v>
      </c>
      <c r="AC722" s="372">
        <v>485.9923551</v>
      </c>
      <c r="AD722" s="372">
        <v>504.11451720000002</v>
      </c>
      <c r="AE722" s="372">
        <v>0</v>
      </c>
      <c r="AF722" s="372">
        <v>0</v>
      </c>
      <c r="AG722" s="372">
        <v>0</v>
      </c>
      <c r="AH722" s="372">
        <v>0</v>
      </c>
    </row>
    <row r="723" spans="1:34">
      <c r="A723" s="372" t="s">
        <v>5343</v>
      </c>
      <c r="B723" s="373" t="s">
        <v>5344</v>
      </c>
      <c r="C723" s="372" t="s">
        <v>5345</v>
      </c>
      <c r="D723" s="374">
        <v>1348110166589</v>
      </c>
      <c r="E723" s="372" t="s">
        <v>5346</v>
      </c>
      <c r="F723" s="375" t="s">
        <v>1985</v>
      </c>
      <c r="G723" s="375" t="s">
        <v>1985</v>
      </c>
      <c r="H723" s="375" t="s">
        <v>868</v>
      </c>
      <c r="I723" s="375" t="s">
        <v>869</v>
      </c>
      <c r="J723" s="375">
        <v>137256.46911999999</v>
      </c>
      <c r="K723" s="375">
        <v>4641.2726000000002</v>
      </c>
      <c r="L723" s="375">
        <v>5147.3115500000004</v>
      </c>
      <c r="M723" s="375">
        <v>119253.00444</v>
      </c>
      <c r="N723" s="372">
        <v>1.107</v>
      </c>
      <c r="O723" s="703">
        <v>6.5944683005403615</v>
      </c>
      <c r="P723" s="375" t="s">
        <v>623</v>
      </c>
      <c r="Q723" s="372" t="s">
        <v>623</v>
      </c>
      <c r="R723" s="695">
        <v>20211007</v>
      </c>
      <c r="S723" s="375" t="s">
        <v>5347</v>
      </c>
      <c r="T723" s="696">
        <v>0.20900000000000002</v>
      </c>
      <c r="U723" s="372" t="s">
        <v>5348</v>
      </c>
      <c r="V723" s="722">
        <v>39.51</v>
      </c>
      <c r="W723" s="722">
        <v>2.2999999999999998</v>
      </c>
      <c r="X723" s="722">
        <v>2.02</v>
      </c>
      <c r="Y723" s="722">
        <v>49.72</v>
      </c>
      <c r="Z723" s="382" t="s">
        <v>934</v>
      </c>
      <c r="AA723" s="372">
        <v>640.29825149999999</v>
      </c>
      <c r="AB723" s="372">
        <v>620.9118694</v>
      </c>
      <c r="AC723" s="372">
        <v>1432.0003773999999</v>
      </c>
      <c r="AD723" s="372">
        <v>1372.5646912</v>
      </c>
      <c r="AE723" s="372">
        <v>2296</v>
      </c>
      <c r="AF723" s="372">
        <v>3141</v>
      </c>
      <c r="AG723" s="372">
        <v>0</v>
      </c>
      <c r="AH723" s="372">
        <v>0</v>
      </c>
    </row>
    <row r="724" spans="1:34">
      <c r="A724" s="372" t="s">
        <v>5349</v>
      </c>
      <c r="B724" s="373" t="s">
        <v>5350</v>
      </c>
      <c r="C724" s="372" t="s">
        <v>5351</v>
      </c>
      <c r="D724" s="374">
        <v>1615110001572</v>
      </c>
      <c r="E724" s="372" t="s">
        <v>5352</v>
      </c>
      <c r="F724" s="375" t="s">
        <v>5353</v>
      </c>
      <c r="G724" s="375" t="s">
        <v>5353</v>
      </c>
      <c r="H724" s="375" t="s">
        <v>868</v>
      </c>
      <c r="I724" s="375" t="s">
        <v>869</v>
      </c>
      <c r="J724" s="375">
        <v>160600.79673999999</v>
      </c>
      <c r="K724" s="375">
        <v>-8945.3221200000007</v>
      </c>
      <c r="L724" s="375">
        <v>-208711.70799</v>
      </c>
      <c r="M724" s="375">
        <v>-53407.840340000002</v>
      </c>
      <c r="N724" s="372">
        <v>0.66800000000000004</v>
      </c>
      <c r="O724" s="703">
        <v>63.326187298183044</v>
      </c>
      <c r="P724" s="375" t="s">
        <v>16142</v>
      </c>
      <c r="Q724" s="375" t="s">
        <v>16145</v>
      </c>
      <c r="R724" s="695">
        <v>20180601</v>
      </c>
      <c r="S724" s="375" t="s">
        <v>5354</v>
      </c>
      <c r="T724" s="696" t="s">
        <v>772</v>
      </c>
      <c r="U724" s="375" t="s">
        <v>5355</v>
      </c>
      <c r="V724" s="722" t="s">
        <v>774</v>
      </c>
      <c r="W724" s="722" t="s">
        <v>774</v>
      </c>
      <c r="X724" s="722">
        <v>5.48</v>
      </c>
      <c r="Y724" s="722" t="s">
        <v>774</v>
      </c>
      <c r="Z724" s="382" t="s">
        <v>934</v>
      </c>
      <c r="AA724" s="372">
        <v>1074.769524</v>
      </c>
      <c r="AB724" s="372">
        <v>1103.060146</v>
      </c>
      <c r="AC724" s="372">
        <v>1580.9562312999999</v>
      </c>
      <c r="AD724" s="372">
        <v>1606.0079674000001</v>
      </c>
      <c r="AE724" s="372">
        <v>0</v>
      </c>
      <c r="AF724" s="372">
        <v>0</v>
      </c>
      <c r="AG724" s="372">
        <v>0</v>
      </c>
      <c r="AH724" s="372">
        <v>0</v>
      </c>
    </row>
    <row r="725" spans="1:34">
      <c r="A725" s="372" t="s">
        <v>5356</v>
      </c>
      <c r="B725" s="373" t="s">
        <v>5357</v>
      </c>
      <c r="C725" s="372" t="s">
        <v>5358</v>
      </c>
      <c r="D725" s="374">
        <v>1314110255979</v>
      </c>
      <c r="E725" s="372" t="s">
        <v>5359</v>
      </c>
      <c r="F725" s="375" t="s">
        <v>1005</v>
      </c>
      <c r="G725" s="375" t="s">
        <v>1005</v>
      </c>
      <c r="H725" s="375" t="s">
        <v>868</v>
      </c>
      <c r="I725" s="375" t="s">
        <v>869</v>
      </c>
      <c r="J725" s="375">
        <v>171306.69339999999</v>
      </c>
      <c r="K725" s="375">
        <v>3044.9627300000002</v>
      </c>
      <c r="L725" s="375">
        <v>3266.21081</v>
      </c>
      <c r="M725" s="375">
        <v>110236.7862</v>
      </c>
      <c r="N725" s="372">
        <v>1.0960000000000001</v>
      </c>
      <c r="O725" s="703">
        <v>14.746514108787206</v>
      </c>
      <c r="P725" s="375" t="s">
        <v>623</v>
      </c>
      <c r="Q725" s="375" t="s">
        <v>623</v>
      </c>
      <c r="R725" s="695">
        <v>20201214</v>
      </c>
      <c r="S725" s="375" t="s">
        <v>5360</v>
      </c>
      <c r="T725" s="696">
        <v>0.20900000000000002</v>
      </c>
      <c r="U725" s="372" t="s">
        <v>5361</v>
      </c>
      <c r="V725" s="722">
        <v>34.619999999999997</v>
      </c>
      <c r="W725" s="722">
        <v>2.7</v>
      </c>
      <c r="X725" s="722">
        <v>1.75</v>
      </c>
      <c r="Y725" s="722">
        <v>119.45</v>
      </c>
      <c r="Z725" s="382">
        <v>7.8594476624311627E-2</v>
      </c>
      <c r="AA725" s="372">
        <v>1841.1181305</v>
      </c>
      <c r="AB725" s="372">
        <v>1780.9983044000001</v>
      </c>
      <c r="AC725" s="372">
        <v>2215.4816135999999</v>
      </c>
      <c r="AD725" s="372">
        <v>1713.0669339999999</v>
      </c>
      <c r="AE725" s="372">
        <v>1953.2</v>
      </c>
      <c r="AF725" s="372">
        <v>2213.25</v>
      </c>
      <c r="AG725" s="372">
        <v>2318.5</v>
      </c>
      <c r="AH725" s="372">
        <v>0</v>
      </c>
    </row>
    <row r="726" spans="1:34">
      <c r="A726" s="372" t="s">
        <v>5362</v>
      </c>
      <c r="B726" s="373" t="s">
        <v>5363</v>
      </c>
      <c r="C726" s="372" t="s">
        <v>5364</v>
      </c>
      <c r="D726" s="374">
        <v>1101110037740</v>
      </c>
      <c r="E726" s="372" t="s">
        <v>5365</v>
      </c>
      <c r="F726" s="372" t="s">
        <v>1089</v>
      </c>
      <c r="G726" s="375" t="s">
        <v>5366</v>
      </c>
      <c r="H726" s="375" t="s">
        <v>823</v>
      </c>
      <c r="I726" s="375" t="s">
        <v>755</v>
      </c>
      <c r="J726" s="375">
        <v>574990.69981999998</v>
      </c>
      <c r="K726" s="375">
        <v>21891.969359999999</v>
      </c>
      <c r="L726" s="375">
        <v>26038.82905</v>
      </c>
      <c r="M726" s="375">
        <v>274364.10135000001</v>
      </c>
      <c r="N726" s="372">
        <v>0.91300000000000003</v>
      </c>
      <c r="O726" s="703">
        <v>23.587253358450177</v>
      </c>
      <c r="P726" s="375" t="s">
        <v>623</v>
      </c>
      <c r="Q726" s="375" t="s">
        <v>623</v>
      </c>
      <c r="R726" s="695">
        <v>20100812</v>
      </c>
      <c r="S726" s="375" t="s">
        <v>5367</v>
      </c>
      <c r="T726" s="696">
        <v>0.23100000000000001</v>
      </c>
      <c r="U726" s="375" t="s">
        <v>5368</v>
      </c>
      <c r="V726" s="722">
        <v>9.5</v>
      </c>
      <c r="W726" s="722">
        <v>0.97</v>
      </c>
      <c r="X726" s="722">
        <v>0.47</v>
      </c>
      <c r="Y726" s="722">
        <v>12.89</v>
      </c>
      <c r="Z726" s="382" t="s">
        <v>934</v>
      </c>
      <c r="AA726" s="372">
        <v>5749.2298873</v>
      </c>
      <c r="AB726" s="372">
        <v>5773.9266023</v>
      </c>
      <c r="AC726" s="372">
        <v>5558.2425194999996</v>
      </c>
      <c r="AD726" s="372">
        <v>5749.9069982000001</v>
      </c>
      <c r="AE726" s="372">
        <v>0</v>
      </c>
      <c r="AF726" s="372">
        <v>0</v>
      </c>
      <c r="AG726" s="372">
        <v>0</v>
      </c>
      <c r="AH726" s="372">
        <v>0</v>
      </c>
    </row>
    <row r="727" spans="1:34">
      <c r="A727" s="372" t="s">
        <v>5369</v>
      </c>
      <c r="B727" s="373" t="s">
        <v>5370</v>
      </c>
      <c r="C727" s="372" t="s">
        <v>5371</v>
      </c>
      <c r="D727" s="374">
        <v>1350110079381</v>
      </c>
      <c r="E727" s="372" t="s">
        <v>5372</v>
      </c>
      <c r="F727" s="375" t="s">
        <v>2305</v>
      </c>
      <c r="G727" s="375" t="s">
        <v>5144</v>
      </c>
      <c r="H727" s="375" t="s">
        <v>868</v>
      </c>
      <c r="I727" s="375" t="s">
        <v>869</v>
      </c>
      <c r="J727" s="375">
        <v>285658.91944000003</v>
      </c>
      <c r="K727" s="375">
        <v>17193.108660000002</v>
      </c>
      <c r="L727" s="375">
        <v>-2384.4983200000001</v>
      </c>
      <c r="M727" s="375">
        <v>436750.80414000002</v>
      </c>
      <c r="N727" s="372">
        <v>1.175</v>
      </c>
      <c r="O727" s="703">
        <v>31.798932994992473</v>
      </c>
      <c r="P727" s="375" t="s">
        <v>623</v>
      </c>
      <c r="Q727" s="375" t="s">
        <v>623</v>
      </c>
      <c r="R727" s="695">
        <v>20101112</v>
      </c>
      <c r="S727" s="375" t="s">
        <v>5373</v>
      </c>
      <c r="T727" s="696" t="s">
        <v>772</v>
      </c>
      <c r="U727" s="372" t="s">
        <v>16024</v>
      </c>
      <c r="V727" s="722">
        <v>13.94</v>
      </c>
      <c r="W727" s="722">
        <v>0.7</v>
      </c>
      <c r="X727" s="722">
        <v>0.7</v>
      </c>
      <c r="Y727" s="722" t="s">
        <v>774</v>
      </c>
      <c r="Z727" s="382" t="s">
        <v>934</v>
      </c>
      <c r="AA727" s="372">
        <v>1509.1716220999999</v>
      </c>
      <c r="AB727" s="372">
        <v>2034.5388702</v>
      </c>
      <c r="AC727" s="372">
        <v>2633.0159066000001</v>
      </c>
      <c r="AD727" s="372">
        <v>2856.5891944</v>
      </c>
      <c r="AE727" s="372">
        <v>0</v>
      </c>
      <c r="AF727" s="372">
        <v>0</v>
      </c>
      <c r="AG727" s="372">
        <v>0</v>
      </c>
      <c r="AH727" s="372">
        <v>0</v>
      </c>
    </row>
    <row r="728" spans="1:34">
      <c r="A728" s="372" t="s">
        <v>5374</v>
      </c>
      <c r="B728" s="373" t="s">
        <v>5375</v>
      </c>
      <c r="C728" s="372" t="s">
        <v>5376</v>
      </c>
      <c r="D728" s="374">
        <v>1358110168568</v>
      </c>
      <c r="E728" s="372" t="s">
        <v>5377</v>
      </c>
      <c r="F728" s="375" t="s">
        <v>1062</v>
      </c>
      <c r="G728" s="375" t="s">
        <v>1062</v>
      </c>
      <c r="H728" s="375" t="s">
        <v>868</v>
      </c>
      <c r="I728" s="375" t="s">
        <v>869</v>
      </c>
      <c r="J728" s="375">
        <v>0</v>
      </c>
      <c r="K728" s="375">
        <v>0</v>
      </c>
      <c r="L728" s="375">
        <v>0</v>
      </c>
      <c r="M728" s="375">
        <v>73055.934869999997</v>
      </c>
      <c r="N728" s="372">
        <v>0.81599999999999995</v>
      </c>
      <c r="O728" s="703">
        <v>46.72107989553858</v>
      </c>
      <c r="P728" s="375" t="s">
        <v>623</v>
      </c>
      <c r="Q728" s="375" t="s">
        <v>623</v>
      </c>
      <c r="R728" s="695">
        <v>20191114</v>
      </c>
      <c r="S728" s="375" t="s">
        <v>5378</v>
      </c>
      <c r="T728" s="696" t="s">
        <v>772</v>
      </c>
      <c r="U728" s="372" t="s">
        <v>5379</v>
      </c>
      <c r="V728" s="722">
        <v>0</v>
      </c>
      <c r="W728" s="722">
        <v>3.88</v>
      </c>
      <c r="X728" s="722">
        <v>0</v>
      </c>
      <c r="Y728" s="722">
        <v>0</v>
      </c>
      <c r="Z728" s="382" t="s">
        <v>934</v>
      </c>
      <c r="AA728" s="372">
        <v>206.59506250000001</v>
      </c>
      <c r="AB728" s="372">
        <v>332.22759330000002</v>
      </c>
      <c r="AC728" s="372">
        <v>459.93818210000001</v>
      </c>
      <c r="AD728" s="372">
        <v>587.16076769999995</v>
      </c>
      <c r="AE728" s="372">
        <v>0</v>
      </c>
      <c r="AF728" s="372">
        <v>0</v>
      </c>
      <c r="AG728" s="372">
        <v>0</v>
      </c>
      <c r="AH728" s="372">
        <v>0</v>
      </c>
    </row>
    <row r="729" spans="1:34">
      <c r="A729" s="372" t="s">
        <v>5380</v>
      </c>
      <c r="B729" s="373" t="s">
        <v>5381</v>
      </c>
      <c r="C729" s="372" t="s">
        <v>5382</v>
      </c>
      <c r="D729" s="374">
        <v>1101112476376</v>
      </c>
      <c r="E729" s="372" t="s">
        <v>5383</v>
      </c>
      <c r="F729" s="375" t="s">
        <v>2858</v>
      </c>
      <c r="G729" s="375" t="s">
        <v>5384</v>
      </c>
      <c r="H729" s="375" t="s">
        <v>1388</v>
      </c>
      <c r="I729" s="375" t="s">
        <v>869</v>
      </c>
      <c r="J729" s="375">
        <v>10016.939689999999</v>
      </c>
      <c r="K729" s="375">
        <v>-9887.2294199999997</v>
      </c>
      <c r="L729" s="375">
        <v>-17100.13607</v>
      </c>
      <c r="M729" s="375">
        <v>558340.41775999998</v>
      </c>
      <c r="N729" s="372">
        <v>1.2749999999999999</v>
      </c>
      <c r="O729" s="703">
        <v>17.361474135348207</v>
      </c>
      <c r="P729" s="375" t="s">
        <v>16142</v>
      </c>
      <c r="Q729" s="375" t="s">
        <v>16145</v>
      </c>
      <c r="R729" s="695">
        <v>20111201</v>
      </c>
      <c r="S729" s="375" t="s">
        <v>5385</v>
      </c>
      <c r="T729" s="696" t="s">
        <v>772</v>
      </c>
      <c r="U729" s="372" t="s">
        <v>16025</v>
      </c>
      <c r="V729" s="722" t="s">
        <v>774</v>
      </c>
      <c r="W729" s="722">
        <v>0.46</v>
      </c>
      <c r="X729" s="722">
        <v>23.05</v>
      </c>
      <c r="Y729" s="722" t="s">
        <v>774</v>
      </c>
      <c r="Z729" s="382" t="s">
        <v>934</v>
      </c>
      <c r="AA729" s="372">
        <v>107.09592120000001</v>
      </c>
      <c r="AB729" s="372">
        <v>176.86241390000001</v>
      </c>
      <c r="AC729" s="372">
        <v>158.4545736</v>
      </c>
      <c r="AD729" s="372">
        <v>100.1693969</v>
      </c>
      <c r="AE729" s="372">
        <v>0</v>
      </c>
      <c r="AF729" s="372">
        <v>0</v>
      </c>
      <c r="AG729" s="372">
        <v>0</v>
      </c>
      <c r="AH729" s="372">
        <v>0</v>
      </c>
    </row>
    <row r="730" spans="1:34">
      <c r="A730" s="372" t="s">
        <v>5386</v>
      </c>
      <c r="B730" s="373" t="s">
        <v>5387</v>
      </c>
      <c r="C730" s="372" t="s">
        <v>5388</v>
      </c>
      <c r="D730" s="374">
        <v>1845110014990</v>
      </c>
      <c r="E730" s="372" t="s">
        <v>5389</v>
      </c>
      <c r="F730" s="375" t="s">
        <v>2450</v>
      </c>
      <c r="G730" s="375" t="s">
        <v>2451</v>
      </c>
      <c r="H730" s="375" t="s">
        <v>868</v>
      </c>
      <c r="I730" s="375" t="s">
        <v>869</v>
      </c>
      <c r="J730" s="375">
        <v>601655.99268999998</v>
      </c>
      <c r="K730" s="375">
        <v>68950.679380000001</v>
      </c>
      <c r="L730" s="375">
        <v>70921.933210000003</v>
      </c>
      <c r="M730" s="375">
        <v>392680.64906000003</v>
      </c>
      <c r="N730" s="372">
        <v>1.004</v>
      </c>
      <c r="O730" s="703">
        <v>45.987762944797176</v>
      </c>
      <c r="P730" s="375" t="s">
        <v>623</v>
      </c>
      <c r="Q730" s="372" t="s">
        <v>623</v>
      </c>
      <c r="R730" s="695">
        <v>20090915</v>
      </c>
      <c r="S730" s="372" t="s">
        <v>5390</v>
      </c>
      <c r="T730" s="696">
        <v>0.23100000000000001</v>
      </c>
      <c r="U730" s="372" t="s">
        <v>5391</v>
      </c>
      <c r="V730" s="722">
        <v>4.17</v>
      </c>
      <c r="W730" s="722">
        <v>0.72</v>
      </c>
      <c r="X730" s="722">
        <v>0.48</v>
      </c>
      <c r="Y730" s="722">
        <v>5.09</v>
      </c>
      <c r="Z730" s="382" t="s">
        <v>934</v>
      </c>
      <c r="AA730" s="372">
        <v>3220.2552172999999</v>
      </c>
      <c r="AB730" s="372">
        <v>1648.7677673999999</v>
      </c>
      <c r="AC730" s="372">
        <v>3449.7862955999999</v>
      </c>
      <c r="AD730" s="372">
        <v>6016.5599269000004</v>
      </c>
      <c r="AE730" s="372">
        <v>0</v>
      </c>
      <c r="AF730" s="372">
        <v>0</v>
      </c>
      <c r="AG730" s="372">
        <v>0</v>
      </c>
      <c r="AH730" s="372">
        <v>0</v>
      </c>
    </row>
    <row r="731" spans="1:34">
      <c r="A731" s="372" t="s">
        <v>5392</v>
      </c>
      <c r="B731" s="373" t="s">
        <v>5393</v>
      </c>
      <c r="C731" s="372" t="s">
        <v>5394</v>
      </c>
      <c r="D731" s="374">
        <v>1345110097540</v>
      </c>
      <c r="E731" s="372" t="s">
        <v>5395</v>
      </c>
      <c r="F731" s="375" t="s">
        <v>1286</v>
      </c>
      <c r="G731" s="375" t="s">
        <v>1286</v>
      </c>
      <c r="H731" s="375" t="s">
        <v>868</v>
      </c>
      <c r="I731" s="375" t="s">
        <v>869</v>
      </c>
      <c r="J731" s="375">
        <v>304477.12059000001</v>
      </c>
      <c r="K731" s="375">
        <v>36183.441129999999</v>
      </c>
      <c r="L731" s="375">
        <v>33915.636559999999</v>
      </c>
      <c r="M731" s="375">
        <v>201893.86358</v>
      </c>
      <c r="N731" s="372">
        <v>1.196</v>
      </c>
      <c r="O731" s="703">
        <v>5.8503229715439975</v>
      </c>
      <c r="P731" s="375" t="s">
        <v>623</v>
      </c>
      <c r="Q731" s="375" t="s">
        <v>623</v>
      </c>
      <c r="R731" s="695">
        <v>20190730</v>
      </c>
      <c r="S731" s="375" t="s">
        <v>5396</v>
      </c>
      <c r="T731" s="696">
        <v>0.23100000000000001</v>
      </c>
      <c r="U731" s="375" t="s">
        <v>5397</v>
      </c>
      <c r="V731" s="722">
        <v>3.74</v>
      </c>
      <c r="W731" s="722">
        <v>1.57</v>
      </c>
      <c r="X731" s="722">
        <v>1.17</v>
      </c>
      <c r="Y731" s="722">
        <v>10.23</v>
      </c>
      <c r="Z731" s="382">
        <v>0.10472875109729762</v>
      </c>
      <c r="AA731" s="372">
        <v>2199.6678766</v>
      </c>
      <c r="AB731" s="372">
        <v>2683.3085384000001</v>
      </c>
      <c r="AC731" s="372">
        <v>2606.4714723000002</v>
      </c>
      <c r="AD731" s="372">
        <v>3044.7712059</v>
      </c>
      <c r="AE731" s="372">
        <v>3820</v>
      </c>
      <c r="AF731" s="372">
        <v>4030.67</v>
      </c>
      <c r="AG731" s="372">
        <v>4535</v>
      </c>
      <c r="AH731" s="372">
        <v>0</v>
      </c>
    </row>
    <row r="732" spans="1:34">
      <c r="A732" s="372" t="s">
        <v>5398</v>
      </c>
      <c r="B732" s="373" t="s">
        <v>5399</v>
      </c>
      <c r="C732" s="372" t="s">
        <v>5400</v>
      </c>
      <c r="D732" s="374">
        <v>1101110031510</v>
      </c>
      <c r="E732" s="372" t="s">
        <v>5401</v>
      </c>
      <c r="F732" s="375" t="s">
        <v>1272</v>
      </c>
      <c r="G732" s="375" t="s">
        <v>1273</v>
      </c>
      <c r="H732" s="375" t="s">
        <v>1274</v>
      </c>
      <c r="I732" s="375" t="s">
        <v>755</v>
      </c>
      <c r="J732" s="375">
        <v>185614.15138</v>
      </c>
      <c r="K732" s="375">
        <v>69108.70912</v>
      </c>
      <c r="L732" s="375">
        <v>73634.60643</v>
      </c>
      <c r="M732" s="375">
        <v>757884.91885000002</v>
      </c>
      <c r="N732" s="372">
        <v>0.66200000000000003</v>
      </c>
      <c r="O732" s="703">
        <v>463.73328830787602</v>
      </c>
      <c r="P732" s="375" t="s">
        <v>623</v>
      </c>
      <c r="Q732" s="375" t="s">
        <v>623</v>
      </c>
      <c r="R732" s="695">
        <v>19880719</v>
      </c>
      <c r="S732" s="375" t="s">
        <v>5402</v>
      </c>
      <c r="T732" s="696">
        <v>0.23100000000000001</v>
      </c>
      <c r="U732" s="372" t="s">
        <v>5403</v>
      </c>
      <c r="V732" s="722">
        <v>0</v>
      </c>
      <c r="W732" s="722">
        <v>0.36</v>
      </c>
      <c r="X732" s="722">
        <v>0.36</v>
      </c>
      <c r="Y732" s="722">
        <v>5.0599999999999996</v>
      </c>
      <c r="Z732" s="382" t="s">
        <v>934</v>
      </c>
      <c r="AA732" s="372">
        <v>2055.9926664999998</v>
      </c>
      <c r="AB732" s="372">
        <v>2351.4314917000002</v>
      </c>
      <c r="AC732" s="372">
        <v>1845.5598557000001</v>
      </c>
      <c r="AD732" s="372">
        <v>1856.1415138</v>
      </c>
      <c r="AE732" s="372">
        <v>0</v>
      </c>
      <c r="AF732" s="372">
        <v>0</v>
      </c>
      <c r="AG732" s="372">
        <v>0</v>
      </c>
      <c r="AH732" s="372">
        <v>0</v>
      </c>
    </row>
    <row r="733" spans="1:34">
      <c r="A733" s="372" t="s">
        <v>5404</v>
      </c>
      <c r="B733" s="373" t="s">
        <v>5405</v>
      </c>
      <c r="C733" s="372" t="s">
        <v>5406</v>
      </c>
      <c r="D733" s="374">
        <v>1101110028145</v>
      </c>
      <c r="E733" s="372" t="s">
        <v>5407</v>
      </c>
      <c r="F733" s="375" t="s">
        <v>2126</v>
      </c>
      <c r="G733" s="375" t="s">
        <v>2126</v>
      </c>
      <c r="H733" s="375" t="s">
        <v>902</v>
      </c>
      <c r="I733" s="375" t="s">
        <v>869</v>
      </c>
      <c r="J733" s="375">
        <v>2308405.7118600002</v>
      </c>
      <c r="K733" s="375">
        <v>106286.0949</v>
      </c>
      <c r="L733" s="375">
        <v>-8472.2579700000006</v>
      </c>
      <c r="M733" s="375">
        <v>1366350.42646</v>
      </c>
      <c r="N733" s="372">
        <v>1.093</v>
      </c>
      <c r="O733" s="703">
        <v>301.4677575177825</v>
      </c>
      <c r="P733" s="375" t="s">
        <v>623</v>
      </c>
      <c r="Q733" s="375" t="s">
        <v>623</v>
      </c>
      <c r="R733" s="695">
        <v>19990414</v>
      </c>
      <c r="S733" s="375" t="s">
        <v>5408</v>
      </c>
      <c r="T733" s="696" t="s">
        <v>772</v>
      </c>
      <c r="U733" s="372" t="s">
        <v>5409</v>
      </c>
      <c r="V733" s="722">
        <v>6.51</v>
      </c>
      <c r="W733" s="722">
        <v>0.35</v>
      </c>
      <c r="X733" s="722">
        <v>0.12</v>
      </c>
      <c r="Y733" s="722" t="s">
        <v>774</v>
      </c>
      <c r="Z733" s="382" t="s">
        <v>934</v>
      </c>
      <c r="AA733" s="372">
        <v>4793.9947289000002</v>
      </c>
      <c r="AB733" s="372">
        <v>18728.997170099999</v>
      </c>
      <c r="AC733" s="372">
        <v>25316.466803800002</v>
      </c>
      <c r="AD733" s="372">
        <v>23084.057118600002</v>
      </c>
      <c r="AE733" s="372">
        <v>0</v>
      </c>
      <c r="AF733" s="372">
        <v>0</v>
      </c>
      <c r="AG733" s="372">
        <v>0</v>
      </c>
      <c r="AH733" s="372">
        <v>0</v>
      </c>
    </row>
    <row r="734" spans="1:34">
      <c r="A734" s="372" t="s">
        <v>5410</v>
      </c>
      <c r="B734" s="373" t="s">
        <v>5411</v>
      </c>
      <c r="C734" s="372" t="s">
        <v>5412</v>
      </c>
      <c r="D734" s="374">
        <v>1101115604700</v>
      </c>
      <c r="E734" s="372" t="s">
        <v>5413</v>
      </c>
      <c r="F734" s="375" t="s">
        <v>5414</v>
      </c>
      <c r="G734" s="375" t="s">
        <v>5415</v>
      </c>
      <c r="H734" s="375" t="s">
        <v>3998</v>
      </c>
      <c r="I734" s="375" t="s">
        <v>755</v>
      </c>
      <c r="J734" s="375">
        <v>2194102.55155</v>
      </c>
      <c r="K734" s="375">
        <v>47243.516759999999</v>
      </c>
      <c r="L734" s="375">
        <v>2521.5797499999999</v>
      </c>
      <c r="M734" s="375">
        <v>724100.70229000004</v>
      </c>
      <c r="N734" s="372">
        <v>0.70399999999999996</v>
      </c>
      <c r="O734" s="703">
        <v>326.19524489720106</v>
      </c>
      <c r="P734" s="375" t="s">
        <v>623</v>
      </c>
      <c r="Q734" s="375" t="s">
        <v>623</v>
      </c>
      <c r="R734" s="695">
        <v>20150126</v>
      </c>
      <c r="S734" s="375" t="s">
        <v>5416</v>
      </c>
      <c r="T734" s="696">
        <v>0.20900000000000002</v>
      </c>
      <c r="U734" s="375" t="s">
        <v>5417</v>
      </c>
      <c r="V734" s="722">
        <v>7.63</v>
      </c>
      <c r="W734" s="722">
        <v>0.35</v>
      </c>
      <c r="X734" s="722">
        <v>0.12</v>
      </c>
      <c r="Y734" s="722">
        <v>143.99</v>
      </c>
      <c r="Z734" s="382">
        <v>1.9939098186093407E-2</v>
      </c>
      <c r="AA734" s="372">
        <v>15098.711730499999</v>
      </c>
      <c r="AB734" s="372">
        <v>18342.239770100001</v>
      </c>
      <c r="AC734" s="372">
        <v>24579.525936599999</v>
      </c>
      <c r="AD734" s="372">
        <v>21941.025515500001</v>
      </c>
      <c r="AE734" s="372">
        <v>22048</v>
      </c>
      <c r="AF734" s="372">
        <v>22898.33</v>
      </c>
      <c r="AG734" s="372">
        <v>23744</v>
      </c>
      <c r="AH734" s="372">
        <v>0</v>
      </c>
    </row>
    <row r="735" spans="1:34">
      <c r="A735" s="372" t="s">
        <v>5418</v>
      </c>
      <c r="B735" s="373" t="s">
        <v>5419</v>
      </c>
      <c r="C735" s="372" t="s">
        <v>5420</v>
      </c>
      <c r="D735" s="374">
        <v>1701110021543</v>
      </c>
      <c r="E735" s="372" t="s">
        <v>5421</v>
      </c>
      <c r="F735" s="375" t="s">
        <v>2139</v>
      </c>
      <c r="G735" s="375" t="s">
        <v>2140</v>
      </c>
      <c r="H735" s="375" t="s">
        <v>817</v>
      </c>
      <c r="I735" s="375" t="s">
        <v>755</v>
      </c>
      <c r="J735" s="375">
        <v>465783.85534000001</v>
      </c>
      <c r="K735" s="375">
        <v>8472.8652700000002</v>
      </c>
      <c r="L735" s="375">
        <v>-1519.4982</v>
      </c>
      <c r="M735" s="375">
        <v>191384.68221</v>
      </c>
      <c r="N735" s="372">
        <v>0.82399999999999995</v>
      </c>
      <c r="O735" s="703">
        <v>56.139438074670252</v>
      </c>
      <c r="P735" s="375" t="s">
        <v>623</v>
      </c>
      <c r="Q735" s="375" t="s">
        <v>623</v>
      </c>
      <c r="R735" s="695">
        <v>19881122</v>
      </c>
      <c r="S735" s="375" t="s">
        <v>5422</v>
      </c>
      <c r="T735" s="696" t="s">
        <v>772</v>
      </c>
      <c r="U735" s="375" t="s">
        <v>5423</v>
      </c>
      <c r="V735" s="722">
        <v>0</v>
      </c>
      <c r="W735" s="722">
        <v>1.38</v>
      </c>
      <c r="X735" s="722">
        <v>0</v>
      </c>
      <c r="Y735" s="722">
        <v>0</v>
      </c>
      <c r="Z735" s="382" t="s">
        <v>934</v>
      </c>
      <c r="AA735" s="372">
        <v>3329.1337782999999</v>
      </c>
      <c r="AB735" s="372">
        <v>4669.3250311000002</v>
      </c>
      <c r="AC735" s="372">
        <v>5623.8528299999998</v>
      </c>
      <c r="AD735" s="372">
        <v>4657.8385533999999</v>
      </c>
      <c r="AE735" s="372">
        <v>0</v>
      </c>
      <c r="AF735" s="372">
        <v>0</v>
      </c>
      <c r="AG735" s="372">
        <v>0</v>
      </c>
      <c r="AH735" s="372">
        <v>0</v>
      </c>
    </row>
    <row r="736" spans="1:34">
      <c r="A736" s="372" t="s">
        <v>5424</v>
      </c>
      <c r="B736" s="373" t="s">
        <v>5425</v>
      </c>
      <c r="C736" s="372" t="s">
        <v>5426</v>
      </c>
      <c r="D736" s="374">
        <v>1101112421157</v>
      </c>
      <c r="E736" s="372" t="s">
        <v>5427</v>
      </c>
      <c r="F736" s="372" t="s">
        <v>786</v>
      </c>
      <c r="G736" s="375" t="s">
        <v>787</v>
      </c>
      <c r="H736" s="375" t="s">
        <v>868</v>
      </c>
      <c r="I736" s="375" t="s">
        <v>869</v>
      </c>
      <c r="J736" s="375">
        <v>10769.161469999999</v>
      </c>
      <c r="K736" s="375">
        <v>-60829.063829999999</v>
      </c>
      <c r="L736" s="375">
        <v>-37484.759689999999</v>
      </c>
      <c r="M736" s="375">
        <v>112081.83381</v>
      </c>
      <c r="N736" s="372">
        <v>0.77900000000000003</v>
      </c>
      <c r="O736" s="703">
        <v>30.352871710384843</v>
      </c>
      <c r="P736" s="375" t="s">
        <v>16142</v>
      </c>
      <c r="Q736" s="372" t="s">
        <v>16145</v>
      </c>
      <c r="R736" s="695">
        <v>20151023</v>
      </c>
      <c r="S736" s="372" t="s">
        <v>5428</v>
      </c>
      <c r="T736" s="696" t="s">
        <v>772</v>
      </c>
      <c r="U736" s="372" t="s">
        <v>5429</v>
      </c>
      <c r="V736" s="722" t="s">
        <v>774</v>
      </c>
      <c r="W736" s="722">
        <v>4.6100000000000003</v>
      </c>
      <c r="X736" s="722">
        <v>47.67</v>
      </c>
      <c r="Y736" s="722">
        <v>97.57</v>
      </c>
      <c r="Z736" s="382" t="s">
        <v>934</v>
      </c>
      <c r="AA736" s="372">
        <v>103.7154518</v>
      </c>
      <c r="AB736" s="372">
        <v>130.20252249999999</v>
      </c>
      <c r="AC736" s="372">
        <v>112.6268937</v>
      </c>
      <c r="AD736" s="372">
        <v>107.6916147</v>
      </c>
      <c r="AE736" s="372">
        <v>0</v>
      </c>
      <c r="AF736" s="372">
        <v>0</v>
      </c>
      <c r="AG736" s="372">
        <v>0</v>
      </c>
      <c r="AH736" s="372">
        <v>0</v>
      </c>
    </row>
    <row r="737" spans="1:34">
      <c r="A737" s="372" t="s">
        <v>5430</v>
      </c>
      <c r="B737" s="373" t="s">
        <v>5431</v>
      </c>
      <c r="C737" s="372" t="s">
        <v>5432</v>
      </c>
      <c r="D737" s="374">
        <v>1201110002189</v>
      </c>
      <c r="E737" s="372" t="s">
        <v>5433</v>
      </c>
      <c r="F737" s="375" t="s">
        <v>816</v>
      </c>
      <c r="G737" s="375" t="s">
        <v>5434</v>
      </c>
      <c r="H737" s="375" t="s">
        <v>817</v>
      </c>
      <c r="I737" s="375" t="s">
        <v>755</v>
      </c>
      <c r="J737" s="375">
        <v>609449.63818000001</v>
      </c>
      <c r="K737" s="375">
        <v>17502.28861</v>
      </c>
      <c r="L737" s="375">
        <v>-6415.4346500000001</v>
      </c>
      <c r="M737" s="375">
        <v>582578.41176000005</v>
      </c>
      <c r="N737" s="372">
        <v>1.1759999999999999</v>
      </c>
      <c r="O737" s="703">
        <v>144.64759058746571</v>
      </c>
      <c r="P737" s="375" t="s">
        <v>623</v>
      </c>
      <c r="Q737" s="372" t="s">
        <v>623</v>
      </c>
      <c r="R737" s="695">
        <v>19890729</v>
      </c>
      <c r="S737" s="375" t="s">
        <v>5435</v>
      </c>
      <c r="T737" s="696" t="s">
        <v>772</v>
      </c>
      <c r="U737" s="375" t="s">
        <v>5436</v>
      </c>
      <c r="V737" s="722">
        <v>8.77</v>
      </c>
      <c r="W737" s="722">
        <v>0.41</v>
      </c>
      <c r="X737" s="722">
        <v>0.42</v>
      </c>
      <c r="Y737" s="722" t="s">
        <v>774</v>
      </c>
      <c r="Z737" s="382" t="s">
        <v>934</v>
      </c>
      <c r="AA737" s="372">
        <v>3658.6330305000001</v>
      </c>
      <c r="AB737" s="372">
        <v>6130.1277957000002</v>
      </c>
      <c r="AC737" s="372">
        <v>6722.2871309000002</v>
      </c>
      <c r="AD737" s="372">
        <v>6094.4963817999997</v>
      </c>
      <c r="AE737" s="372">
        <v>0</v>
      </c>
      <c r="AF737" s="372">
        <v>0</v>
      </c>
      <c r="AG737" s="372">
        <v>0</v>
      </c>
      <c r="AH737" s="372">
        <v>0</v>
      </c>
    </row>
    <row r="738" spans="1:34">
      <c r="A738" s="372" t="s">
        <v>5437</v>
      </c>
      <c r="B738" s="373" t="s">
        <v>5438</v>
      </c>
      <c r="C738" s="372" t="s">
        <v>5439</v>
      </c>
      <c r="D738" s="374">
        <v>1101111848914</v>
      </c>
      <c r="E738" s="372" t="s">
        <v>5440</v>
      </c>
      <c r="F738" s="375" t="s">
        <v>1381</v>
      </c>
      <c r="G738" s="375" t="s">
        <v>1381</v>
      </c>
      <c r="H738" s="375" t="s">
        <v>1693</v>
      </c>
      <c r="I738" s="375" t="s">
        <v>869</v>
      </c>
      <c r="J738" s="375">
        <v>153105.31748999999</v>
      </c>
      <c r="K738" s="375">
        <v>-16.691140000000001</v>
      </c>
      <c r="L738" s="375">
        <v>-19134.523929999999</v>
      </c>
      <c r="M738" s="375">
        <v>274367.79108</v>
      </c>
      <c r="N738" s="372">
        <v>1.333</v>
      </c>
      <c r="O738" s="703">
        <v>91.507107840233317</v>
      </c>
      <c r="P738" s="375" t="s">
        <v>623</v>
      </c>
      <c r="Q738" s="375" t="s">
        <v>623</v>
      </c>
      <c r="R738" s="695">
        <v>20090730</v>
      </c>
      <c r="S738" s="375" t="s">
        <v>2529</v>
      </c>
      <c r="T738" s="696" t="s">
        <v>772</v>
      </c>
      <c r="U738" s="375" t="s">
        <v>16026</v>
      </c>
      <c r="V738" s="722">
        <v>67.52</v>
      </c>
      <c r="W738" s="722">
        <v>0.84</v>
      </c>
      <c r="X738" s="722">
        <v>1.59</v>
      </c>
      <c r="Y738" s="722" t="s">
        <v>774</v>
      </c>
      <c r="Z738" s="382" t="s">
        <v>934</v>
      </c>
      <c r="AA738" s="372">
        <v>1338.1970398000001</v>
      </c>
      <c r="AB738" s="372">
        <v>1415.5268733</v>
      </c>
      <c r="AC738" s="372">
        <v>1162.3031438</v>
      </c>
      <c r="AD738" s="372">
        <v>1531.0531748999999</v>
      </c>
      <c r="AE738" s="372">
        <v>1781</v>
      </c>
      <c r="AF738" s="372">
        <v>1929</v>
      </c>
      <c r="AG738" s="372">
        <v>0</v>
      </c>
      <c r="AH738" s="372">
        <v>0</v>
      </c>
    </row>
    <row r="739" spans="1:34">
      <c r="A739" s="372" t="s">
        <v>5441</v>
      </c>
      <c r="B739" s="373" t="s">
        <v>5442</v>
      </c>
      <c r="C739" s="372" t="s">
        <v>5443</v>
      </c>
      <c r="D739" s="374">
        <v>1101110032899</v>
      </c>
      <c r="E739" s="372" t="s">
        <v>5444</v>
      </c>
      <c r="F739" s="375" t="s">
        <v>4098</v>
      </c>
      <c r="G739" s="375" t="s">
        <v>4098</v>
      </c>
      <c r="H739" s="375" t="s">
        <v>1050</v>
      </c>
      <c r="I739" s="375" t="s">
        <v>755</v>
      </c>
      <c r="J739" s="375">
        <v>836475.03027999995</v>
      </c>
      <c r="K739" s="375">
        <v>76461.605330000006</v>
      </c>
      <c r="L739" s="375">
        <v>70836.095079999999</v>
      </c>
      <c r="M739" s="375">
        <v>382667.08617000002</v>
      </c>
      <c r="N739" s="372">
        <v>0.878</v>
      </c>
      <c r="O739" s="703">
        <v>127.43355647987028</v>
      </c>
      <c r="P739" s="375" t="s">
        <v>623</v>
      </c>
      <c r="Q739" s="375" t="s">
        <v>623</v>
      </c>
      <c r="R739" s="695">
        <v>19730626</v>
      </c>
      <c r="S739" s="375" t="s">
        <v>5445</v>
      </c>
      <c r="T739" s="696">
        <v>0.23100000000000001</v>
      </c>
      <c r="U739" s="372" t="s">
        <v>5446</v>
      </c>
      <c r="V739" s="722">
        <v>5.04</v>
      </c>
      <c r="W739" s="722">
        <v>0.62</v>
      </c>
      <c r="X739" s="722">
        <v>0.3</v>
      </c>
      <c r="Y739" s="722">
        <v>4.12</v>
      </c>
      <c r="Z739" s="382" t="s">
        <v>934</v>
      </c>
      <c r="AA739" s="372">
        <v>7133.007834</v>
      </c>
      <c r="AB739" s="372">
        <v>8414.5591645999993</v>
      </c>
      <c r="AC739" s="372">
        <v>11661.3876686</v>
      </c>
      <c r="AD739" s="372">
        <v>8364.7503027999992</v>
      </c>
      <c r="AE739" s="372">
        <v>10159</v>
      </c>
      <c r="AF739" s="372">
        <v>0</v>
      </c>
      <c r="AG739" s="372">
        <v>0</v>
      </c>
      <c r="AH739" s="372">
        <v>0</v>
      </c>
    </row>
    <row r="740" spans="1:34">
      <c r="A740" s="372" t="s">
        <v>5447</v>
      </c>
      <c r="B740" s="373" t="s">
        <v>5448</v>
      </c>
      <c r="C740" s="372" t="s">
        <v>5449</v>
      </c>
      <c r="D740" s="374">
        <v>1701110387416</v>
      </c>
      <c r="E740" s="372" t="s">
        <v>5450</v>
      </c>
      <c r="F740" s="375" t="s">
        <v>1607</v>
      </c>
      <c r="G740" s="375" t="s">
        <v>1607</v>
      </c>
      <c r="H740" s="375" t="s">
        <v>953</v>
      </c>
      <c r="I740" s="375" t="s">
        <v>755</v>
      </c>
      <c r="J740" s="375">
        <v>999533.74924000003</v>
      </c>
      <c r="K740" s="375">
        <v>20391.954229999999</v>
      </c>
      <c r="L740" s="375">
        <v>18328.010030000001</v>
      </c>
      <c r="M740" s="375">
        <v>319603.45108000003</v>
      </c>
      <c r="N740" s="372">
        <v>0.82199999999999995</v>
      </c>
      <c r="O740" s="703">
        <v>52.113797748818556</v>
      </c>
      <c r="P740" s="375" t="s">
        <v>623</v>
      </c>
      <c r="Q740" s="375" t="s">
        <v>623</v>
      </c>
      <c r="R740" s="695">
        <v>20101224</v>
      </c>
      <c r="S740" s="375" t="s">
        <v>5451</v>
      </c>
      <c r="T740" s="696">
        <v>0.20900000000000002</v>
      </c>
      <c r="U740" s="375" t="s">
        <v>5452</v>
      </c>
      <c r="V740" s="722">
        <v>6.25</v>
      </c>
      <c r="W740" s="722">
        <v>0.69</v>
      </c>
      <c r="X740" s="722">
        <v>0.22</v>
      </c>
      <c r="Y740" s="722">
        <v>14.95</v>
      </c>
      <c r="Z740" s="382" t="s">
        <v>934</v>
      </c>
      <c r="AA740" s="372">
        <v>7431.9057329999996</v>
      </c>
      <c r="AB740" s="372">
        <v>7704.4098651000004</v>
      </c>
      <c r="AC740" s="372">
        <v>10209.364539300001</v>
      </c>
      <c r="AD740" s="372">
        <v>9995.3374924</v>
      </c>
      <c r="AE740" s="372">
        <v>0</v>
      </c>
      <c r="AF740" s="372">
        <v>0</v>
      </c>
      <c r="AG740" s="372">
        <v>0</v>
      </c>
      <c r="AH740" s="372">
        <v>0</v>
      </c>
    </row>
    <row r="741" spans="1:34">
      <c r="A741" s="372" t="s">
        <v>5453</v>
      </c>
      <c r="B741" s="373" t="s">
        <v>5454</v>
      </c>
      <c r="C741" s="372" t="s">
        <v>5455</v>
      </c>
      <c r="D741" s="374">
        <v>1101116202305</v>
      </c>
      <c r="E741" s="372" t="s">
        <v>5456</v>
      </c>
      <c r="F741" s="375" t="s">
        <v>786</v>
      </c>
      <c r="G741" s="375" t="s">
        <v>786</v>
      </c>
      <c r="H741" s="375" t="s">
        <v>868</v>
      </c>
      <c r="I741" s="375" t="s">
        <v>869</v>
      </c>
      <c r="J741" s="375">
        <v>80997.489679999999</v>
      </c>
      <c r="K741" s="375">
        <v>6045.9889199999998</v>
      </c>
      <c r="L741" s="375">
        <v>17710.964690000001</v>
      </c>
      <c r="M741" s="375">
        <v>214206.45991999999</v>
      </c>
      <c r="N741" s="372">
        <v>1.3640000000000001</v>
      </c>
      <c r="O741" s="703">
        <v>0.53060795312567366</v>
      </c>
      <c r="P741" s="375" t="s">
        <v>623</v>
      </c>
      <c r="Q741" s="375" t="s">
        <v>623</v>
      </c>
      <c r="R741" s="695">
        <v>20151218</v>
      </c>
      <c r="S741" s="375" t="s">
        <v>5457</v>
      </c>
      <c r="T741" s="696">
        <v>0.20900000000000002</v>
      </c>
      <c r="U741" s="375" t="s">
        <v>5458</v>
      </c>
      <c r="V741" s="722">
        <v>18.059999999999999</v>
      </c>
      <c r="W741" s="722">
        <v>1.18</v>
      </c>
      <c r="X741" s="722">
        <v>3.1</v>
      </c>
      <c r="Y741" s="722">
        <v>9.7799999999999994</v>
      </c>
      <c r="Z741" s="382" t="s">
        <v>934</v>
      </c>
      <c r="AA741" s="372">
        <v>194.37875740000001</v>
      </c>
      <c r="AB741" s="372">
        <v>252.4862631</v>
      </c>
      <c r="AC741" s="372">
        <v>423.03378379999998</v>
      </c>
      <c r="AD741" s="372">
        <v>809.97489680000001</v>
      </c>
      <c r="AE741" s="372">
        <v>0</v>
      </c>
      <c r="AF741" s="372">
        <v>0</v>
      </c>
      <c r="AG741" s="372">
        <v>0</v>
      </c>
      <c r="AH741" s="372">
        <v>0</v>
      </c>
    </row>
    <row r="742" spans="1:34">
      <c r="A742" s="372" t="s">
        <v>5459</v>
      </c>
      <c r="B742" s="373" t="s">
        <v>5460</v>
      </c>
      <c r="C742" s="372" t="s">
        <v>5461</v>
      </c>
      <c r="D742" s="374">
        <v>1801110611863</v>
      </c>
      <c r="E742" s="372" t="s">
        <v>5462</v>
      </c>
      <c r="F742" s="375" t="s">
        <v>5463</v>
      </c>
      <c r="G742" s="375" t="s">
        <v>5464</v>
      </c>
      <c r="H742" s="375" t="s">
        <v>868</v>
      </c>
      <c r="I742" s="375" t="s">
        <v>869</v>
      </c>
      <c r="J742" s="375">
        <v>76607.854869999996</v>
      </c>
      <c r="K742" s="375">
        <v>57.074359999999999</v>
      </c>
      <c r="L742" s="375">
        <v>-2331.08806</v>
      </c>
      <c r="M742" s="375">
        <v>85669.851120000007</v>
      </c>
      <c r="N742" s="372">
        <v>1.07</v>
      </c>
      <c r="O742" s="703">
        <v>21.546793638823342</v>
      </c>
      <c r="P742" s="375" t="s">
        <v>623</v>
      </c>
      <c r="Q742" s="375" t="s">
        <v>623</v>
      </c>
      <c r="R742" s="695">
        <v>20191121</v>
      </c>
      <c r="S742" s="375" t="s">
        <v>5465</v>
      </c>
      <c r="T742" s="696" t="s">
        <v>772</v>
      </c>
      <c r="U742" s="372" t="s">
        <v>5466</v>
      </c>
      <c r="V742" s="722">
        <v>91.7</v>
      </c>
      <c r="W742" s="722">
        <v>3.5</v>
      </c>
      <c r="X742" s="722">
        <v>3.9</v>
      </c>
      <c r="Y742" s="722" t="s">
        <v>774</v>
      </c>
      <c r="Z742" s="382">
        <v>0.19648315232149516</v>
      </c>
      <c r="AA742" s="372">
        <v>1035.203563</v>
      </c>
      <c r="AB742" s="372">
        <v>955.58016880000002</v>
      </c>
      <c r="AC742" s="372">
        <v>490.0665697</v>
      </c>
      <c r="AD742" s="372">
        <v>766.07854870000006</v>
      </c>
      <c r="AE742" s="372">
        <v>1155.96</v>
      </c>
      <c r="AF742" s="372">
        <v>1715.4</v>
      </c>
      <c r="AG742" s="372">
        <v>1570</v>
      </c>
      <c r="AH742" s="372">
        <v>0</v>
      </c>
    </row>
    <row r="743" spans="1:34">
      <c r="A743" s="372" t="s">
        <v>5467</v>
      </c>
      <c r="B743" s="373" t="s">
        <v>5468</v>
      </c>
      <c r="C743" s="372" t="s">
        <v>5469</v>
      </c>
      <c r="D743" s="374">
        <v>1348110024878</v>
      </c>
      <c r="E743" s="372" t="s">
        <v>5470</v>
      </c>
      <c r="F743" s="375" t="s">
        <v>1195</v>
      </c>
      <c r="G743" s="375" t="s">
        <v>1196</v>
      </c>
      <c r="H743" s="375" t="s">
        <v>1388</v>
      </c>
      <c r="I743" s="375" t="s">
        <v>869</v>
      </c>
      <c r="J743" s="375">
        <v>232111.74301000001</v>
      </c>
      <c r="K743" s="375">
        <v>17388.08194</v>
      </c>
      <c r="L743" s="375">
        <v>22332.387200000001</v>
      </c>
      <c r="M743" s="375">
        <v>214384.51402</v>
      </c>
      <c r="N743" s="372">
        <v>1.2689999999999999</v>
      </c>
      <c r="O743" s="703">
        <v>1.8663745109578416</v>
      </c>
      <c r="P743" s="375" t="s">
        <v>623</v>
      </c>
      <c r="Q743" s="372" t="s">
        <v>623</v>
      </c>
      <c r="R743" s="695">
        <v>19991208</v>
      </c>
      <c r="S743" s="372" t="s">
        <v>5471</v>
      </c>
      <c r="T743" s="696">
        <v>0.23100000000000001</v>
      </c>
      <c r="U743" s="375" t="s">
        <v>5472</v>
      </c>
      <c r="V743" s="722">
        <v>13.29</v>
      </c>
      <c r="W743" s="722">
        <v>1.18</v>
      </c>
      <c r="X743" s="722">
        <v>1.1100000000000001</v>
      </c>
      <c r="Y743" s="722">
        <v>14.16</v>
      </c>
      <c r="Z743" s="382">
        <v>0.17933532430011256</v>
      </c>
      <c r="AA743" s="372">
        <v>2151.2975513000001</v>
      </c>
      <c r="AB743" s="372">
        <v>2960.7652370000001</v>
      </c>
      <c r="AC743" s="372">
        <v>2532.2908600000001</v>
      </c>
      <c r="AD743" s="372">
        <v>2321.1174301000001</v>
      </c>
      <c r="AE743" s="372">
        <v>2542.5</v>
      </c>
      <c r="AF743" s="372">
        <v>3180</v>
      </c>
      <c r="AG743" s="372">
        <v>4490</v>
      </c>
      <c r="AH743" s="372">
        <v>0</v>
      </c>
    </row>
    <row r="744" spans="1:34">
      <c r="A744" s="372" t="s">
        <v>5473</v>
      </c>
      <c r="B744" s="373" t="s">
        <v>5474</v>
      </c>
      <c r="C744" s="372" t="s">
        <v>5475</v>
      </c>
      <c r="D744" s="374">
        <v>1101111637383</v>
      </c>
      <c r="E744" s="372" t="s">
        <v>5476</v>
      </c>
      <c r="F744" s="375" t="s">
        <v>2542</v>
      </c>
      <c r="G744" s="375" t="s">
        <v>2542</v>
      </c>
      <c r="H744" s="375" t="s">
        <v>1693</v>
      </c>
      <c r="I744" s="375" t="s">
        <v>869</v>
      </c>
      <c r="J744" s="375">
        <v>270330.89610999997</v>
      </c>
      <c r="K744" s="375">
        <v>-3493.5577499999999</v>
      </c>
      <c r="L744" s="375">
        <v>-2215.9244600000002</v>
      </c>
      <c r="M744" s="375">
        <v>164877.23084999999</v>
      </c>
      <c r="N744" s="372">
        <v>1.2509999999999999</v>
      </c>
      <c r="O744" s="703">
        <v>2.6504533066812259</v>
      </c>
      <c r="P744" s="375" t="s">
        <v>623</v>
      </c>
      <c r="Q744" s="375" t="s">
        <v>623</v>
      </c>
      <c r="R744" s="695">
        <v>20031217</v>
      </c>
      <c r="S744" s="375" t="s">
        <v>5477</v>
      </c>
      <c r="T744" s="696" t="s">
        <v>772</v>
      </c>
      <c r="U744" s="372" t="s">
        <v>5478</v>
      </c>
      <c r="V744" s="722">
        <v>51.05</v>
      </c>
      <c r="W744" s="722">
        <v>1.35</v>
      </c>
      <c r="X744" s="722">
        <v>0.76</v>
      </c>
      <c r="Y744" s="722" t="s">
        <v>774</v>
      </c>
      <c r="Z744" s="382" t="s">
        <v>934</v>
      </c>
      <c r="AA744" s="372">
        <v>2263.2907221999999</v>
      </c>
      <c r="AB744" s="372">
        <v>2441.8926449999999</v>
      </c>
      <c r="AC744" s="372">
        <v>2743.7233707999999</v>
      </c>
      <c r="AD744" s="372">
        <v>2703.3089611</v>
      </c>
      <c r="AE744" s="372">
        <v>0</v>
      </c>
      <c r="AF744" s="372">
        <v>0</v>
      </c>
      <c r="AG744" s="372">
        <v>0</v>
      </c>
      <c r="AH744" s="372">
        <v>0</v>
      </c>
    </row>
    <row r="745" spans="1:34">
      <c r="A745" s="372" t="s">
        <v>5479</v>
      </c>
      <c r="B745" s="373" t="s">
        <v>5480</v>
      </c>
      <c r="C745" s="372" t="s">
        <v>5481</v>
      </c>
      <c r="D745" s="374">
        <v>1101111636004</v>
      </c>
      <c r="E745" s="372" t="s">
        <v>5482</v>
      </c>
      <c r="F745" s="375" t="s">
        <v>786</v>
      </c>
      <c r="G745" s="375" t="s">
        <v>787</v>
      </c>
      <c r="H745" s="375" t="s">
        <v>868</v>
      </c>
      <c r="I745" s="375" t="s">
        <v>869</v>
      </c>
      <c r="J745" s="375">
        <v>9585.4441800000004</v>
      </c>
      <c r="K745" s="375">
        <v>-3284.9592499999999</v>
      </c>
      <c r="L745" s="375">
        <v>-10836.88947</v>
      </c>
      <c r="M745" s="375">
        <v>96734.229009999995</v>
      </c>
      <c r="N745" s="372">
        <v>0.96799999999999997</v>
      </c>
      <c r="O745" s="703">
        <v>0.17415953496364306</v>
      </c>
      <c r="P745" s="375" t="s">
        <v>623</v>
      </c>
      <c r="Q745" s="375" t="s">
        <v>623</v>
      </c>
      <c r="R745" s="695">
        <v>20110126</v>
      </c>
      <c r="S745" s="375" t="s">
        <v>5483</v>
      </c>
      <c r="T745" s="696" t="s">
        <v>772</v>
      </c>
      <c r="U745" s="375" t="s">
        <v>5484</v>
      </c>
      <c r="V745" s="722" t="s">
        <v>774</v>
      </c>
      <c r="W745" s="722">
        <v>2.78</v>
      </c>
      <c r="X745" s="722">
        <v>31.28</v>
      </c>
      <c r="Y745" s="722" t="s">
        <v>774</v>
      </c>
      <c r="Z745" s="382" t="s">
        <v>934</v>
      </c>
      <c r="AA745" s="372">
        <v>454.33157199999999</v>
      </c>
      <c r="AB745" s="372">
        <v>293.08005120000001</v>
      </c>
      <c r="AC745" s="372">
        <v>140.0697801</v>
      </c>
      <c r="AD745" s="372">
        <v>95.854441800000004</v>
      </c>
      <c r="AE745" s="372">
        <v>0</v>
      </c>
      <c r="AF745" s="372">
        <v>0</v>
      </c>
      <c r="AG745" s="372">
        <v>0</v>
      </c>
      <c r="AH745" s="372">
        <v>0</v>
      </c>
    </row>
    <row r="746" spans="1:34">
      <c r="A746" s="372" t="s">
        <v>5485</v>
      </c>
      <c r="B746" s="373" t="s">
        <v>5486</v>
      </c>
      <c r="C746" s="372" t="s">
        <v>5487</v>
      </c>
      <c r="D746" s="374">
        <v>1101111621956</v>
      </c>
      <c r="E746" s="372" t="s">
        <v>5488</v>
      </c>
      <c r="F746" s="375" t="s">
        <v>1673</v>
      </c>
      <c r="G746" s="375" t="s">
        <v>1673</v>
      </c>
      <c r="H746" s="375" t="s">
        <v>1388</v>
      </c>
      <c r="I746" s="375" t="s">
        <v>869</v>
      </c>
      <c r="J746" s="375">
        <v>0</v>
      </c>
      <c r="K746" s="375">
        <v>0</v>
      </c>
      <c r="L746" s="375">
        <v>0</v>
      </c>
      <c r="M746" s="375">
        <v>99664.478610000006</v>
      </c>
      <c r="N746" s="372">
        <v>0.68200000000000005</v>
      </c>
      <c r="O746" s="703">
        <v>43.346388956695584</v>
      </c>
      <c r="P746" s="375" t="s">
        <v>623</v>
      </c>
      <c r="Q746" s="372" t="s">
        <v>623</v>
      </c>
      <c r="R746" s="695">
        <v>20071019</v>
      </c>
      <c r="S746" s="372" t="s">
        <v>5489</v>
      </c>
      <c r="T746" s="696" t="s">
        <v>772</v>
      </c>
      <c r="U746" s="375" t="s">
        <v>5490</v>
      </c>
      <c r="V746" s="722">
        <v>0</v>
      </c>
      <c r="W746" s="722">
        <v>2.59</v>
      </c>
      <c r="X746" s="722">
        <v>0</v>
      </c>
      <c r="Y746" s="722">
        <v>0</v>
      </c>
      <c r="Z746" s="382" t="s">
        <v>934</v>
      </c>
      <c r="AA746" s="372">
        <v>88.723077700000005</v>
      </c>
      <c r="AB746" s="372">
        <v>113.68085050000001</v>
      </c>
      <c r="AC746" s="372">
        <v>128.80116760000001</v>
      </c>
      <c r="AD746" s="372">
        <v>124.1167418</v>
      </c>
      <c r="AE746" s="372">
        <v>0</v>
      </c>
      <c r="AF746" s="372">
        <v>0</v>
      </c>
      <c r="AG746" s="372">
        <v>0</v>
      </c>
      <c r="AH746" s="372">
        <v>0</v>
      </c>
    </row>
    <row r="747" spans="1:34">
      <c r="A747" s="372" t="s">
        <v>5491</v>
      </c>
      <c r="B747" s="373" t="s">
        <v>5492</v>
      </c>
      <c r="C747" s="372" t="s">
        <v>5493</v>
      </c>
      <c r="D747" s="374">
        <v>1648110035647</v>
      </c>
      <c r="E747" s="372" t="s">
        <v>5494</v>
      </c>
      <c r="F747" s="372" t="s">
        <v>3758</v>
      </c>
      <c r="G747" s="375" t="s">
        <v>5495</v>
      </c>
      <c r="H747" s="375" t="s">
        <v>832</v>
      </c>
      <c r="I747" s="375" t="s">
        <v>755</v>
      </c>
      <c r="J747" s="375">
        <v>484764.05512999999</v>
      </c>
      <c r="K747" s="375">
        <v>-21057.06322</v>
      </c>
      <c r="L747" s="375">
        <v>-32836.489150000001</v>
      </c>
      <c r="M747" s="375">
        <v>501464.73917999998</v>
      </c>
      <c r="N747" s="372">
        <v>0.50900000000000001</v>
      </c>
      <c r="O747" s="703">
        <v>6.8068881354725121</v>
      </c>
      <c r="P747" s="375" t="s">
        <v>623</v>
      </c>
      <c r="Q747" s="372" t="s">
        <v>623</v>
      </c>
      <c r="R747" s="695">
        <v>20100128</v>
      </c>
      <c r="S747" s="372" t="s">
        <v>5496</v>
      </c>
      <c r="T747" s="696" t="s">
        <v>772</v>
      </c>
      <c r="U747" s="372" t="s">
        <v>5497</v>
      </c>
      <c r="V747" s="722">
        <v>35.15</v>
      </c>
      <c r="W747" s="722">
        <v>0.54</v>
      </c>
      <c r="X747" s="722">
        <v>0.64</v>
      </c>
      <c r="Y747" s="722" t="s">
        <v>774</v>
      </c>
      <c r="Z747" s="382" t="s">
        <v>934</v>
      </c>
      <c r="AA747" s="372">
        <v>5019.8485062999998</v>
      </c>
      <c r="AB747" s="372">
        <v>5430.3752721999999</v>
      </c>
      <c r="AC747" s="372">
        <v>5212.1611673999996</v>
      </c>
      <c r="AD747" s="372">
        <v>4847.6405513</v>
      </c>
      <c r="AE747" s="372">
        <v>0</v>
      </c>
      <c r="AF747" s="372">
        <v>0</v>
      </c>
      <c r="AG747" s="372">
        <v>0</v>
      </c>
      <c r="AH747" s="372">
        <v>0</v>
      </c>
    </row>
    <row r="748" spans="1:34">
      <c r="A748" s="372" t="s">
        <v>5498</v>
      </c>
      <c r="B748" s="373" t="s">
        <v>5499</v>
      </c>
      <c r="C748" s="372" t="s">
        <v>5500</v>
      </c>
      <c r="D748" s="374">
        <v>1101116420361</v>
      </c>
      <c r="E748" s="372" t="s">
        <v>5501</v>
      </c>
      <c r="F748" s="375" t="s">
        <v>1334</v>
      </c>
      <c r="G748" s="375" t="s">
        <v>1334</v>
      </c>
      <c r="H748" s="375" t="s">
        <v>788</v>
      </c>
      <c r="I748" s="375" t="s">
        <v>755</v>
      </c>
      <c r="J748" s="375">
        <v>726393.75803000003</v>
      </c>
      <c r="K748" s="375">
        <v>8731.3795399999999</v>
      </c>
      <c r="L748" s="375">
        <v>1916.09295</v>
      </c>
      <c r="M748" s="375">
        <v>157032.17157000001</v>
      </c>
      <c r="N748" s="372">
        <v>0.88200000000000001</v>
      </c>
      <c r="O748" s="703">
        <v>35.04169514336666</v>
      </c>
      <c r="P748" s="375" t="s">
        <v>623</v>
      </c>
      <c r="Q748" s="375" t="s">
        <v>623</v>
      </c>
      <c r="R748" s="695">
        <v>20170717</v>
      </c>
      <c r="S748" s="375" t="s">
        <v>1355</v>
      </c>
      <c r="T748" s="696">
        <v>0.20900000000000002</v>
      </c>
      <c r="U748" s="375" t="s">
        <v>5502</v>
      </c>
      <c r="V748" s="722">
        <v>16.18</v>
      </c>
      <c r="W748" s="722">
        <v>1.54</v>
      </c>
      <c r="X748" s="722">
        <v>0.35</v>
      </c>
      <c r="Y748" s="722">
        <v>50.24</v>
      </c>
      <c r="Z748" s="382" t="s">
        <v>934</v>
      </c>
      <c r="AA748" s="372">
        <v>6913.2483668000004</v>
      </c>
      <c r="AB748" s="372">
        <v>7006.9322914000004</v>
      </c>
      <c r="AC748" s="372">
        <v>7222.2992445999998</v>
      </c>
      <c r="AD748" s="372">
        <v>7263.9375803000003</v>
      </c>
      <c r="AE748" s="372">
        <v>0</v>
      </c>
      <c r="AF748" s="372">
        <v>0</v>
      </c>
      <c r="AG748" s="372">
        <v>0</v>
      </c>
      <c r="AH748" s="372">
        <v>0</v>
      </c>
    </row>
    <row r="749" spans="1:34">
      <c r="A749" s="372" t="s">
        <v>5503</v>
      </c>
      <c r="B749" s="373" t="s">
        <v>5504</v>
      </c>
      <c r="C749" s="372" t="s">
        <v>5505</v>
      </c>
      <c r="D749" s="374">
        <v>1449110000072</v>
      </c>
      <c r="E749" s="372" t="s">
        <v>5506</v>
      </c>
      <c r="F749" s="372" t="s">
        <v>5507</v>
      </c>
      <c r="G749" s="375" t="s">
        <v>5507</v>
      </c>
      <c r="H749" s="375">
        <v>0</v>
      </c>
      <c r="I749" s="375" t="s">
        <v>755</v>
      </c>
      <c r="J749" s="375">
        <v>79865.665760000004</v>
      </c>
      <c r="K749" s="375">
        <v>-12904.27469</v>
      </c>
      <c r="L749" s="375">
        <v>-26385.691999999999</v>
      </c>
      <c r="M749" s="375">
        <v>51947.964180000003</v>
      </c>
      <c r="N749" s="372">
        <v>1.1719999999999999</v>
      </c>
      <c r="O749" s="703">
        <v>12.97362441271401</v>
      </c>
      <c r="P749" s="375" t="s">
        <v>623</v>
      </c>
      <c r="Q749" s="372" t="s">
        <v>623</v>
      </c>
      <c r="R749" s="695">
        <v>19900323</v>
      </c>
      <c r="S749" s="372" t="s">
        <v>5508</v>
      </c>
      <c r="T749" s="696" t="s">
        <v>772</v>
      </c>
      <c r="U749" s="372" t="s">
        <v>16027</v>
      </c>
      <c r="V749" s="722" t="s">
        <v>774</v>
      </c>
      <c r="W749" s="722">
        <v>4.3</v>
      </c>
      <c r="X749" s="722">
        <v>2.66</v>
      </c>
      <c r="Y749" s="722" t="s">
        <v>774</v>
      </c>
      <c r="Z749" s="382" t="s">
        <v>934</v>
      </c>
      <c r="AA749" s="372">
        <v>353.76821510000002</v>
      </c>
      <c r="AB749" s="372">
        <v>450.46153020000003</v>
      </c>
      <c r="AC749" s="372">
        <v>445.91899189999998</v>
      </c>
      <c r="AD749" s="372">
        <v>798.65665760000002</v>
      </c>
      <c r="AE749" s="372">
        <v>0</v>
      </c>
      <c r="AF749" s="372">
        <v>0</v>
      </c>
      <c r="AG749" s="372">
        <v>0</v>
      </c>
      <c r="AH749" s="372">
        <v>0</v>
      </c>
    </row>
    <row r="750" spans="1:34">
      <c r="A750" s="372" t="s">
        <v>5509</v>
      </c>
      <c r="B750" s="373" t="s">
        <v>5510</v>
      </c>
      <c r="C750" s="372" t="s">
        <v>5511</v>
      </c>
      <c r="D750" s="374">
        <v>1601110109896</v>
      </c>
      <c r="E750" s="372" t="s">
        <v>5512</v>
      </c>
      <c r="F750" s="375" t="s">
        <v>1782</v>
      </c>
      <c r="G750" s="375" t="s">
        <v>2261</v>
      </c>
      <c r="H750" s="375" t="s">
        <v>868</v>
      </c>
      <c r="I750" s="375" t="s">
        <v>869</v>
      </c>
      <c r="J750" s="375">
        <v>84232.727790000004</v>
      </c>
      <c r="K750" s="375">
        <v>-2862.6295700000001</v>
      </c>
      <c r="L750" s="375">
        <v>8669.6869700000007</v>
      </c>
      <c r="M750" s="375">
        <v>155009.61520999999</v>
      </c>
      <c r="N750" s="372">
        <v>1.3320000000000001</v>
      </c>
      <c r="O750" s="703">
        <v>2.4154132138037974</v>
      </c>
      <c r="P750" s="375" t="s">
        <v>623</v>
      </c>
      <c r="Q750" s="372" t="s">
        <v>623</v>
      </c>
      <c r="R750" s="695">
        <v>20071116</v>
      </c>
      <c r="S750" s="372" t="s">
        <v>5513</v>
      </c>
      <c r="T750" s="696">
        <v>0.20900000000000002</v>
      </c>
      <c r="U750" s="372" t="s">
        <v>5514</v>
      </c>
      <c r="V750" s="722">
        <v>58.73</v>
      </c>
      <c r="W750" s="722">
        <v>1.79</v>
      </c>
      <c r="X750" s="722">
        <v>3.29</v>
      </c>
      <c r="Y750" s="722">
        <v>53.57</v>
      </c>
      <c r="Z750" s="382" t="s">
        <v>934</v>
      </c>
      <c r="AA750" s="372">
        <v>950.98206159999995</v>
      </c>
      <c r="AB750" s="372">
        <v>1270.5610675</v>
      </c>
      <c r="AC750" s="372">
        <v>1351.7864677</v>
      </c>
      <c r="AD750" s="372">
        <v>842.32727790000001</v>
      </c>
      <c r="AE750" s="372">
        <v>1897</v>
      </c>
      <c r="AF750" s="372">
        <v>0</v>
      </c>
      <c r="AG750" s="372">
        <v>0</v>
      </c>
      <c r="AH750" s="372">
        <v>0</v>
      </c>
    </row>
    <row r="751" spans="1:34">
      <c r="A751" s="372" t="s">
        <v>5515</v>
      </c>
      <c r="B751" s="373" t="s">
        <v>5516</v>
      </c>
      <c r="C751" s="372" t="s">
        <v>5517</v>
      </c>
      <c r="D751" s="374">
        <v>1101113579947</v>
      </c>
      <c r="E751" s="372" t="s">
        <v>5518</v>
      </c>
      <c r="F751" s="372" t="s">
        <v>1381</v>
      </c>
      <c r="G751" s="375" t="s">
        <v>1381</v>
      </c>
      <c r="H751" s="375" t="s">
        <v>1693</v>
      </c>
      <c r="I751" s="375" t="s">
        <v>869</v>
      </c>
      <c r="J751" s="375">
        <v>68365.726729999995</v>
      </c>
      <c r="K751" s="375">
        <v>16586.163830000001</v>
      </c>
      <c r="L751" s="375">
        <v>9696.5198199999995</v>
      </c>
      <c r="M751" s="375">
        <v>128160.02867</v>
      </c>
      <c r="N751" s="372">
        <v>0.86699999999999999</v>
      </c>
      <c r="O751" s="703">
        <v>4.6672690460249422</v>
      </c>
      <c r="P751" s="375" t="s">
        <v>623</v>
      </c>
      <c r="Q751" s="372" t="s">
        <v>623</v>
      </c>
      <c r="R751" s="695">
        <v>20210428</v>
      </c>
      <c r="S751" s="372" t="s">
        <v>5519</v>
      </c>
      <c r="T751" s="696">
        <v>0.20900000000000002</v>
      </c>
      <c r="U751" s="372" t="s">
        <v>5520</v>
      </c>
      <c r="V751" s="722">
        <v>9.51</v>
      </c>
      <c r="W751" s="722">
        <v>1.57</v>
      </c>
      <c r="X751" s="722">
        <v>3.02</v>
      </c>
      <c r="Y751" s="722">
        <v>28.8</v>
      </c>
      <c r="Z751" s="382">
        <v>8.5442805540167033E-2</v>
      </c>
      <c r="AA751" s="372">
        <v>513.74145180000005</v>
      </c>
      <c r="AB751" s="372">
        <v>614.41577570000004</v>
      </c>
      <c r="AC751" s="372">
        <v>645.22541909999995</v>
      </c>
      <c r="AD751" s="372">
        <v>683.65726729999994</v>
      </c>
      <c r="AE751" s="372">
        <v>749</v>
      </c>
      <c r="AF751" s="372">
        <v>848</v>
      </c>
      <c r="AG751" s="372">
        <v>949</v>
      </c>
      <c r="AH751" s="372">
        <v>0</v>
      </c>
    </row>
    <row r="752" spans="1:34">
      <c r="A752" s="372" t="s">
        <v>5521</v>
      </c>
      <c r="B752" s="373" t="s">
        <v>5522</v>
      </c>
      <c r="C752" s="372" t="s">
        <v>5523</v>
      </c>
      <c r="D752" s="374">
        <v>1101115480233</v>
      </c>
      <c r="E752" s="372" t="s">
        <v>5524</v>
      </c>
      <c r="F752" s="375" t="s">
        <v>5525</v>
      </c>
      <c r="G752" s="375" t="s">
        <v>5525</v>
      </c>
      <c r="H752" s="375" t="s">
        <v>902</v>
      </c>
      <c r="I752" s="375" t="s">
        <v>869</v>
      </c>
      <c r="J752" s="375">
        <v>93373.547009999995</v>
      </c>
      <c r="K752" s="375">
        <v>14776.89309</v>
      </c>
      <c r="L752" s="375">
        <v>-5164.8750899999995</v>
      </c>
      <c r="M752" s="375">
        <v>108595.05865000001</v>
      </c>
      <c r="N752" s="372">
        <v>0.52800000000000002</v>
      </c>
      <c r="O752" s="703">
        <v>3.6382023810675874</v>
      </c>
      <c r="P752" s="375" t="s">
        <v>623</v>
      </c>
      <c r="Q752" s="375" t="s">
        <v>623</v>
      </c>
      <c r="R752" s="695">
        <v>20141119</v>
      </c>
      <c r="S752" s="375" t="s">
        <v>5526</v>
      </c>
      <c r="T752" s="696" t="s">
        <v>772</v>
      </c>
      <c r="U752" s="372" t="s">
        <v>5527</v>
      </c>
      <c r="V752" s="722">
        <v>17.010000000000002</v>
      </c>
      <c r="W752" s="722">
        <v>3.1</v>
      </c>
      <c r="X752" s="722">
        <v>2.97</v>
      </c>
      <c r="Y752" s="722" t="s">
        <v>774</v>
      </c>
      <c r="Z752" s="382" t="s">
        <v>934</v>
      </c>
      <c r="AA752" s="372">
        <v>101.84010240000001</v>
      </c>
      <c r="AB752" s="372">
        <v>381.44495119999999</v>
      </c>
      <c r="AC752" s="372">
        <v>419.67340569999999</v>
      </c>
      <c r="AD752" s="372">
        <v>933.73547010000004</v>
      </c>
      <c r="AE752" s="372">
        <v>1355.25</v>
      </c>
      <c r="AF752" s="372">
        <v>1725.5</v>
      </c>
      <c r="AG752" s="372">
        <v>0</v>
      </c>
      <c r="AH752" s="372">
        <v>0</v>
      </c>
    </row>
    <row r="753" spans="1:34">
      <c r="A753" s="372" t="s">
        <v>5528</v>
      </c>
      <c r="B753" s="373" t="s">
        <v>5529</v>
      </c>
      <c r="C753" s="372" t="s">
        <v>5530</v>
      </c>
      <c r="D753" s="374">
        <v>1101110554992</v>
      </c>
      <c r="E753" s="372" t="s">
        <v>5531</v>
      </c>
      <c r="F753" s="375" t="s">
        <v>5532</v>
      </c>
      <c r="G753" s="375" t="s">
        <v>5533</v>
      </c>
      <c r="H753" s="375" t="s">
        <v>975</v>
      </c>
      <c r="I753" s="375" t="s">
        <v>755</v>
      </c>
      <c r="J753" s="375">
        <v>862765.47542999999</v>
      </c>
      <c r="K753" s="375">
        <v>84041.95667</v>
      </c>
      <c r="L753" s="375">
        <v>64240.394520000002</v>
      </c>
      <c r="M753" s="375">
        <v>292811.74125000002</v>
      </c>
      <c r="N753" s="372">
        <v>0.93400000000000005</v>
      </c>
      <c r="O753" s="703">
        <v>145.17641456982949</v>
      </c>
      <c r="P753" s="375" t="s">
        <v>623</v>
      </c>
      <c r="Q753" s="372" t="s">
        <v>623</v>
      </c>
      <c r="R753" s="695">
        <v>20160204</v>
      </c>
      <c r="S753" s="372" t="s">
        <v>5534</v>
      </c>
      <c r="T753" s="696">
        <v>0.23100000000000001</v>
      </c>
      <c r="U753" s="372" t="s">
        <v>5535</v>
      </c>
      <c r="V753" s="722">
        <v>3.28</v>
      </c>
      <c r="W753" s="722">
        <v>0.77</v>
      </c>
      <c r="X753" s="722">
        <v>0.27</v>
      </c>
      <c r="Y753" s="722">
        <v>5.2</v>
      </c>
      <c r="Z753" s="382" t="s">
        <v>934</v>
      </c>
      <c r="AA753" s="372">
        <v>4028.1897478999999</v>
      </c>
      <c r="AB753" s="372">
        <v>9870.2367794999991</v>
      </c>
      <c r="AC753" s="372">
        <v>9750.6624099000001</v>
      </c>
      <c r="AD753" s="372">
        <v>8627.6547542999997</v>
      </c>
      <c r="AE753" s="372">
        <v>9994.33</v>
      </c>
      <c r="AF753" s="372">
        <v>10210</v>
      </c>
      <c r="AG753" s="372">
        <v>0</v>
      </c>
      <c r="AH753" s="372">
        <v>0</v>
      </c>
    </row>
    <row r="754" spans="1:34">
      <c r="A754" s="372" t="s">
        <v>5536</v>
      </c>
      <c r="B754" s="373" t="s">
        <v>5537</v>
      </c>
      <c r="C754" s="372" t="s">
        <v>5538</v>
      </c>
      <c r="D754" s="374">
        <v>1348110094160</v>
      </c>
      <c r="E754" s="372" t="s">
        <v>5539</v>
      </c>
      <c r="F754" s="375" t="s">
        <v>1673</v>
      </c>
      <c r="G754" s="375" t="s">
        <v>1673</v>
      </c>
      <c r="H754" s="375" t="s">
        <v>1388</v>
      </c>
      <c r="I754" s="375" t="s">
        <v>869</v>
      </c>
      <c r="J754" s="375">
        <v>478837.67336999997</v>
      </c>
      <c r="K754" s="375">
        <v>19096.846269999998</v>
      </c>
      <c r="L754" s="375">
        <v>15827.461730000001</v>
      </c>
      <c r="M754" s="375">
        <v>133188.16608</v>
      </c>
      <c r="N754" s="372">
        <v>1.1879999999999999</v>
      </c>
      <c r="O754" s="703">
        <v>7.5804928608112787</v>
      </c>
      <c r="P754" s="375" t="s">
        <v>623</v>
      </c>
      <c r="Q754" s="375" t="s">
        <v>623</v>
      </c>
      <c r="R754" s="695">
        <v>20040512</v>
      </c>
      <c r="S754" s="375" t="s">
        <v>5540</v>
      </c>
      <c r="T754" s="696">
        <v>0.20900000000000002</v>
      </c>
      <c r="U754" s="375" t="s">
        <v>5541</v>
      </c>
      <c r="V754" s="722">
        <v>7.61</v>
      </c>
      <c r="W754" s="722">
        <v>1.6</v>
      </c>
      <c r="X754" s="722">
        <v>0.45</v>
      </c>
      <c r="Y754" s="722">
        <v>17.149999999999999</v>
      </c>
      <c r="Z754" s="382" t="s">
        <v>934</v>
      </c>
      <c r="AA754" s="372">
        <v>1597.4117953</v>
      </c>
      <c r="AB754" s="372">
        <v>3033.9934162999998</v>
      </c>
      <c r="AC754" s="372">
        <v>4847.6979041000004</v>
      </c>
      <c r="AD754" s="372">
        <v>4788.3767336999999</v>
      </c>
      <c r="AE754" s="372">
        <v>0</v>
      </c>
      <c r="AF754" s="372">
        <v>0</v>
      </c>
      <c r="AG754" s="372">
        <v>0</v>
      </c>
      <c r="AH754" s="372">
        <v>0</v>
      </c>
    </row>
    <row r="755" spans="1:34">
      <c r="A755" s="372" t="s">
        <v>5542</v>
      </c>
      <c r="B755" s="373" t="s">
        <v>5543</v>
      </c>
      <c r="C755" s="372" t="s">
        <v>5544</v>
      </c>
      <c r="D755" s="374">
        <v>1101111803976</v>
      </c>
      <c r="E755" s="372" t="s">
        <v>5545</v>
      </c>
      <c r="F755" s="375" t="s">
        <v>852</v>
      </c>
      <c r="G755" s="375" t="s">
        <v>852</v>
      </c>
      <c r="H755" s="375" t="s">
        <v>1388</v>
      </c>
      <c r="I755" s="375" t="s">
        <v>869</v>
      </c>
      <c r="J755" s="375">
        <v>41414.0694</v>
      </c>
      <c r="K755" s="375">
        <v>-7831.7177499999998</v>
      </c>
      <c r="L755" s="375">
        <v>-29815.663830000001</v>
      </c>
      <c r="M755" s="375">
        <v>96692.775280000002</v>
      </c>
      <c r="N755" s="372">
        <v>0.94299999999999995</v>
      </c>
      <c r="O755" s="703">
        <v>3.8468464347872864</v>
      </c>
      <c r="P755" s="375" t="s">
        <v>16142</v>
      </c>
      <c r="Q755" s="372" t="s">
        <v>16145</v>
      </c>
      <c r="R755" s="695">
        <v>20080125</v>
      </c>
      <c r="S755" s="375" t="s">
        <v>5546</v>
      </c>
      <c r="T755" s="696" t="s">
        <v>772</v>
      </c>
      <c r="U755" s="375" t="s">
        <v>5547</v>
      </c>
      <c r="V755" s="722" t="s">
        <v>774</v>
      </c>
      <c r="W755" s="722">
        <v>2.64</v>
      </c>
      <c r="X755" s="722">
        <v>5.16</v>
      </c>
      <c r="Y755" s="722" t="s">
        <v>774</v>
      </c>
      <c r="Z755" s="382" t="s">
        <v>934</v>
      </c>
      <c r="AA755" s="372">
        <v>413.49066549999998</v>
      </c>
      <c r="AB755" s="372">
        <v>400.17483440000001</v>
      </c>
      <c r="AC755" s="372">
        <v>715.63653509999995</v>
      </c>
      <c r="AD755" s="372">
        <v>414.140694</v>
      </c>
      <c r="AE755" s="372">
        <v>0</v>
      </c>
      <c r="AF755" s="372">
        <v>0</v>
      </c>
      <c r="AG755" s="372">
        <v>0</v>
      </c>
      <c r="AH755" s="372">
        <v>0</v>
      </c>
    </row>
    <row r="756" spans="1:34">
      <c r="A756" s="372" t="s">
        <v>5548</v>
      </c>
      <c r="B756" s="373" t="s">
        <v>5549</v>
      </c>
      <c r="C756" s="372" t="s">
        <v>5550</v>
      </c>
      <c r="D756" s="374">
        <v>1801110902791</v>
      </c>
      <c r="E756" s="372" t="s">
        <v>5551</v>
      </c>
      <c r="F756" s="375" t="s">
        <v>1124</v>
      </c>
      <c r="G756" s="375" t="s">
        <v>1347</v>
      </c>
      <c r="H756" s="375" t="s">
        <v>1348</v>
      </c>
      <c r="I756" s="375" t="s">
        <v>869</v>
      </c>
      <c r="J756" s="375">
        <v>18862.893840000001</v>
      </c>
      <c r="K756" s="375">
        <v>-19567.773690000002</v>
      </c>
      <c r="L756" s="375">
        <v>-34006.528350000001</v>
      </c>
      <c r="M756" s="375">
        <v>-26167.535540000001</v>
      </c>
      <c r="N756" s="372">
        <v>0.68899999999999995</v>
      </c>
      <c r="O756" s="703">
        <v>18.869168760509964</v>
      </c>
      <c r="P756" s="375" t="s">
        <v>16142</v>
      </c>
      <c r="Q756" s="372" t="s">
        <v>16145</v>
      </c>
      <c r="R756" s="695">
        <v>20181109</v>
      </c>
      <c r="S756" s="372" t="s">
        <v>5552</v>
      </c>
      <c r="T756" s="696" t="s">
        <v>772</v>
      </c>
      <c r="U756" s="372" t="s">
        <v>5553</v>
      </c>
      <c r="V756" s="722" t="s">
        <v>774</v>
      </c>
      <c r="W756" s="722" t="s">
        <v>774</v>
      </c>
      <c r="X756" s="722">
        <v>13.03</v>
      </c>
      <c r="Y756" s="722" t="s">
        <v>774</v>
      </c>
      <c r="Z756" s="382" t="s">
        <v>934</v>
      </c>
      <c r="AA756" s="372">
        <v>7.6157345000000003</v>
      </c>
      <c r="AB756" s="372">
        <v>38.7240161</v>
      </c>
      <c r="AC756" s="372">
        <v>231.58372589999999</v>
      </c>
      <c r="AD756" s="372">
        <v>188.62893840000001</v>
      </c>
      <c r="AE756" s="372">
        <v>0</v>
      </c>
      <c r="AF756" s="372">
        <v>0</v>
      </c>
      <c r="AG756" s="372">
        <v>0</v>
      </c>
      <c r="AH756" s="372">
        <v>0</v>
      </c>
    </row>
    <row r="757" spans="1:34">
      <c r="A757" s="372" t="s">
        <v>5554</v>
      </c>
      <c r="B757" s="373" t="s">
        <v>5555</v>
      </c>
      <c r="C757" s="372" t="s">
        <v>16155</v>
      </c>
      <c r="D757" s="374">
        <v>1101111828362</v>
      </c>
      <c r="E757" s="372" t="s">
        <v>5556</v>
      </c>
      <c r="F757" s="375" t="s">
        <v>1272</v>
      </c>
      <c r="G757" s="375" t="s">
        <v>1273</v>
      </c>
      <c r="H757" s="375" t="s">
        <v>902</v>
      </c>
      <c r="I757" s="375" t="s">
        <v>869</v>
      </c>
      <c r="J757" s="375">
        <v>170705.56537</v>
      </c>
      <c r="K757" s="375">
        <v>33193.031920000001</v>
      </c>
      <c r="L757" s="375">
        <v>38344.258470000001</v>
      </c>
      <c r="M757" s="375">
        <v>935420.57371999999</v>
      </c>
      <c r="N757" s="372">
        <v>0.75800000000000001</v>
      </c>
      <c r="O757" s="703">
        <v>1530.7557947238231</v>
      </c>
      <c r="P757" s="375" t="s">
        <v>623</v>
      </c>
      <c r="Q757" s="375" t="s">
        <v>623</v>
      </c>
      <c r="R757" s="695">
        <v>20070221</v>
      </c>
      <c r="S757" s="375" t="s">
        <v>5557</v>
      </c>
      <c r="T757" s="696">
        <v>0.23100000000000001</v>
      </c>
      <c r="U757" s="372" t="s">
        <v>5558</v>
      </c>
      <c r="V757" s="722">
        <v>0</v>
      </c>
      <c r="W757" s="722">
        <v>0.28999999999999998</v>
      </c>
      <c r="X757" s="722">
        <v>0.21</v>
      </c>
      <c r="Y757" s="722">
        <v>9.84</v>
      </c>
      <c r="Z757" s="382" t="s">
        <v>934</v>
      </c>
      <c r="AA757" s="372">
        <v>3408.5961384000002</v>
      </c>
      <c r="AB757" s="372">
        <v>4558.3005733999998</v>
      </c>
      <c r="AC757" s="372">
        <v>2117.3002161999998</v>
      </c>
      <c r="AD757" s="372">
        <v>1707.0556537</v>
      </c>
      <c r="AE757" s="372">
        <v>0</v>
      </c>
      <c r="AF757" s="372">
        <v>0</v>
      </c>
      <c r="AG757" s="372">
        <v>0</v>
      </c>
      <c r="AH757" s="372">
        <v>0</v>
      </c>
    </row>
    <row r="758" spans="1:34">
      <c r="A758" s="372" t="s">
        <v>5559</v>
      </c>
      <c r="B758" s="373" t="s">
        <v>5560</v>
      </c>
      <c r="C758" s="372" t="s">
        <v>5561</v>
      </c>
      <c r="D758" s="374">
        <v>1101111061954</v>
      </c>
      <c r="E758" s="372" t="s">
        <v>5562</v>
      </c>
      <c r="F758" s="375" t="s">
        <v>852</v>
      </c>
      <c r="G758" s="375" t="s">
        <v>852</v>
      </c>
      <c r="H758" s="375" t="s">
        <v>3127</v>
      </c>
      <c r="I758" s="375" t="s">
        <v>869</v>
      </c>
      <c r="J758" s="375">
        <v>177948.65272000001</v>
      </c>
      <c r="K758" s="375">
        <v>32243.349859999998</v>
      </c>
      <c r="L758" s="375">
        <v>29617.2857</v>
      </c>
      <c r="M758" s="375">
        <v>77933.864560000002</v>
      </c>
      <c r="N758" s="372">
        <v>0.61599999999999999</v>
      </c>
      <c r="O758" s="703">
        <v>2.074740060459916</v>
      </c>
      <c r="P758" s="375" t="s">
        <v>623</v>
      </c>
      <c r="Q758" s="375" t="s">
        <v>623</v>
      </c>
      <c r="R758" s="695">
        <v>20000107</v>
      </c>
      <c r="S758" s="375" t="s">
        <v>5563</v>
      </c>
      <c r="T758" s="696">
        <v>0.23100000000000001</v>
      </c>
      <c r="U758" s="375" t="s">
        <v>5564</v>
      </c>
      <c r="V758" s="722">
        <v>0</v>
      </c>
      <c r="W758" s="722">
        <v>3.68</v>
      </c>
      <c r="X758" s="722">
        <v>0</v>
      </c>
      <c r="Y758" s="722">
        <v>0</v>
      </c>
      <c r="Z758" s="382" t="s">
        <v>934</v>
      </c>
      <c r="AA758" s="372">
        <v>164.41421209999999</v>
      </c>
      <c r="AB758" s="372">
        <v>489.3658954</v>
      </c>
      <c r="AC758" s="372">
        <v>1174.0115837999999</v>
      </c>
      <c r="AD758" s="372">
        <v>1779.4865272</v>
      </c>
      <c r="AE758" s="372">
        <v>0</v>
      </c>
      <c r="AF758" s="372">
        <v>0</v>
      </c>
      <c r="AG758" s="372">
        <v>0</v>
      </c>
      <c r="AH758" s="372">
        <v>0</v>
      </c>
    </row>
    <row r="759" spans="1:34">
      <c r="A759" s="372" t="s">
        <v>5565</v>
      </c>
      <c r="B759" s="373" t="s">
        <v>5566</v>
      </c>
      <c r="C759" s="372" t="s">
        <v>5567</v>
      </c>
      <c r="D759" s="374">
        <v>1351110083661</v>
      </c>
      <c r="E759" s="372" t="s">
        <v>5568</v>
      </c>
      <c r="F759" s="375" t="s">
        <v>5569</v>
      </c>
      <c r="G759" s="375" t="s">
        <v>5569</v>
      </c>
      <c r="H759" s="375" t="s">
        <v>868</v>
      </c>
      <c r="I759" s="375" t="s">
        <v>869</v>
      </c>
      <c r="J759" s="375">
        <v>92421.026750000005</v>
      </c>
      <c r="K759" s="375">
        <v>25608.083180000001</v>
      </c>
      <c r="L759" s="375">
        <v>33109.919309999997</v>
      </c>
      <c r="M759" s="375">
        <v>158705.94704</v>
      </c>
      <c r="N759" s="372">
        <v>1.06</v>
      </c>
      <c r="O759" s="703">
        <v>0.18845367239524333</v>
      </c>
      <c r="P759" s="375" t="s">
        <v>623</v>
      </c>
      <c r="Q759" s="375" t="s">
        <v>623</v>
      </c>
      <c r="R759" s="695">
        <v>20181102</v>
      </c>
      <c r="S759" s="375" t="s">
        <v>5570</v>
      </c>
      <c r="T759" s="696">
        <v>0.23100000000000001</v>
      </c>
      <c r="U759" s="372" t="s">
        <v>5571</v>
      </c>
      <c r="V759" s="722">
        <v>8.9700000000000006</v>
      </c>
      <c r="W759" s="722">
        <v>1.52</v>
      </c>
      <c r="X759" s="722">
        <v>2.74</v>
      </c>
      <c r="Y759" s="722">
        <v>8.5399999999999991</v>
      </c>
      <c r="Z759" s="382" t="s">
        <v>934</v>
      </c>
      <c r="AA759" s="372">
        <v>678.55056000000002</v>
      </c>
      <c r="AB759" s="372">
        <v>905.00181359999999</v>
      </c>
      <c r="AC759" s="372">
        <v>1104.9431565</v>
      </c>
      <c r="AD759" s="372">
        <v>924.21026749999999</v>
      </c>
      <c r="AE759" s="372">
        <v>1146</v>
      </c>
      <c r="AF759" s="372">
        <v>1208</v>
      </c>
      <c r="AG759" s="372">
        <v>0</v>
      </c>
      <c r="AH759" s="372">
        <v>0</v>
      </c>
    </row>
    <row r="760" spans="1:34">
      <c r="A760" s="372" t="s">
        <v>5572</v>
      </c>
      <c r="B760" s="373" t="s">
        <v>5573</v>
      </c>
      <c r="C760" s="372" t="s">
        <v>5574</v>
      </c>
      <c r="D760" s="374">
        <v>2001110054795</v>
      </c>
      <c r="E760" s="372" t="s">
        <v>5575</v>
      </c>
      <c r="F760" s="375" t="s">
        <v>1665</v>
      </c>
      <c r="G760" s="375" t="s">
        <v>1666</v>
      </c>
      <c r="H760" s="375" t="s">
        <v>853</v>
      </c>
      <c r="I760" s="375" t="s">
        <v>755</v>
      </c>
      <c r="J760" s="375">
        <v>179586.81786000001</v>
      </c>
      <c r="K760" s="375">
        <v>54901.376680000001</v>
      </c>
      <c r="L760" s="375">
        <v>62994.27936</v>
      </c>
      <c r="M760" s="375">
        <v>819213.14288000006</v>
      </c>
      <c r="N760" s="372">
        <v>0.56299999999999994</v>
      </c>
      <c r="O760" s="703">
        <v>6.0015415114529702</v>
      </c>
      <c r="P760" s="375" t="s">
        <v>623</v>
      </c>
      <c r="Q760" s="372" t="s">
        <v>623</v>
      </c>
      <c r="R760" s="695">
        <v>20020207</v>
      </c>
      <c r="S760" s="375" t="s">
        <v>1666</v>
      </c>
      <c r="T760" s="696">
        <v>0.23100000000000001</v>
      </c>
      <c r="U760" s="375" t="s">
        <v>5576</v>
      </c>
      <c r="V760" s="722">
        <v>0</v>
      </c>
      <c r="W760" s="722">
        <v>0.28999999999999998</v>
      </c>
      <c r="X760" s="722">
        <v>0</v>
      </c>
      <c r="Y760" s="722">
        <v>0</v>
      </c>
      <c r="Z760" s="382" t="s">
        <v>934</v>
      </c>
      <c r="AA760" s="372">
        <v>1475.0845428</v>
      </c>
      <c r="AB760" s="372">
        <v>1699.7162125</v>
      </c>
      <c r="AC760" s="372">
        <v>1848.7395524999999</v>
      </c>
      <c r="AD760" s="372">
        <v>1795.8681786</v>
      </c>
      <c r="AE760" s="372">
        <v>0</v>
      </c>
      <c r="AF760" s="372">
        <v>0</v>
      </c>
      <c r="AG760" s="372">
        <v>0</v>
      </c>
      <c r="AH760" s="372">
        <v>0</v>
      </c>
    </row>
    <row r="761" spans="1:34">
      <c r="A761" s="372" t="s">
        <v>5577</v>
      </c>
      <c r="B761" s="373" t="s">
        <v>5578</v>
      </c>
      <c r="C761" s="372" t="s">
        <v>5579</v>
      </c>
      <c r="D761" s="374">
        <v>1812110003728</v>
      </c>
      <c r="E761" s="372" t="s">
        <v>5580</v>
      </c>
      <c r="F761" s="375" t="s">
        <v>1368</v>
      </c>
      <c r="G761" s="375" t="s">
        <v>1368</v>
      </c>
      <c r="H761" s="375" t="s">
        <v>868</v>
      </c>
      <c r="I761" s="375" t="s">
        <v>869</v>
      </c>
      <c r="J761" s="375">
        <v>438274.11369999999</v>
      </c>
      <c r="K761" s="375">
        <v>21881.58599</v>
      </c>
      <c r="L761" s="375">
        <v>18170.840749999999</v>
      </c>
      <c r="M761" s="375">
        <v>526012.58929000003</v>
      </c>
      <c r="N761" s="372">
        <v>0.96599999999999997</v>
      </c>
      <c r="O761" s="703">
        <v>18.087367774773835</v>
      </c>
      <c r="P761" s="375" t="s">
        <v>623</v>
      </c>
      <c r="Q761" s="375" t="s">
        <v>623</v>
      </c>
      <c r="R761" s="695">
        <v>19920728</v>
      </c>
      <c r="S761" s="375" t="s">
        <v>5581</v>
      </c>
      <c r="T761" s="696">
        <v>0.20900000000000002</v>
      </c>
      <c r="U761" s="375" t="s">
        <v>5582</v>
      </c>
      <c r="V761" s="722">
        <v>8.4600000000000009</v>
      </c>
      <c r="W761" s="722">
        <v>0.52</v>
      </c>
      <c r="X761" s="722">
        <v>0.56999999999999995</v>
      </c>
      <c r="Y761" s="722">
        <v>24.87</v>
      </c>
      <c r="Z761" s="382" t="s">
        <v>934</v>
      </c>
      <c r="AA761" s="372">
        <v>3717.4081316000002</v>
      </c>
      <c r="AB761" s="372">
        <v>5016.6255462999998</v>
      </c>
      <c r="AC761" s="372">
        <v>5126.9807456999997</v>
      </c>
      <c r="AD761" s="372">
        <v>4382.741137</v>
      </c>
      <c r="AE761" s="372">
        <v>0</v>
      </c>
      <c r="AF761" s="372">
        <v>0</v>
      </c>
      <c r="AG761" s="372">
        <v>0</v>
      </c>
      <c r="AH761" s="372">
        <v>0</v>
      </c>
    </row>
    <row r="762" spans="1:34">
      <c r="A762" s="372" t="s">
        <v>5583</v>
      </c>
      <c r="B762" s="373" t="s">
        <v>5584</v>
      </c>
      <c r="C762" s="372" t="s">
        <v>5585</v>
      </c>
      <c r="D762" s="374">
        <v>1101112023185</v>
      </c>
      <c r="E762" s="372" t="s">
        <v>5586</v>
      </c>
      <c r="F762" s="375" t="s">
        <v>900</v>
      </c>
      <c r="G762" s="375" t="s">
        <v>901</v>
      </c>
      <c r="H762" s="375" t="s">
        <v>902</v>
      </c>
      <c r="I762" s="375" t="s">
        <v>869</v>
      </c>
      <c r="J762" s="375">
        <v>171599.70501000001</v>
      </c>
      <c r="K762" s="375">
        <v>32598.433000000001</v>
      </c>
      <c r="L762" s="375">
        <v>39298.046829999999</v>
      </c>
      <c r="M762" s="375">
        <v>346721.25930999999</v>
      </c>
      <c r="N762" s="372">
        <v>0.63</v>
      </c>
      <c r="O762" s="703">
        <v>6.457747948231324</v>
      </c>
      <c r="P762" s="375" t="s">
        <v>623</v>
      </c>
      <c r="Q762" s="375" t="s">
        <v>623</v>
      </c>
      <c r="R762" s="695">
        <v>20090123</v>
      </c>
      <c r="S762" s="375" t="s">
        <v>5587</v>
      </c>
      <c r="T762" s="696">
        <v>0.23100000000000001</v>
      </c>
      <c r="U762" s="372" t="s">
        <v>5588</v>
      </c>
      <c r="V762" s="722">
        <v>9.5500000000000007</v>
      </c>
      <c r="W762" s="722">
        <v>0.94</v>
      </c>
      <c r="X762" s="722">
        <v>1.4</v>
      </c>
      <c r="Y762" s="722">
        <v>17.12</v>
      </c>
      <c r="Z762" s="382" t="s">
        <v>934</v>
      </c>
      <c r="AA762" s="372">
        <v>1213.816335</v>
      </c>
      <c r="AB762" s="372">
        <v>1509.9596845999999</v>
      </c>
      <c r="AC762" s="372">
        <v>1515.8323582</v>
      </c>
      <c r="AD762" s="372">
        <v>1715.9970501</v>
      </c>
      <c r="AE762" s="372">
        <v>0</v>
      </c>
      <c r="AF762" s="372">
        <v>0</v>
      </c>
      <c r="AG762" s="372">
        <v>0</v>
      </c>
      <c r="AH762" s="372">
        <v>0</v>
      </c>
    </row>
    <row r="763" spans="1:34">
      <c r="A763" s="372" t="s">
        <v>5589</v>
      </c>
      <c r="B763" s="373" t="s">
        <v>5590</v>
      </c>
      <c r="C763" s="372" t="s">
        <v>5591</v>
      </c>
      <c r="D763" s="374">
        <v>0</v>
      </c>
      <c r="E763" s="372" t="s">
        <v>5592</v>
      </c>
      <c r="F763" s="372" t="s">
        <v>900</v>
      </c>
      <c r="G763" s="375" t="s">
        <v>901</v>
      </c>
      <c r="H763" s="375">
        <v>0</v>
      </c>
      <c r="I763" s="375" t="s">
        <v>869</v>
      </c>
      <c r="J763" s="375">
        <v>767709.38100000005</v>
      </c>
      <c r="K763" s="375">
        <v>78737.183999999994</v>
      </c>
      <c r="L763" s="375">
        <v>71207.672000000006</v>
      </c>
      <c r="M763" s="375">
        <v>769906.826</v>
      </c>
      <c r="N763" s="372">
        <v>0.42</v>
      </c>
      <c r="O763" s="703">
        <v>245.28020017726399</v>
      </c>
      <c r="P763" s="375" t="s">
        <v>623</v>
      </c>
      <c r="Q763" s="372" t="s">
        <v>623</v>
      </c>
      <c r="R763" s="695">
        <v>20161025</v>
      </c>
      <c r="S763" s="372" t="s">
        <v>5593</v>
      </c>
      <c r="T763" s="696">
        <v>0.23100000000000001</v>
      </c>
      <c r="U763" s="372" t="s">
        <v>5594</v>
      </c>
      <c r="V763" s="722">
        <v>9.6300000000000008</v>
      </c>
      <c r="W763" s="722">
        <v>0.52</v>
      </c>
      <c r="X763" s="722">
        <v>0.47</v>
      </c>
      <c r="Y763" s="722">
        <v>6.63</v>
      </c>
      <c r="Z763" s="382" t="s">
        <v>934</v>
      </c>
      <c r="AA763" s="372">
        <v>3434.1891999999998</v>
      </c>
      <c r="AB763" s="372">
        <v>3678.05834</v>
      </c>
      <c r="AC763" s="372">
        <v>4296.2108200000002</v>
      </c>
      <c r="AD763" s="372">
        <v>7677.0938100000003</v>
      </c>
      <c r="AE763" s="372">
        <v>0</v>
      </c>
      <c r="AF763" s="372">
        <v>0</v>
      </c>
      <c r="AG763" s="372">
        <v>0</v>
      </c>
      <c r="AH763" s="372">
        <v>0</v>
      </c>
    </row>
    <row r="764" spans="1:34">
      <c r="A764" s="372" t="s">
        <v>5595</v>
      </c>
      <c r="B764" s="373" t="s">
        <v>5596</v>
      </c>
      <c r="C764" s="372" t="s">
        <v>5597</v>
      </c>
      <c r="D764" s="374">
        <v>1101111725386</v>
      </c>
      <c r="E764" s="372" t="s">
        <v>5598</v>
      </c>
      <c r="F764" s="372" t="s">
        <v>1923</v>
      </c>
      <c r="G764" s="375" t="s">
        <v>5599</v>
      </c>
      <c r="H764" s="375" t="s">
        <v>868</v>
      </c>
      <c r="I764" s="375" t="s">
        <v>869</v>
      </c>
      <c r="J764" s="375">
        <v>144055.57724000001</v>
      </c>
      <c r="K764" s="375">
        <v>8325.03953</v>
      </c>
      <c r="L764" s="375">
        <v>6651.6117299999996</v>
      </c>
      <c r="M764" s="375">
        <v>111943.68549</v>
      </c>
      <c r="N764" s="372">
        <v>0.49099999999999999</v>
      </c>
      <c r="O764" s="703">
        <v>29.25269373564986</v>
      </c>
      <c r="P764" s="375" t="s">
        <v>623</v>
      </c>
      <c r="Q764" s="372" t="s">
        <v>623</v>
      </c>
      <c r="R764" s="695">
        <v>20091222</v>
      </c>
      <c r="S764" s="372" t="s">
        <v>5600</v>
      </c>
      <c r="T764" s="696">
        <v>0.20900000000000002</v>
      </c>
      <c r="U764" s="372" t="s">
        <v>5601</v>
      </c>
      <c r="V764" s="722">
        <v>22.47</v>
      </c>
      <c r="W764" s="722">
        <v>2.08</v>
      </c>
      <c r="X764" s="722">
        <v>1.71</v>
      </c>
      <c r="Y764" s="722">
        <v>43.13</v>
      </c>
      <c r="Z764" s="382">
        <v>0.24174558543453073</v>
      </c>
      <c r="AA764" s="372">
        <v>2122.7458695999999</v>
      </c>
      <c r="AB764" s="372">
        <v>996.3268961</v>
      </c>
      <c r="AC764" s="372">
        <v>1131.1460812</v>
      </c>
      <c r="AD764" s="372">
        <v>1440.5557724</v>
      </c>
      <c r="AE764" s="372">
        <v>2752</v>
      </c>
      <c r="AF764" s="372">
        <v>3108</v>
      </c>
      <c r="AG764" s="372">
        <v>3425</v>
      </c>
      <c r="AH764" s="372">
        <v>0</v>
      </c>
    </row>
    <row r="765" spans="1:34">
      <c r="A765" s="372" t="s">
        <v>5602</v>
      </c>
      <c r="B765" s="373" t="s">
        <v>5603</v>
      </c>
      <c r="C765" s="372" t="s">
        <v>5604</v>
      </c>
      <c r="D765" s="374">
        <v>1101110911192</v>
      </c>
      <c r="E765" s="372" t="s">
        <v>5605</v>
      </c>
      <c r="F765" s="375" t="s">
        <v>1195</v>
      </c>
      <c r="G765" s="375" t="s">
        <v>1196</v>
      </c>
      <c r="H765" s="375" t="s">
        <v>868</v>
      </c>
      <c r="I765" s="375" t="s">
        <v>869</v>
      </c>
      <c r="J765" s="375">
        <v>109474.29343000001</v>
      </c>
      <c r="K765" s="375">
        <v>-1745.9635900000001</v>
      </c>
      <c r="L765" s="375">
        <v>5801.1921199999997</v>
      </c>
      <c r="M765" s="375">
        <v>133249.75544000001</v>
      </c>
      <c r="N765" s="372">
        <v>1.3440000000000001</v>
      </c>
      <c r="O765" s="703">
        <v>0.2420978409680721</v>
      </c>
      <c r="P765" s="375" t="s">
        <v>623</v>
      </c>
      <c r="Q765" s="375" t="s">
        <v>623</v>
      </c>
      <c r="R765" s="695">
        <v>20041230</v>
      </c>
      <c r="S765" s="375" t="s">
        <v>5606</v>
      </c>
      <c r="T765" s="696">
        <v>0.20900000000000002</v>
      </c>
      <c r="U765" s="375" t="s">
        <v>5607</v>
      </c>
      <c r="V765" s="722">
        <v>237.01</v>
      </c>
      <c r="W765" s="722">
        <v>2.1800000000000002</v>
      </c>
      <c r="X765" s="722">
        <v>2.82</v>
      </c>
      <c r="Y765" s="722">
        <v>87.34</v>
      </c>
      <c r="Z765" s="382" t="s">
        <v>934</v>
      </c>
      <c r="AA765" s="372">
        <v>589.44868610000003</v>
      </c>
      <c r="AB765" s="372">
        <v>1163.8064687999999</v>
      </c>
      <c r="AC765" s="372">
        <v>1548.5708227</v>
      </c>
      <c r="AD765" s="372">
        <v>1094.7429342999999</v>
      </c>
      <c r="AE765" s="372">
        <v>0</v>
      </c>
      <c r="AF765" s="372">
        <v>0</v>
      </c>
      <c r="AG765" s="372">
        <v>0</v>
      </c>
      <c r="AH765" s="372">
        <v>0</v>
      </c>
    </row>
    <row r="766" spans="1:34">
      <c r="A766" s="372" t="s">
        <v>5608</v>
      </c>
      <c r="B766" s="373" t="s">
        <v>5609</v>
      </c>
      <c r="C766" s="372" t="s">
        <v>5610</v>
      </c>
      <c r="D766" s="374">
        <v>1101112007709</v>
      </c>
      <c r="E766" s="372" t="s">
        <v>5611</v>
      </c>
      <c r="F766" s="375" t="s">
        <v>786</v>
      </c>
      <c r="G766" s="375" t="s">
        <v>787</v>
      </c>
      <c r="H766" s="375" t="s">
        <v>868</v>
      </c>
      <c r="I766" s="375" t="s">
        <v>869</v>
      </c>
      <c r="J766" s="375">
        <v>68642.987370000003</v>
      </c>
      <c r="K766" s="375">
        <v>-25130.694459999999</v>
      </c>
      <c r="L766" s="375">
        <v>4414.01818</v>
      </c>
      <c r="M766" s="375">
        <v>313657.36261000001</v>
      </c>
      <c r="N766" s="372">
        <v>0.877</v>
      </c>
      <c r="O766" s="703">
        <v>21.648595694982916</v>
      </c>
      <c r="P766" s="375" t="s">
        <v>623</v>
      </c>
      <c r="Q766" s="372" t="s">
        <v>623</v>
      </c>
      <c r="R766" s="695">
        <v>20050729</v>
      </c>
      <c r="S766" s="372" t="s">
        <v>5612</v>
      </c>
      <c r="T766" s="696">
        <v>0.20900000000000002</v>
      </c>
      <c r="U766" s="372" t="s">
        <v>5613</v>
      </c>
      <c r="V766" s="722" t="s">
        <v>774</v>
      </c>
      <c r="W766" s="722">
        <v>0.99</v>
      </c>
      <c r="X766" s="722">
        <v>3.42</v>
      </c>
      <c r="Y766" s="722">
        <v>40.18</v>
      </c>
      <c r="Z766" s="382" t="s">
        <v>934</v>
      </c>
      <c r="AA766" s="372">
        <v>486.24816650000002</v>
      </c>
      <c r="AB766" s="372">
        <v>548.5620735</v>
      </c>
      <c r="AC766" s="372">
        <v>642.00627629999997</v>
      </c>
      <c r="AD766" s="372">
        <v>686.42987370000003</v>
      </c>
      <c r="AE766" s="372">
        <v>0</v>
      </c>
      <c r="AF766" s="372">
        <v>0</v>
      </c>
      <c r="AG766" s="372">
        <v>0</v>
      </c>
      <c r="AH766" s="372">
        <v>0</v>
      </c>
    </row>
    <row r="767" spans="1:34">
      <c r="A767" s="372" t="s">
        <v>5614</v>
      </c>
      <c r="B767" s="373" t="s">
        <v>5615</v>
      </c>
      <c r="C767" s="372" t="s">
        <v>5616</v>
      </c>
      <c r="D767" s="374">
        <v>1101110692875</v>
      </c>
      <c r="E767" s="372" t="s">
        <v>5617</v>
      </c>
      <c r="F767" s="375" t="s">
        <v>1089</v>
      </c>
      <c r="G767" s="375" t="s">
        <v>1090</v>
      </c>
      <c r="H767" s="375" t="s">
        <v>823</v>
      </c>
      <c r="I767" s="375" t="s">
        <v>755</v>
      </c>
      <c r="J767" s="375">
        <v>363261.29596999998</v>
      </c>
      <c r="K767" s="375">
        <v>26038.104189999998</v>
      </c>
      <c r="L767" s="375">
        <v>20024.700280000001</v>
      </c>
      <c r="M767" s="375">
        <v>103473.24509</v>
      </c>
      <c r="N767" s="372">
        <v>1.2290000000000001</v>
      </c>
      <c r="O767" s="703">
        <v>14.918990076727159</v>
      </c>
      <c r="P767" s="375" t="s">
        <v>623</v>
      </c>
      <c r="Q767" s="375" t="s">
        <v>623</v>
      </c>
      <c r="R767" s="695">
        <v>20101216</v>
      </c>
      <c r="S767" s="375" t="s">
        <v>5618</v>
      </c>
      <c r="T767" s="696">
        <v>0.23100000000000001</v>
      </c>
      <c r="U767" s="375" t="s">
        <v>5619</v>
      </c>
      <c r="V767" s="722">
        <v>7.47</v>
      </c>
      <c r="W767" s="722">
        <v>2.31</v>
      </c>
      <c r="X767" s="722">
        <v>0.66</v>
      </c>
      <c r="Y767" s="722">
        <v>15.41</v>
      </c>
      <c r="Z767" s="382" t="s">
        <v>934</v>
      </c>
      <c r="AA767" s="372">
        <v>3293.0988690999998</v>
      </c>
      <c r="AB767" s="372">
        <v>3210.6544933</v>
      </c>
      <c r="AC767" s="372">
        <v>3460.4222530000002</v>
      </c>
      <c r="AD767" s="372">
        <v>3632.6129596999999</v>
      </c>
      <c r="AE767" s="372">
        <v>0</v>
      </c>
      <c r="AF767" s="372">
        <v>0</v>
      </c>
      <c r="AG767" s="372">
        <v>0</v>
      </c>
      <c r="AH767" s="372">
        <v>0</v>
      </c>
    </row>
    <row r="768" spans="1:34">
      <c r="A768" s="372" t="s">
        <v>5620</v>
      </c>
      <c r="B768" s="373" t="s">
        <v>5621</v>
      </c>
      <c r="C768" s="372" t="s">
        <v>5622</v>
      </c>
      <c r="D768" s="374">
        <v>1801110059112</v>
      </c>
      <c r="E768" s="372" t="s">
        <v>5623</v>
      </c>
      <c r="F768" s="375" t="s">
        <v>1334</v>
      </c>
      <c r="G768" s="375" t="s">
        <v>1334</v>
      </c>
      <c r="H768" s="375" t="s">
        <v>868</v>
      </c>
      <c r="I768" s="375" t="s">
        <v>869</v>
      </c>
      <c r="J768" s="375">
        <v>83240.454809999996</v>
      </c>
      <c r="K768" s="375">
        <v>6269.3932999999997</v>
      </c>
      <c r="L768" s="375">
        <v>2014.42272</v>
      </c>
      <c r="M768" s="375">
        <v>68581.531109999996</v>
      </c>
      <c r="N768" s="372">
        <v>0.83799999999999997</v>
      </c>
      <c r="O768" s="703">
        <v>16.60559428485367</v>
      </c>
      <c r="P768" s="375" t="s">
        <v>623</v>
      </c>
      <c r="Q768" s="372" t="s">
        <v>623</v>
      </c>
      <c r="R768" s="695">
        <v>20200810</v>
      </c>
      <c r="S768" s="372" t="s">
        <v>5624</v>
      </c>
      <c r="T768" s="696">
        <v>0.20900000000000002</v>
      </c>
      <c r="U768" s="372" t="s">
        <v>5625</v>
      </c>
      <c r="V768" s="722">
        <v>0</v>
      </c>
      <c r="W768" s="722">
        <v>3.76</v>
      </c>
      <c r="X768" s="722">
        <v>0</v>
      </c>
      <c r="Y768" s="722">
        <v>0</v>
      </c>
      <c r="Z768" s="382" t="s">
        <v>934</v>
      </c>
      <c r="AA768" s="372">
        <v>715.09725619999995</v>
      </c>
      <c r="AB768" s="372">
        <v>795.76699840000003</v>
      </c>
      <c r="AC768" s="372">
        <v>810.2942137</v>
      </c>
      <c r="AD768" s="372">
        <v>832.40454810000006</v>
      </c>
      <c r="AE768" s="372">
        <v>0</v>
      </c>
      <c r="AF768" s="372">
        <v>0</v>
      </c>
      <c r="AG768" s="372">
        <v>0</v>
      </c>
      <c r="AH768" s="372">
        <v>0</v>
      </c>
    </row>
    <row r="769" spans="1:34">
      <c r="A769" s="372" t="s">
        <v>5626</v>
      </c>
      <c r="B769" s="373" t="s">
        <v>5627</v>
      </c>
      <c r="C769" s="372" t="s">
        <v>5628</v>
      </c>
      <c r="D769" s="374">
        <v>1351110088083</v>
      </c>
      <c r="E769" s="372" t="s">
        <v>5629</v>
      </c>
      <c r="F769" s="375" t="s">
        <v>1195</v>
      </c>
      <c r="G769" s="375" t="s">
        <v>1195</v>
      </c>
      <c r="H769" s="375" t="s">
        <v>1388</v>
      </c>
      <c r="I769" s="375" t="s">
        <v>869</v>
      </c>
      <c r="J769" s="375">
        <v>300001.0661</v>
      </c>
      <c r="K769" s="375">
        <v>10265.29688</v>
      </c>
      <c r="L769" s="375">
        <v>-10298.16496</v>
      </c>
      <c r="M769" s="375">
        <v>231906.43627000001</v>
      </c>
      <c r="N769" s="372">
        <v>0.878</v>
      </c>
      <c r="O769" s="703">
        <v>9.8873517643858921</v>
      </c>
      <c r="P769" s="375" t="s">
        <v>623</v>
      </c>
      <c r="Q769" s="372" t="s">
        <v>623</v>
      </c>
      <c r="R769" s="695">
        <v>20170601</v>
      </c>
      <c r="S769" s="375" t="s">
        <v>5630</v>
      </c>
      <c r="T769" s="696" t="s">
        <v>772</v>
      </c>
      <c r="U769" s="372" t="s">
        <v>5631</v>
      </c>
      <c r="V769" s="722">
        <v>18.079999999999998</v>
      </c>
      <c r="W769" s="722">
        <v>1.29</v>
      </c>
      <c r="X769" s="722">
        <v>0.73</v>
      </c>
      <c r="Y769" s="722" t="s">
        <v>774</v>
      </c>
      <c r="Z769" s="382" t="s">
        <v>934</v>
      </c>
      <c r="AA769" s="372">
        <v>1888.9011671000001</v>
      </c>
      <c r="AB769" s="372">
        <v>2307.9182796999999</v>
      </c>
      <c r="AC769" s="372">
        <v>3039.8772788000001</v>
      </c>
      <c r="AD769" s="372">
        <v>3000.0106609999998</v>
      </c>
      <c r="AE769" s="372">
        <v>4820</v>
      </c>
      <c r="AF769" s="372">
        <v>5514</v>
      </c>
      <c r="AG769" s="372">
        <v>0</v>
      </c>
      <c r="AH769" s="372">
        <v>0</v>
      </c>
    </row>
    <row r="770" spans="1:34">
      <c r="A770" s="372" t="s">
        <v>5632</v>
      </c>
      <c r="B770" s="373" t="s">
        <v>5633</v>
      </c>
      <c r="C770" s="372" t="s">
        <v>5634</v>
      </c>
      <c r="D770" s="374">
        <v>1345110002375</v>
      </c>
      <c r="E770" s="372" t="s">
        <v>5635</v>
      </c>
      <c r="F770" s="375" t="s">
        <v>1285</v>
      </c>
      <c r="G770" s="375" t="s">
        <v>1285</v>
      </c>
      <c r="H770" s="375" t="s">
        <v>1388</v>
      </c>
      <c r="I770" s="375" t="s">
        <v>869</v>
      </c>
      <c r="J770" s="375">
        <v>751165.17900999996</v>
      </c>
      <c r="K770" s="375">
        <v>30443.364030000001</v>
      </c>
      <c r="L770" s="375">
        <v>22031.864720000001</v>
      </c>
      <c r="M770" s="375">
        <v>273780.99690000003</v>
      </c>
      <c r="N770" s="372">
        <v>1.1459999999999999</v>
      </c>
      <c r="O770" s="703">
        <v>112.86310424865256</v>
      </c>
      <c r="P770" s="375" t="s">
        <v>623</v>
      </c>
      <c r="Q770" s="372" t="s">
        <v>623</v>
      </c>
      <c r="R770" s="695">
        <v>20020507</v>
      </c>
      <c r="S770" s="375" t="s">
        <v>5636</v>
      </c>
      <c r="T770" s="696">
        <v>0.23100000000000001</v>
      </c>
      <c r="U770" s="375" t="s">
        <v>5637</v>
      </c>
      <c r="V770" s="722">
        <v>6.87</v>
      </c>
      <c r="W770" s="722">
        <v>1.05</v>
      </c>
      <c r="X770" s="722">
        <v>0.39</v>
      </c>
      <c r="Y770" s="722">
        <v>17.37</v>
      </c>
      <c r="Z770" s="382" t="s">
        <v>934</v>
      </c>
      <c r="AA770" s="372">
        <v>6256.5863364999996</v>
      </c>
      <c r="AB770" s="372">
        <v>7619.0599160000002</v>
      </c>
      <c r="AC770" s="372">
        <v>9979.3695021000003</v>
      </c>
      <c r="AD770" s="372">
        <v>7511.6517900999997</v>
      </c>
      <c r="AE770" s="372">
        <v>11436</v>
      </c>
      <c r="AF770" s="372">
        <v>13105</v>
      </c>
      <c r="AG770" s="372">
        <v>0</v>
      </c>
      <c r="AH770" s="372">
        <v>0</v>
      </c>
    </row>
    <row r="771" spans="1:34">
      <c r="A771" s="372" t="s">
        <v>5638</v>
      </c>
      <c r="B771" s="373" t="s">
        <v>5639</v>
      </c>
      <c r="C771" s="372" t="s">
        <v>5640</v>
      </c>
      <c r="D771" s="374">
        <v>1943110006262</v>
      </c>
      <c r="E771" s="372" t="s">
        <v>5641</v>
      </c>
      <c r="F771" s="375" t="s">
        <v>1443</v>
      </c>
      <c r="G771" s="375" t="s">
        <v>5642</v>
      </c>
      <c r="H771" s="375" t="s">
        <v>868</v>
      </c>
      <c r="I771" s="375" t="s">
        <v>869</v>
      </c>
      <c r="J771" s="375">
        <v>367399.20864000003</v>
      </c>
      <c r="K771" s="375">
        <v>15086.69817</v>
      </c>
      <c r="L771" s="375">
        <v>3824.9159</v>
      </c>
      <c r="M771" s="375">
        <v>73702.999849999993</v>
      </c>
      <c r="N771" s="372">
        <v>1.7270000000000001</v>
      </c>
      <c r="O771" s="703">
        <v>58.266419759352452</v>
      </c>
      <c r="P771" s="375" t="s">
        <v>623</v>
      </c>
      <c r="Q771" s="375" t="s">
        <v>623</v>
      </c>
      <c r="R771" s="695">
        <v>20051202</v>
      </c>
      <c r="S771" s="375" t="s">
        <v>5643</v>
      </c>
      <c r="T771" s="696">
        <v>0.20900000000000002</v>
      </c>
      <c r="U771" s="375" t="s">
        <v>5644</v>
      </c>
      <c r="V771" s="722">
        <v>14.84</v>
      </c>
      <c r="W771" s="722">
        <v>3.41</v>
      </c>
      <c r="X771" s="722">
        <v>0.68</v>
      </c>
      <c r="Y771" s="722">
        <v>33.36</v>
      </c>
      <c r="Z771" s="382">
        <v>0.14785379548310518</v>
      </c>
      <c r="AA771" s="372">
        <v>2434.4114642</v>
      </c>
      <c r="AB771" s="372">
        <v>2348.8371634</v>
      </c>
      <c r="AC771" s="372">
        <v>3301.971094</v>
      </c>
      <c r="AD771" s="372">
        <v>3673.9920864000001</v>
      </c>
      <c r="AE771" s="372">
        <v>4466</v>
      </c>
      <c r="AF771" s="372">
        <v>5203</v>
      </c>
      <c r="AG771" s="372">
        <v>6378</v>
      </c>
      <c r="AH771" s="372">
        <v>0</v>
      </c>
    </row>
    <row r="772" spans="1:34">
      <c r="A772" s="372" t="s">
        <v>5645</v>
      </c>
      <c r="B772" s="373" t="s">
        <v>5646</v>
      </c>
      <c r="C772" s="372" t="s">
        <v>5647</v>
      </c>
      <c r="D772" s="374">
        <v>1101110205850</v>
      </c>
      <c r="E772" s="372" t="s">
        <v>5648</v>
      </c>
      <c r="F772" s="375" t="s">
        <v>1761</v>
      </c>
      <c r="G772" s="375" t="s">
        <v>1761</v>
      </c>
      <c r="H772" s="375" t="s">
        <v>853</v>
      </c>
      <c r="I772" s="375" t="s">
        <v>755</v>
      </c>
      <c r="J772" s="375">
        <v>6580447.8818100002</v>
      </c>
      <c r="K772" s="375">
        <v>99330.569130000003</v>
      </c>
      <c r="L772" s="375">
        <v>109410.59933</v>
      </c>
      <c r="M772" s="375">
        <v>580644.51861999999</v>
      </c>
      <c r="N772" s="372">
        <v>1.0009999999999999</v>
      </c>
      <c r="O772" s="703">
        <v>380.90671256512559</v>
      </c>
      <c r="P772" s="375" t="s">
        <v>623</v>
      </c>
      <c r="Q772" s="372" t="s">
        <v>623</v>
      </c>
      <c r="R772" s="695">
        <v>19771201</v>
      </c>
      <c r="S772" s="372" t="s">
        <v>5649</v>
      </c>
      <c r="T772" s="696">
        <v>0.23100000000000001</v>
      </c>
      <c r="U772" s="372" t="s">
        <v>5650</v>
      </c>
      <c r="V772" s="722">
        <v>6.8</v>
      </c>
      <c r="W772" s="722">
        <v>0.42</v>
      </c>
      <c r="X772" s="722">
        <v>0.04</v>
      </c>
      <c r="Y772" s="722">
        <v>2.98</v>
      </c>
      <c r="Z772" s="382">
        <v>4.3005484156899421E-4</v>
      </c>
      <c r="AA772" s="372">
        <v>28808.857452100001</v>
      </c>
      <c r="AB772" s="372">
        <v>37824.975230299999</v>
      </c>
      <c r="AC772" s="372">
        <v>61269.687511600001</v>
      </c>
      <c r="AD772" s="372">
        <v>65804.478818100004</v>
      </c>
      <c r="AE772" s="372">
        <v>66542.5</v>
      </c>
      <c r="AF772" s="372">
        <v>66654.5</v>
      </c>
      <c r="AG772" s="372">
        <v>65917.75</v>
      </c>
      <c r="AH772" s="372">
        <v>0</v>
      </c>
    </row>
    <row r="773" spans="1:34">
      <c r="A773" s="372" t="s">
        <v>5651</v>
      </c>
      <c r="B773" s="373" t="s">
        <v>5652</v>
      </c>
      <c r="C773" s="372" t="s">
        <v>5653</v>
      </c>
      <c r="D773" s="374">
        <v>1101110545751</v>
      </c>
      <c r="E773" s="372" t="s">
        <v>5654</v>
      </c>
      <c r="F773" s="375" t="s">
        <v>5655</v>
      </c>
      <c r="G773" s="375" t="s">
        <v>5655</v>
      </c>
      <c r="H773" s="375" t="s">
        <v>823</v>
      </c>
      <c r="I773" s="375" t="s">
        <v>755</v>
      </c>
      <c r="J773" s="375">
        <v>993035.79934000003</v>
      </c>
      <c r="K773" s="375">
        <v>-68126.882660000003</v>
      </c>
      <c r="L773" s="375">
        <v>-157822.26566</v>
      </c>
      <c r="M773" s="375">
        <v>510116.68414999999</v>
      </c>
      <c r="N773" s="372">
        <v>1.417</v>
      </c>
      <c r="O773" s="703">
        <v>538.65649652336515</v>
      </c>
      <c r="P773" s="375" t="s">
        <v>623</v>
      </c>
      <c r="Q773" s="375" t="s">
        <v>623</v>
      </c>
      <c r="R773" s="695">
        <v>20000321</v>
      </c>
      <c r="S773" s="375" t="s">
        <v>5656</v>
      </c>
      <c r="T773" s="696" t="s">
        <v>772</v>
      </c>
      <c r="U773" s="375" t="s">
        <v>5657</v>
      </c>
      <c r="V773" s="722">
        <v>15.21</v>
      </c>
      <c r="W773" s="722">
        <v>5.37</v>
      </c>
      <c r="X773" s="722">
        <v>0.3</v>
      </c>
      <c r="Y773" s="722" t="s">
        <v>774</v>
      </c>
      <c r="Z773" s="382">
        <v>4.7935261566820264E-2</v>
      </c>
      <c r="AA773" s="372">
        <v>3602.2799967999999</v>
      </c>
      <c r="AB773" s="372">
        <v>6771.2995730000002</v>
      </c>
      <c r="AC773" s="372">
        <v>8520.5084759000001</v>
      </c>
      <c r="AD773" s="372">
        <v>9930.3579934000009</v>
      </c>
      <c r="AE773" s="372">
        <v>10556.93</v>
      </c>
      <c r="AF773" s="372">
        <v>11482</v>
      </c>
      <c r="AG773" s="372">
        <v>11975.75</v>
      </c>
      <c r="AH773" s="372">
        <v>0</v>
      </c>
    </row>
    <row r="774" spans="1:34">
      <c r="A774" s="372" t="s">
        <v>5658</v>
      </c>
      <c r="B774" s="373" t="s">
        <v>5659</v>
      </c>
      <c r="C774" s="372" t="s">
        <v>5660</v>
      </c>
      <c r="D774" s="374">
        <v>1601110444581</v>
      </c>
      <c r="E774" s="372" t="s">
        <v>5661</v>
      </c>
      <c r="F774" s="375" t="s">
        <v>2438</v>
      </c>
      <c r="G774" s="375" t="s">
        <v>2438</v>
      </c>
      <c r="H774" s="375" t="s">
        <v>868</v>
      </c>
      <c r="I774" s="375" t="s">
        <v>869</v>
      </c>
      <c r="J774" s="375">
        <v>47190.666519999999</v>
      </c>
      <c r="K774" s="375">
        <v>5444.3418700000002</v>
      </c>
      <c r="L774" s="375">
        <v>5234.3038699999997</v>
      </c>
      <c r="M774" s="375">
        <v>49796.41575</v>
      </c>
      <c r="N774" s="372" t="s">
        <v>1033</v>
      </c>
      <c r="O774" s="703">
        <v>7.9265575994743136</v>
      </c>
      <c r="P774" s="375" t="s">
        <v>623</v>
      </c>
      <c r="Q774" s="372" t="s">
        <v>623</v>
      </c>
      <c r="R774" s="695">
        <v>20230303</v>
      </c>
      <c r="S774" s="372" t="s">
        <v>5662</v>
      </c>
      <c r="T774" s="696">
        <v>0.20900000000000002</v>
      </c>
      <c r="U774" s="372" t="s">
        <v>5663</v>
      </c>
      <c r="V774" s="722">
        <v>39.590000000000003</v>
      </c>
      <c r="W774" s="722">
        <v>5.96</v>
      </c>
      <c r="X774" s="722">
        <v>6.18</v>
      </c>
      <c r="Y774" s="722">
        <v>59.84</v>
      </c>
      <c r="Z774" s="382">
        <v>0.20952908360932576</v>
      </c>
      <c r="AA774" s="372">
        <v>145.37331219999999</v>
      </c>
      <c r="AB774" s="372">
        <v>270.43759599999998</v>
      </c>
      <c r="AC774" s="372">
        <v>384.56611040000001</v>
      </c>
      <c r="AD774" s="372">
        <v>471.90666520000002</v>
      </c>
      <c r="AE774" s="372">
        <v>524</v>
      </c>
      <c r="AF774" s="372">
        <v>703</v>
      </c>
      <c r="AG774" s="372">
        <v>1010</v>
      </c>
      <c r="AH774" s="372">
        <v>0</v>
      </c>
    </row>
    <row r="775" spans="1:34">
      <c r="A775" s="372" t="s">
        <v>5664</v>
      </c>
      <c r="B775" s="373" t="s">
        <v>5665</v>
      </c>
      <c r="C775" s="372" t="s">
        <v>5666</v>
      </c>
      <c r="D775" s="374">
        <v>1101116383543</v>
      </c>
      <c r="E775" s="372" t="s">
        <v>5667</v>
      </c>
      <c r="F775" s="372" t="s">
        <v>3039</v>
      </c>
      <c r="G775" s="375" t="s">
        <v>3039</v>
      </c>
      <c r="H775" s="375" t="s">
        <v>1348</v>
      </c>
      <c r="I775" s="375" t="s">
        <v>869</v>
      </c>
      <c r="J775" s="375">
        <v>20415.36564</v>
      </c>
      <c r="K775" s="375">
        <v>-6546.30555</v>
      </c>
      <c r="L775" s="375">
        <v>-4457.2940900000003</v>
      </c>
      <c r="M775" s="375">
        <v>58425.85585</v>
      </c>
      <c r="N775" s="372">
        <v>1.9359999999999999</v>
      </c>
      <c r="O775" s="703">
        <v>10.992448168421879</v>
      </c>
      <c r="P775" s="375" t="s">
        <v>623</v>
      </c>
      <c r="Q775" s="372" t="s">
        <v>623</v>
      </c>
      <c r="R775" s="695">
        <v>20170822</v>
      </c>
      <c r="S775" s="372" t="s">
        <v>5668</v>
      </c>
      <c r="T775" s="696" t="s">
        <v>772</v>
      </c>
      <c r="U775" s="372" t="s">
        <v>5669</v>
      </c>
      <c r="V775" s="722" t="s">
        <v>774</v>
      </c>
      <c r="W775" s="722">
        <v>4.8899999999999997</v>
      </c>
      <c r="X775" s="722">
        <v>13.61</v>
      </c>
      <c r="Y775" s="722" t="s">
        <v>774</v>
      </c>
      <c r="Z775" s="382" t="s">
        <v>934</v>
      </c>
      <c r="AA775" s="372">
        <v>303.69711330000001</v>
      </c>
      <c r="AB775" s="372">
        <v>251.34889530000001</v>
      </c>
      <c r="AC775" s="372">
        <v>175.631451</v>
      </c>
      <c r="AD775" s="372">
        <v>204.15365639999999</v>
      </c>
      <c r="AE775" s="372">
        <v>0</v>
      </c>
      <c r="AF775" s="372">
        <v>0</v>
      </c>
      <c r="AG775" s="372">
        <v>0</v>
      </c>
      <c r="AH775" s="372">
        <v>0</v>
      </c>
    </row>
    <row r="776" spans="1:34">
      <c r="A776" s="372" t="s">
        <v>5670</v>
      </c>
      <c r="B776" s="373" t="s">
        <v>5671</v>
      </c>
      <c r="C776" s="372" t="s">
        <v>5672</v>
      </c>
      <c r="D776" s="374">
        <v>1101110122731</v>
      </c>
      <c r="E776" s="372" t="s">
        <v>5673</v>
      </c>
      <c r="F776" s="375" t="s">
        <v>5674</v>
      </c>
      <c r="G776" s="375" t="s">
        <v>5674</v>
      </c>
      <c r="H776" s="375" t="s">
        <v>1050</v>
      </c>
      <c r="I776" s="375" t="s">
        <v>755</v>
      </c>
      <c r="J776" s="375">
        <v>150577.97532</v>
      </c>
      <c r="K776" s="375">
        <v>-88866.493690000003</v>
      </c>
      <c r="L776" s="375">
        <v>-95239.386050000001</v>
      </c>
      <c r="M776" s="375">
        <v>417688.00029</v>
      </c>
      <c r="N776" s="372">
        <v>0.91600000000000004</v>
      </c>
      <c r="O776" s="703">
        <v>32.282437098548897</v>
      </c>
      <c r="P776" s="375" t="s">
        <v>623</v>
      </c>
      <c r="Q776" s="375" t="s">
        <v>623</v>
      </c>
      <c r="R776" s="695">
        <v>19950708</v>
      </c>
      <c r="S776" s="375" t="s">
        <v>5675</v>
      </c>
      <c r="T776" s="696" t="s">
        <v>772</v>
      </c>
      <c r="U776" s="375" t="s">
        <v>16028</v>
      </c>
      <c r="V776" s="722" t="s">
        <v>774</v>
      </c>
      <c r="W776" s="722">
        <v>1.03</v>
      </c>
      <c r="X776" s="722">
        <v>1.66</v>
      </c>
      <c r="Y776" s="722" t="s">
        <v>774</v>
      </c>
      <c r="Z776" s="382" t="s">
        <v>934</v>
      </c>
      <c r="AA776" s="372">
        <v>1271.4262421999999</v>
      </c>
      <c r="AB776" s="372">
        <v>262.95794069999999</v>
      </c>
      <c r="AC776" s="372">
        <v>783.49308040000005</v>
      </c>
      <c r="AD776" s="372">
        <v>1505.7797532</v>
      </c>
      <c r="AE776" s="372">
        <v>0</v>
      </c>
      <c r="AF776" s="372">
        <v>0</v>
      </c>
      <c r="AG776" s="372">
        <v>0</v>
      </c>
      <c r="AH776" s="372">
        <v>0</v>
      </c>
    </row>
    <row r="777" spans="1:34">
      <c r="A777" s="372" t="s">
        <v>5676</v>
      </c>
      <c r="B777" s="373" t="s">
        <v>5677</v>
      </c>
      <c r="C777" s="372" t="s">
        <v>5678</v>
      </c>
      <c r="D777" s="374">
        <v>1349110013457</v>
      </c>
      <c r="E777" s="372" t="s">
        <v>5679</v>
      </c>
      <c r="F777" s="375" t="s">
        <v>5680</v>
      </c>
      <c r="G777" s="375" t="s">
        <v>5680</v>
      </c>
      <c r="H777" s="375" t="s">
        <v>1388</v>
      </c>
      <c r="I777" s="375" t="s">
        <v>869</v>
      </c>
      <c r="J777" s="375">
        <v>447392.25394999998</v>
      </c>
      <c r="K777" s="375">
        <v>25655.751179999999</v>
      </c>
      <c r="L777" s="375">
        <v>15687.209140000001</v>
      </c>
      <c r="M777" s="375">
        <v>212507.89775</v>
      </c>
      <c r="N777" s="372">
        <v>0.60099999999999998</v>
      </c>
      <c r="O777" s="703">
        <v>62.563619090949096</v>
      </c>
      <c r="P777" s="375" t="s">
        <v>623</v>
      </c>
      <c r="Q777" s="375" t="s">
        <v>623</v>
      </c>
      <c r="R777" s="695">
        <v>20041117</v>
      </c>
      <c r="S777" s="375" t="s">
        <v>5681</v>
      </c>
      <c r="T777" s="696">
        <v>0.20900000000000002</v>
      </c>
      <c r="U777" s="375" t="s">
        <v>5682</v>
      </c>
      <c r="V777" s="722">
        <v>9.83</v>
      </c>
      <c r="W777" s="722">
        <v>1.35</v>
      </c>
      <c r="X777" s="722">
        <v>0.6</v>
      </c>
      <c r="Y777" s="722">
        <v>23.1</v>
      </c>
      <c r="Z777" s="382">
        <v>0.17576198275727983</v>
      </c>
      <c r="AA777" s="372">
        <v>2727.5112063000001</v>
      </c>
      <c r="AB777" s="372">
        <v>2633.9292822000002</v>
      </c>
      <c r="AC777" s="372">
        <v>3282.1911659000002</v>
      </c>
      <c r="AD777" s="372">
        <v>4473.9225395000003</v>
      </c>
      <c r="AE777" s="372">
        <v>6419.8</v>
      </c>
      <c r="AF777" s="372">
        <v>7478.25</v>
      </c>
      <c r="AG777" s="372">
        <v>8550</v>
      </c>
      <c r="AH777" s="372">
        <v>0</v>
      </c>
    </row>
    <row r="778" spans="1:34">
      <c r="A778" s="372" t="s">
        <v>5683</v>
      </c>
      <c r="B778" s="373" t="s">
        <v>5684</v>
      </c>
      <c r="C778" s="372" t="s">
        <v>5685</v>
      </c>
      <c r="D778" s="374">
        <v>1101111521700</v>
      </c>
      <c r="E778" s="372" t="s">
        <v>5686</v>
      </c>
      <c r="F778" s="375" t="s">
        <v>1814</v>
      </c>
      <c r="G778" s="375" t="s">
        <v>2821</v>
      </c>
      <c r="H778" s="375" t="s">
        <v>1693</v>
      </c>
      <c r="I778" s="375" t="s">
        <v>869</v>
      </c>
      <c r="J778" s="375">
        <v>280222.09149000002</v>
      </c>
      <c r="K778" s="375">
        <v>33683.78024</v>
      </c>
      <c r="L778" s="375">
        <v>36397.281799999997</v>
      </c>
      <c r="M778" s="375">
        <v>173103.92697</v>
      </c>
      <c r="N778" s="372">
        <v>0.81599999999999995</v>
      </c>
      <c r="O778" s="703">
        <v>15.33053541601026</v>
      </c>
      <c r="P778" s="375" t="s">
        <v>623</v>
      </c>
      <c r="Q778" s="375" t="s">
        <v>623</v>
      </c>
      <c r="R778" s="695">
        <v>20011016</v>
      </c>
      <c r="S778" s="375" t="s">
        <v>5687</v>
      </c>
      <c r="T778" s="696">
        <v>0.23100000000000001</v>
      </c>
      <c r="U778" s="375" t="s">
        <v>5688</v>
      </c>
      <c r="V778" s="722">
        <v>6.19</v>
      </c>
      <c r="W778" s="722">
        <v>1.27</v>
      </c>
      <c r="X778" s="722">
        <v>0.96</v>
      </c>
      <c r="Y778" s="722">
        <v>9.1999999999999993</v>
      </c>
      <c r="Z778" s="382" t="s">
        <v>934</v>
      </c>
      <c r="AA778" s="372">
        <v>1377.8018429000001</v>
      </c>
      <c r="AB778" s="372">
        <v>1945.0010468999999</v>
      </c>
      <c r="AC778" s="372">
        <v>2421.8294992000001</v>
      </c>
      <c r="AD778" s="372">
        <v>2802.2209149</v>
      </c>
      <c r="AE778" s="372">
        <v>3568</v>
      </c>
      <c r="AF778" s="372">
        <v>4141</v>
      </c>
      <c r="AG778" s="372">
        <v>0</v>
      </c>
      <c r="AH778" s="372">
        <v>0</v>
      </c>
    </row>
    <row r="779" spans="1:34">
      <c r="A779" s="372" t="s">
        <v>5689</v>
      </c>
      <c r="B779" s="373" t="s">
        <v>5690</v>
      </c>
      <c r="C779" s="372" t="s">
        <v>5691</v>
      </c>
      <c r="D779" s="374">
        <v>1101111686728</v>
      </c>
      <c r="E779" s="372" t="s">
        <v>5692</v>
      </c>
      <c r="F779" s="372" t="s">
        <v>622</v>
      </c>
      <c r="G779" s="375" t="s">
        <v>622</v>
      </c>
      <c r="H779" s="375" t="s">
        <v>1388</v>
      </c>
      <c r="I779" s="375" t="s">
        <v>869</v>
      </c>
      <c r="J779" s="375">
        <v>26295.374090000001</v>
      </c>
      <c r="K779" s="375">
        <v>46.944490000000002</v>
      </c>
      <c r="L779" s="375">
        <v>-48287.649810000003</v>
      </c>
      <c r="M779" s="375">
        <v>63485.739990000002</v>
      </c>
      <c r="N779" s="372">
        <v>0.92400000000000004</v>
      </c>
      <c r="O779" s="703">
        <v>8.7348048909138551</v>
      </c>
      <c r="P779" s="375" t="s">
        <v>623</v>
      </c>
      <c r="Q779" s="372" t="s">
        <v>623</v>
      </c>
      <c r="R779" s="695">
        <v>20010727</v>
      </c>
      <c r="S779" s="372" t="s">
        <v>5693</v>
      </c>
      <c r="T779" s="696" t="s">
        <v>772</v>
      </c>
      <c r="U779" s="372" t="s">
        <v>16029</v>
      </c>
      <c r="V779" s="722">
        <v>507.77</v>
      </c>
      <c r="W779" s="722">
        <v>2.5099999999999998</v>
      </c>
      <c r="X779" s="722">
        <v>5.72</v>
      </c>
      <c r="Y779" s="722" t="s">
        <v>774</v>
      </c>
      <c r="Z779" s="382" t="s">
        <v>934</v>
      </c>
      <c r="AA779" s="372">
        <v>107.55435319999999</v>
      </c>
      <c r="AB779" s="372">
        <v>130.31342079999999</v>
      </c>
      <c r="AC779" s="372">
        <v>266.05838999999997</v>
      </c>
      <c r="AD779" s="372">
        <v>262.95374090000001</v>
      </c>
      <c r="AE779" s="372">
        <v>0</v>
      </c>
      <c r="AF779" s="372">
        <v>0</v>
      </c>
      <c r="AG779" s="372">
        <v>0</v>
      </c>
      <c r="AH779" s="372">
        <v>0</v>
      </c>
    </row>
    <row r="780" spans="1:34">
      <c r="A780" s="372" t="s">
        <v>5694</v>
      </c>
      <c r="B780" s="373" t="s">
        <v>5695</v>
      </c>
      <c r="C780" s="372" t="s">
        <v>5696</v>
      </c>
      <c r="D780" s="374">
        <v>1801110015932</v>
      </c>
      <c r="E780" s="372" t="s">
        <v>5697</v>
      </c>
      <c r="F780" s="375" t="s">
        <v>1472</v>
      </c>
      <c r="G780" s="375" t="s">
        <v>5698</v>
      </c>
      <c r="H780" s="375" t="s">
        <v>916</v>
      </c>
      <c r="I780" s="375" t="s">
        <v>755</v>
      </c>
      <c r="J780" s="375">
        <v>1141950.04742</v>
      </c>
      <c r="K780" s="375">
        <v>28656.23746</v>
      </c>
      <c r="L780" s="375">
        <v>82035.491179999997</v>
      </c>
      <c r="M780" s="375">
        <v>1058236.50318</v>
      </c>
      <c r="N780" s="372">
        <v>1.2350000000000001</v>
      </c>
      <c r="O780" s="703">
        <v>45.060891114439613</v>
      </c>
      <c r="P780" s="375" t="s">
        <v>623</v>
      </c>
      <c r="Q780" s="372" t="s">
        <v>623</v>
      </c>
      <c r="R780" s="695">
        <v>19770519</v>
      </c>
      <c r="S780" s="372" t="s">
        <v>5699</v>
      </c>
      <c r="T780" s="696">
        <v>0.23100000000000001</v>
      </c>
      <c r="U780" s="372" t="s">
        <v>5700</v>
      </c>
      <c r="V780" s="722">
        <v>3.91</v>
      </c>
      <c r="W780" s="722">
        <v>0.26</v>
      </c>
      <c r="X780" s="722">
        <v>0.25</v>
      </c>
      <c r="Y780" s="722">
        <v>4.03</v>
      </c>
      <c r="Z780" s="382" t="s">
        <v>934</v>
      </c>
      <c r="AA780" s="372">
        <v>8422.3865265999993</v>
      </c>
      <c r="AB780" s="372">
        <v>10577.094120399999</v>
      </c>
      <c r="AC780" s="372">
        <v>12903.505858099999</v>
      </c>
      <c r="AD780" s="372">
        <v>11419.5004742</v>
      </c>
      <c r="AE780" s="372">
        <v>0</v>
      </c>
      <c r="AF780" s="372">
        <v>0</v>
      </c>
      <c r="AG780" s="372">
        <v>0</v>
      </c>
      <c r="AH780" s="372">
        <v>0</v>
      </c>
    </row>
    <row r="781" spans="1:34">
      <c r="A781" s="372" t="s">
        <v>5701</v>
      </c>
      <c r="B781" s="373" t="s">
        <v>5702</v>
      </c>
      <c r="C781" s="372" t="s">
        <v>5703</v>
      </c>
      <c r="D781" s="374">
        <v>1101110031338</v>
      </c>
      <c r="E781" s="372" t="s">
        <v>5704</v>
      </c>
      <c r="F781" s="375" t="s">
        <v>900</v>
      </c>
      <c r="G781" s="375" t="s">
        <v>901</v>
      </c>
      <c r="H781" s="375" t="s">
        <v>862</v>
      </c>
      <c r="I781" s="375" t="s">
        <v>755</v>
      </c>
      <c r="J781" s="375">
        <v>1841113.6993199999</v>
      </c>
      <c r="K781" s="375">
        <v>60062.636100000003</v>
      </c>
      <c r="L781" s="375">
        <v>525059.82279999997</v>
      </c>
      <c r="M781" s="375">
        <v>1777312.9513699999</v>
      </c>
      <c r="N781" s="372">
        <v>1.5209999999999999</v>
      </c>
      <c r="O781" s="703">
        <v>92.308496552467332</v>
      </c>
      <c r="P781" s="375" t="s">
        <v>623</v>
      </c>
      <c r="Q781" s="375" t="s">
        <v>623</v>
      </c>
      <c r="R781" s="695">
        <v>19880509</v>
      </c>
      <c r="S781" s="375" t="s">
        <v>5705</v>
      </c>
      <c r="T781" s="696">
        <v>0.26400000000000001</v>
      </c>
      <c r="U781" s="375" t="s">
        <v>5706</v>
      </c>
      <c r="V781" s="722">
        <v>2.68</v>
      </c>
      <c r="W781" s="722">
        <v>0.17</v>
      </c>
      <c r="X781" s="722">
        <v>0.25</v>
      </c>
      <c r="Y781" s="722">
        <v>2.0299999999999998</v>
      </c>
      <c r="Z781" s="382" t="s">
        <v>934</v>
      </c>
      <c r="AA781" s="372">
        <v>52061.915613099998</v>
      </c>
      <c r="AB781" s="372">
        <v>72402.965311000007</v>
      </c>
      <c r="AC781" s="372">
        <v>20989.1239288</v>
      </c>
      <c r="AD781" s="372">
        <v>18411.136993200002</v>
      </c>
      <c r="AE781" s="372">
        <v>80711.67</v>
      </c>
      <c r="AF781" s="372">
        <v>83610</v>
      </c>
      <c r="AG781" s="372">
        <v>0</v>
      </c>
      <c r="AH781" s="372">
        <v>0</v>
      </c>
    </row>
    <row r="782" spans="1:34">
      <c r="A782" s="372" t="s">
        <v>5707</v>
      </c>
      <c r="B782" s="373" t="s">
        <v>5708</v>
      </c>
      <c r="C782" s="372" t="s">
        <v>5709</v>
      </c>
      <c r="D782" s="374">
        <v>1311110002409</v>
      </c>
      <c r="E782" s="372" t="s">
        <v>5710</v>
      </c>
      <c r="F782" s="375" t="s">
        <v>1259</v>
      </c>
      <c r="G782" s="375" t="s">
        <v>1259</v>
      </c>
      <c r="H782" s="375" t="s">
        <v>788</v>
      </c>
      <c r="I782" s="375" t="s">
        <v>755</v>
      </c>
      <c r="J782" s="375">
        <v>224456.85081</v>
      </c>
      <c r="K782" s="375">
        <v>27031.448550000001</v>
      </c>
      <c r="L782" s="375">
        <v>27906.95607</v>
      </c>
      <c r="M782" s="375">
        <v>277984.88863</v>
      </c>
      <c r="N782" s="372">
        <v>0.59899999999999998</v>
      </c>
      <c r="O782" s="703">
        <v>11.531945619916758</v>
      </c>
      <c r="P782" s="375" t="s">
        <v>623</v>
      </c>
      <c r="Q782" s="372" t="s">
        <v>623</v>
      </c>
      <c r="R782" s="695">
        <v>20181002</v>
      </c>
      <c r="S782" s="375" t="s">
        <v>5711</v>
      </c>
      <c r="T782" s="696">
        <v>0.23100000000000001</v>
      </c>
      <c r="U782" s="372" t="s">
        <v>5712</v>
      </c>
      <c r="V782" s="722">
        <v>0</v>
      </c>
      <c r="W782" s="722">
        <v>0.86</v>
      </c>
      <c r="X782" s="722">
        <v>0</v>
      </c>
      <c r="Y782" s="722">
        <v>0</v>
      </c>
      <c r="Z782" s="382" t="s">
        <v>934</v>
      </c>
      <c r="AA782" s="372">
        <v>1773.0550403</v>
      </c>
      <c r="AB782" s="372">
        <v>1964.0657094999999</v>
      </c>
      <c r="AC782" s="372">
        <v>2108.4499215999999</v>
      </c>
      <c r="AD782" s="372">
        <v>2244.5685081000001</v>
      </c>
      <c r="AE782" s="372">
        <v>0</v>
      </c>
      <c r="AF782" s="372">
        <v>0</v>
      </c>
      <c r="AG782" s="372">
        <v>0</v>
      </c>
      <c r="AH782" s="372">
        <v>0</v>
      </c>
    </row>
    <row r="783" spans="1:34">
      <c r="A783" s="372" t="s">
        <v>5713</v>
      </c>
      <c r="B783" s="373" t="s">
        <v>5714</v>
      </c>
      <c r="C783" s="372" t="s">
        <v>5715</v>
      </c>
      <c r="D783" s="374">
        <v>1101110532633</v>
      </c>
      <c r="E783" s="372" t="s">
        <v>5716</v>
      </c>
      <c r="F783" s="375" t="s">
        <v>5717</v>
      </c>
      <c r="G783" s="375" t="s">
        <v>5717</v>
      </c>
      <c r="H783" s="375" t="s">
        <v>853</v>
      </c>
      <c r="I783" s="375" t="s">
        <v>755</v>
      </c>
      <c r="J783" s="375">
        <v>2610137.0303500001</v>
      </c>
      <c r="K783" s="375">
        <v>8223.0205000000005</v>
      </c>
      <c r="L783" s="375">
        <v>-30127.765630000002</v>
      </c>
      <c r="M783" s="375">
        <v>1249790.1240600001</v>
      </c>
      <c r="N783" s="372">
        <v>1.048</v>
      </c>
      <c r="O783" s="703">
        <v>377.07786045213936</v>
      </c>
      <c r="P783" s="375" t="s">
        <v>623</v>
      </c>
      <c r="Q783" s="372" t="s">
        <v>623</v>
      </c>
      <c r="R783" s="695">
        <v>20110629</v>
      </c>
      <c r="S783" s="372" t="s">
        <v>5718</v>
      </c>
      <c r="T783" s="696" t="s">
        <v>772</v>
      </c>
      <c r="U783" s="372" t="s">
        <v>5719</v>
      </c>
      <c r="V783" s="722">
        <v>0</v>
      </c>
      <c r="W783" s="722">
        <v>0.19</v>
      </c>
      <c r="X783" s="722">
        <v>0</v>
      </c>
      <c r="Y783" s="722">
        <v>0</v>
      </c>
      <c r="Z783" s="382" t="s">
        <v>934</v>
      </c>
      <c r="AA783" s="372">
        <v>40517.2908618</v>
      </c>
      <c r="AB783" s="372">
        <v>38697.4865145</v>
      </c>
      <c r="AC783" s="372">
        <v>33368.208507800002</v>
      </c>
      <c r="AD783" s="372">
        <v>26101.3703035</v>
      </c>
      <c r="AE783" s="372">
        <v>0</v>
      </c>
      <c r="AF783" s="372">
        <v>0</v>
      </c>
      <c r="AG783" s="372">
        <v>0</v>
      </c>
      <c r="AH783" s="372">
        <v>0</v>
      </c>
    </row>
    <row r="784" spans="1:34">
      <c r="A784" s="372" t="s">
        <v>5720</v>
      </c>
      <c r="B784" s="373" t="s">
        <v>5721</v>
      </c>
      <c r="C784" s="372" t="s">
        <v>5722</v>
      </c>
      <c r="D784" s="374">
        <v>1101113581075</v>
      </c>
      <c r="E784" s="372" t="s">
        <v>5723</v>
      </c>
      <c r="F784" s="375" t="s">
        <v>5182</v>
      </c>
      <c r="G784" s="375" t="s">
        <v>5183</v>
      </c>
      <c r="H784" s="375" t="s">
        <v>3127</v>
      </c>
      <c r="I784" s="375" t="s">
        <v>869</v>
      </c>
      <c r="J784" s="375">
        <v>175414.37627000001</v>
      </c>
      <c r="K784" s="375">
        <v>26349.934789999999</v>
      </c>
      <c r="L784" s="375">
        <v>25559.648580000001</v>
      </c>
      <c r="M784" s="375">
        <v>102384.34295999999</v>
      </c>
      <c r="N784" s="372">
        <v>1.159</v>
      </c>
      <c r="O784" s="703">
        <v>32.944547859991779</v>
      </c>
      <c r="P784" s="375" t="s">
        <v>623</v>
      </c>
      <c r="Q784" s="375" t="s">
        <v>623</v>
      </c>
      <c r="R784" s="695">
        <v>20070212</v>
      </c>
      <c r="S784" s="375" t="s">
        <v>5724</v>
      </c>
      <c r="T784" s="696">
        <v>0.23100000000000001</v>
      </c>
      <c r="U784" s="375" t="s">
        <v>5725</v>
      </c>
      <c r="V784" s="722">
        <v>7.93</v>
      </c>
      <c r="W784" s="722">
        <v>1.55</v>
      </c>
      <c r="X784" s="722">
        <v>1.1499999999999999</v>
      </c>
      <c r="Y784" s="722">
        <v>9.98</v>
      </c>
      <c r="Z784" s="382" t="s">
        <v>934</v>
      </c>
      <c r="AA784" s="372">
        <v>869.13046599999996</v>
      </c>
      <c r="AB784" s="372">
        <v>1407.2673464</v>
      </c>
      <c r="AC784" s="372">
        <v>1937.6349063</v>
      </c>
      <c r="AD784" s="372">
        <v>1754.1437627</v>
      </c>
      <c r="AE784" s="372">
        <v>2288</v>
      </c>
      <c r="AF784" s="372">
        <v>2440</v>
      </c>
      <c r="AG784" s="372">
        <v>0</v>
      </c>
      <c r="AH784" s="372">
        <v>0</v>
      </c>
    </row>
    <row r="785" spans="1:34">
      <c r="A785" s="372" t="s">
        <v>5726</v>
      </c>
      <c r="B785" s="373" t="s">
        <v>5727</v>
      </c>
      <c r="C785" s="372" t="s">
        <v>5728</v>
      </c>
      <c r="D785" s="374">
        <v>1101111817828</v>
      </c>
      <c r="E785" s="372" t="s">
        <v>5729</v>
      </c>
      <c r="F785" s="372" t="s">
        <v>1300</v>
      </c>
      <c r="G785" s="375" t="s">
        <v>1300</v>
      </c>
      <c r="H785" s="375" t="s">
        <v>868</v>
      </c>
      <c r="I785" s="375" t="s">
        <v>869</v>
      </c>
      <c r="J785" s="375">
        <v>82665.225749999998</v>
      </c>
      <c r="K785" s="375">
        <v>-1862.12682</v>
      </c>
      <c r="L785" s="375">
        <v>549.62400000000002</v>
      </c>
      <c r="M785" s="375">
        <v>92184.780799999993</v>
      </c>
      <c r="N785" s="372">
        <v>1.3640000000000001</v>
      </c>
      <c r="O785" s="703">
        <v>4.4888488844053169</v>
      </c>
      <c r="P785" s="375" t="s">
        <v>623</v>
      </c>
      <c r="Q785" s="375" t="s">
        <v>623</v>
      </c>
      <c r="R785" s="695">
        <v>20061205</v>
      </c>
      <c r="S785" s="375" t="s">
        <v>5730</v>
      </c>
      <c r="T785" s="696">
        <v>0.20900000000000002</v>
      </c>
      <c r="U785" s="375" t="s">
        <v>5731</v>
      </c>
      <c r="V785" s="722">
        <v>190.03</v>
      </c>
      <c r="W785" s="722">
        <v>3.77</v>
      </c>
      <c r="X785" s="722">
        <v>2.88</v>
      </c>
      <c r="Y785" s="722" t="s">
        <v>774</v>
      </c>
      <c r="Z785" s="382" t="s">
        <v>934</v>
      </c>
      <c r="AA785" s="372">
        <v>207.29242429999999</v>
      </c>
      <c r="AB785" s="372">
        <v>273.16055219999998</v>
      </c>
      <c r="AC785" s="372">
        <v>554.74362629999996</v>
      </c>
      <c r="AD785" s="372">
        <v>826.65225750000002</v>
      </c>
      <c r="AE785" s="372">
        <v>0</v>
      </c>
      <c r="AF785" s="372">
        <v>0</v>
      </c>
      <c r="AG785" s="372">
        <v>0</v>
      </c>
      <c r="AH785" s="372">
        <v>0</v>
      </c>
    </row>
    <row r="786" spans="1:34">
      <c r="A786" s="372" t="s">
        <v>5732</v>
      </c>
      <c r="B786" s="373" t="s">
        <v>5733</v>
      </c>
      <c r="C786" s="372" t="s">
        <v>5734</v>
      </c>
      <c r="D786" s="374">
        <v>1101110400377</v>
      </c>
      <c r="E786" s="372" t="s">
        <v>5735</v>
      </c>
      <c r="F786" s="375" t="s">
        <v>1592</v>
      </c>
      <c r="G786" s="375" t="s">
        <v>1593</v>
      </c>
      <c r="H786" s="375" t="s">
        <v>868</v>
      </c>
      <c r="I786" s="375" t="s">
        <v>869</v>
      </c>
      <c r="J786" s="375">
        <v>439386.98512999999</v>
      </c>
      <c r="K786" s="375">
        <v>124131.72908</v>
      </c>
      <c r="L786" s="375">
        <v>137144.12805</v>
      </c>
      <c r="M786" s="375">
        <v>574988.11277999997</v>
      </c>
      <c r="N786" s="372">
        <v>1.1359999999999999</v>
      </c>
      <c r="O786" s="703">
        <v>6.2042533908323696</v>
      </c>
      <c r="P786" s="375" t="s">
        <v>623</v>
      </c>
      <c r="Q786" s="375" t="s">
        <v>623</v>
      </c>
      <c r="R786" s="695">
        <v>19960426</v>
      </c>
      <c r="S786" s="375" t="s">
        <v>5736</v>
      </c>
      <c r="T786" s="696">
        <v>0.23100000000000001</v>
      </c>
      <c r="U786" s="375" t="s">
        <v>5737</v>
      </c>
      <c r="V786" s="722">
        <v>1.17</v>
      </c>
      <c r="W786" s="722">
        <v>0.42</v>
      </c>
      <c r="X786" s="722">
        <v>0.56000000000000005</v>
      </c>
      <c r="Y786" s="722">
        <v>2.06</v>
      </c>
      <c r="Z786" s="382" t="s">
        <v>934</v>
      </c>
      <c r="AA786" s="372">
        <v>1164.5449596000001</v>
      </c>
      <c r="AB786" s="372">
        <v>2099.2769542000001</v>
      </c>
      <c r="AC786" s="372">
        <v>3376.9060414</v>
      </c>
      <c r="AD786" s="372">
        <v>4393.8698512999999</v>
      </c>
      <c r="AE786" s="372">
        <v>0</v>
      </c>
      <c r="AF786" s="372">
        <v>0</v>
      </c>
      <c r="AG786" s="372">
        <v>0</v>
      </c>
      <c r="AH786" s="372">
        <v>0</v>
      </c>
    </row>
    <row r="787" spans="1:34">
      <c r="A787" s="372" t="s">
        <v>5738</v>
      </c>
      <c r="B787" s="373" t="s">
        <v>5739</v>
      </c>
      <c r="C787" s="372" t="s">
        <v>5740</v>
      </c>
      <c r="D787" s="374">
        <v>1101111195109</v>
      </c>
      <c r="E787" s="372" t="s">
        <v>5741</v>
      </c>
      <c r="F787" s="375" t="s">
        <v>5742</v>
      </c>
      <c r="G787" s="375" t="s">
        <v>5742</v>
      </c>
      <c r="H787" s="375" t="s">
        <v>868</v>
      </c>
      <c r="I787" s="375" t="s">
        <v>869</v>
      </c>
      <c r="J787" s="375">
        <v>112334.97696</v>
      </c>
      <c r="K787" s="375">
        <v>3561.6855599999999</v>
      </c>
      <c r="L787" s="375">
        <v>8384.7128300000004</v>
      </c>
      <c r="M787" s="375">
        <v>121755.39117</v>
      </c>
      <c r="N787" s="372">
        <v>1.0640000000000001</v>
      </c>
      <c r="O787" s="703">
        <v>35.881742587921309</v>
      </c>
      <c r="P787" s="375" t="s">
        <v>623</v>
      </c>
      <c r="Q787" s="375" t="s">
        <v>623</v>
      </c>
      <c r="R787" s="695">
        <v>20010515</v>
      </c>
      <c r="S787" s="375" t="s">
        <v>5743</v>
      </c>
      <c r="T787" s="696">
        <v>0.20900000000000002</v>
      </c>
      <c r="U787" s="375" t="s">
        <v>5744</v>
      </c>
      <c r="V787" s="722">
        <v>50.29</v>
      </c>
      <c r="W787" s="722">
        <v>1.98</v>
      </c>
      <c r="X787" s="722">
        <v>2.15</v>
      </c>
      <c r="Y787" s="722">
        <v>22.45</v>
      </c>
      <c r="Z787" s="382" t="s">
        <v>934</v>
      </c>
      <c r="AA787" s="372">
        <v>1134.0059401999999</v>
      </c>
      <c r="AB787" s="372">
        <v>1162.5275211000001</v>
      </c>
      <c r="AC787" s="372">
        <v>1055.4771707</v>
      </c>
      <c r="AD787" s="372">
        <v>1123.3497695999999</v>
      </c>
      <c r="AE787" s="372">
        <v>0</v>
      </c>
      <c r="AF787" s="372">
        <v>0</v>
      </c>
      <c r="AG787" s="372">
        <v>0</v>
      </c>
      <c r="AH787" s="372">
        <v>0</v>
      </c>
    </row>
    <row r="788" spans="1:34">
      <c r="A788" s="372" t="s">
        <v>5745</v>
      </c>
      <c r="B788" s="373" t="s">
        <v>5746</v>
      </c>
      <c r="C788" s="372" t="s">
        <v>5747</v>
      </c>
      <c r="D788" s="374">
        <v>1101111125289</v>
      </c>
      <c r="E788" s="372" t="s">
        <v>5748</v>
      </c>
      <c r="F788" s="375" t="s">
        <v>1592</v>
      </c>
      <c r="G788" s="375" t="s">
        <v>1593</v>
      </c>
      <c r="H788" s="375" t="s">
        <v>868</v>
      </c>
      <c r="I788" s="375" t="s">
        <v>869</v>
      </c>
      <c r="J788" s="375">
        <v>22859.151300000001</v>
      </c>
      <c r="K788" s="375">
        <v>-35826.848480000001</v>
      </c>
      <c r="L788" s="375">
        <v>-42560.555269999997</v>
      </c>
      <c r="M788" s="375">
        <v>68948.563469999994</v>
      </c>
      <c r="N788" s="372">
        <v>0.58199999999999996</v>
      </c>
      <c r="O788" s="703">
        <v>10.83970986490049</v>
      </c>
      <c r="P788" s="375" t="s">
        <v>623</v>
      </c>
      <c r="Q788" s="372" t="s">
        <v>623</v>
      </c>
      <c r="R788" s="695">
        <v>20080715</v>
      </c>
      <c r="S788" s="372" t="s">
        <v>5749</v>
      </c>
      <c r="T788" s="696" t="s">
        <v>772</v>
      </c>
      <c r="U788" s="372" t="s">
        <v>5750</v>
      </c>
      <c r="V788" s="722">
        <v>0</v>
      </c>
      <c r="W788" s="722">
        <v>4.3099999999999996</v>
      </c>
      <c r="X788" s="722">
        <v>0</v>
      </c>
      <c r="Y788" s="722">
        <v>0</v>
      </c>
      <c r="Z788" s="382" t="s">
        <v>934</v>
      </c>
      <c r="AA788" s="372">
        <v>130.1220093</v>
      </c>
      <c r="AB788" s="372">
        <v>179.54149630000001</v>
      </c>
      <c r="AC788" s="372">
        <v>114.8088643</v>
      </c>
      <c r="AD788" s="372">
        <v>228.59151299999999</v>
      </c>
      <c r="AE788" s="372">
        <v>0</v>
      </c>
      <c r="AF788" s="372">
        <v>0</v>
      </c>
      <c r="AG788" s="372">
        <v>0</v>
      </c>
      <c r="AH788" s="372">
        <v>0</v>
      </c>
    </row>
    <row r="789" spans="1:34">
      <c r="A789" s="372" t="s">
        <v>5751</v>
      </c>
      <c r="B789" s="373" t="s">
        <v>5752</v>
      </c>
      <c r="C789" s="372" t="s">
        <v>5753</v>
      </c>
      <c r="D789" s="374">
        <v>1101110027569</v>
      </c>
      <c r="E789" s="372" t="s">
        <v>5754</v>
      </c>
      <c r="F789" s="372" t="s">
        <v>5755</v>
      </c>
      <c r="G789" s="375" t="s">
        <v>5756</v>
      </c>
      <c r="H789" s="375" t="s">
        <v>853</v>
      </c>
      <c r="I789" s="375" t="s">
        <v>755</v>
      </c>
      <c r="J789" s="375">
        <v>476810.21600000001</v>
      </c>
      <c r="K789" s="375">
        <v>17182.27591</v>
      </c>
      <c r="L789" s="375">
        <v>62030.272700000001</v>
      </c>
      <c r="M789" s="375">
        <v>555611.48768999998</v>
      </c>
      <c r="N789" s="372">
        <v>0.60099999999999998</v>
      </c>
      <c r="O789" s="703">
        <v>9.6090164768808197</v>
      </c>
      <c r="P789" s="375" t="s">
        <v>623</v>
      </c>
      <c r="Q789" s="375" t="s">
        <v>623</v>
      </c>
      <c r="R789" s="695">
        <v>19880328</v>
      </c>
      <c r="S789" s="375" t="s">
        <v>5757</v>
      </c>
      <c r="T789" s="696">
        <v>0.23100000000000001</v>
      </c>
      <c r="U789" s="375" t="s">
        <v>5758</v>
      </c>
      <c r="V789" s="722">
        <v>10.86</v>
      </c>
      <c r="W789" s="722">
        <v>0.45</v>
      </c>
      <c r="X789" s="722">
        <v>0.48</v>
      </c>
      <c r="Y789" s="722">
        <v>4.57</v>
      </c>
      <c r="Z789" s="382" t="s">
        <v>934</v>
      </c>
      <c r="AA789" s="372">
        <v>3924.3584793</v>
      </c>
      <c r="AB789" s="372">
        <v>4670.3328204999998</v>
      </c>
      <c r="AC789" s="372">
        <v>4925.1278149</v>
      </c>
      <c r="AD789" s="372">
        <v>4768.1021600000004</v>
      </c>
      <c r="AE789" s="372">
        <v>5356</v>
      </c>
      <c r="AF789" s="372">
        <v>0</v>
      </c>
      <c r="AG789" s="372">
        <v>0</v>
      </c>
      <c r="AH789" s="372">
        <v>0</v>
      </c>
    </row>
    <row r="790" spans="1:34">
      <c r="A790" s="372" t="s">
        <v>5759</v>
      </c>
      <c r="B790" s="373" t="s">
        <v>5760</v>
      </c>
      <c r="C790" s="372" t="s">
        <v>5761</v>
      </c>
      <c r="D790" s="374">
        <v>1358110177957</v>
      </c>
      <c r="E790" s="372" t="s">
        <v>5762</v>
      </c>
      <c r="F790" s="375" t="s">
        <v>1124</v>
      </c>
      <c r="G790" s="375" t="s">
        <v>1347</v>
      </c>
      <c r="H790" s="375" t="s">
        <v>1348</v>
      </c>
      <c r="I790" s="375" t="s">
        <v>869</v>
      </c>
      <c r="J790" s="375">
        <v>17064.275440000001</v>
      </c>
      <c r="K790" s="375">
        <v>-18185.34218</v>
      </c>
      <c r="L790" s="375">
        <v>-18169.62385</v>
      </c>
      <c r="M790" s="375">
        <v>50335.955130000002</v>
      </c>
      <c r="N790" s="372">
        <v>0.86699999999999999</v>
      </c>
      <c r="O790" s="703">
        <v>15.197544506319346</v>
      </c>
      <c r="P790" s="375" t="s">
        <v>623</v>
      </c>
      <c r="Q790" s="375" t="s">
        <v>623</v>
      </c>
      <c r="R790" s="695">
        <v>20180718</v>
      </c>
      <c r="S790" s="375" t="s">
        <v>5763</v>
      </c>
      <c r="T790" s="696" t="s">
        <v>772</v>
      </c>
      <c r="U790" s="372" t="s">
        <v>5764</v>
      </c>
      <c r="V790" s="722" t="s">
        <v>774</v>
      </c>
      <c r="W790" s="722">
        <v>4.9400000000000004</v>
      </c>
      <c r="X790" s="722">
        <v>14.33</v>
      </c>
      <c r="Y790" s="722" t="s">
        <v>774</v>
      </c>
      <c r="Z790" s="382" t="s">
        <v>934</v>
      </c>
      <c r="AA790" s="372">
        <v>24.742720899999998</v>
      </c>
      <c r="AB790" s="372">
        <v>36.743567599999999</v>
      </c>
      <c r="AC790" s="372">
        <v>93.203236399999994</v>
      </c>
      <c r="AD790" s="372">
        <v>170.6427544</v>
      </c>
      <c r="AE790" s="372">
        <v>0</v>
      </c>
      <c r="AF790" s="372">
        <v>0</v>
      </c>
      <c r="AG790" s="372">
        <v>0</v>
      </c>
      <c r="AH790" s="372">
        <v>0</v>
      </c>
    </row>
    <row r="791" spans="1:34">
      <c r="A791" s="372" t="s">
        <v>5765</v>
      </c>
      <c r="B791" s="373" t="s">
        <v>5766</v>
      </c>
      <c r="C791" s="372" t="s">
        <v>5767</v>
      </c>
      <c r="D791" s="374">
        <v>1311110541069</v>
      </c>
      <c r="E791" s="372" t="s">
        <v>5768</v>
      </c>
      <c r="F791" s="375" t="s">
        <v>1673</v>
      </c>
      <c r="G791" s="375" t="s">
        <v>2391</v>
      </c>
      <c r="H791" s="375" t="s">
        <v>1388</v>
      </c>
      <c r="I791" s="375" t="s">
        <v>869</v>
      </c>
      <c r="J791" s="375">
        <v>16154.13264</v>
      </c>
      <c r="K791" s="375">
        <v>-22516.72048</v>
      </c>
      <c r="L791" s="375">
        <v>-28068.067709999999</v>
      </c>
      <c r="M791" s="375">
        <v>29337.10324</v>
      </c>
      <c r="N791" s="372">
        <v>0.99299999999999999</v>
      </c>
      <c r="O791" s="703">
        <v>12.273845949181199</v>
      </c>
      <c r="P791" s="375" t="s">
        <v>623</v>
      </c>
      <c r="Q791" s="375" t="s">
        <v>623</v>
      </c>
      <c r="R791" s="695">
        <v>20220701</v>
      </c>
      <c r="S791" s="375" t="s">
        <v>5769</v>
      </c>
      <c r="T791" s="696" t="s">
        <v>772</v>
      </c>
      <c r="U791" s="375" t="s">
        <v>5770</v>
      </c>
      <c r="V791" s="722">
        <v>0</v>
      </c>
      <c r="W791" s="722">
        <v>11.44</v>
      </c>
      <c r="X791" s="722">
        <v>0</v>
      </c>
      <c r="Y791" s="722">
        <v>0</v>
      </c>
      <c r="Z791" s="382" t="s">
        <v>934</v>
      </c>
      <c r="AA791" s="372">
        <v>103.82892409999999</v>
      </c>
      <c r="AB791" s="372">
        <v>244.69248780000001</v>
      </c>
      <c r="AC791" s="372">
        <v>128.69167160000001</v>
      </c>
      <c r="AD791" s="372">
        <v>161.5413264</v>
      </c>
      <c r="AE791" s="372">
        <v>0</v>
      </c>
      <c r="AF791" s="372">
        <v>0</v>
      </c>
      <c r="AG791" s="372">
        <v>0</v>
      </c>
      <c r="AH791" s="372">
        <v>0</v>
      </c>
    </row>
    <row r="792" spans="1:34">
      <c r="A792" s="372" t="s">
        <v>5771</v>
      </c>
      <c r="B792" s="373" t="s">
        <v>5772</v>
      </c>
      <c r="C792" s="372" t="s">
        <v>5773</v>
      </c>
      <c r="D792" s="374">
        <v>1101111423576</v>
      </c>
      <c r="E792" s="372" t="s">
        <v>5774</v>
      </c>
      <c r="F792" s="375" t="s">
        <v>2742</v>
      </c>
      <c r="G792" s="375" t="s">
        <v>3052</v>
      </c>
      <c r="H792" s="375" t="s">
        <v>1348</v>
      </c>
      <c r="I792" s="375" t="s">
        <v>869</v>
      </c>
      <c r="J792" s="375">
        <v>132803.13151000001</v>
      </c>
      <c r="K792" s="375">
        <v>-423.11523</v>
      </c>
      <c r="L792" s="375">
        <v>-20233.233560000001</v>
      </c>
      <c r="M792" s="375">
        <v>160958.2599</v>
      </c>
      <c r="N792" s="372">
        <v>1.052</v>
      </c>
      <c r="O792" s="703">
        <v>20.562482726786531</v>
      </c>
      <c r="P792" s="375" t="s">
        <v>623</v>
      </c>
      <c r="Q792" s="375" t="s">
        <v>623</v>
      </c>
      <c r="R792" s="695">
        <v>20000218</v>
      </c>
      <c r="S792" s="375" t="s">
        <v>5775</v>
      </c>
      <c r="T792" s="696" t="s">
        <v>772</v>
      </c>
      <c r="U792" s="375" t="s">
        <v>5776</v>
      </c>
      <c r="V792" s="722">
        <v>22.72</v>
      </c>
      <c r="W792" s="722">
        <v>1.24</v>
      </c>
      <c r="X792" s="722">
        <v>1.71</v>
      </c>
      <c r="Y792" s="722" t="s">
        <v>774</v>
      </c>
      <c r="Z792" s="382" t="s">
        <v>934</v>
      </c>
      <c r="AA792" s="372">
        <v>1126.0345385999999</v>
      </c>
      <c r="AB792" s="372">
        <v>1291.7463568000001</v>
      </c>
      <c r="AC792" s="372">
        <v>1386.1748934</v>
      </c>
      <c r="AD792" s="372">
        <v>1328.0313151</v>
      </c>
      <c r="AE792" s="372">
        <v>1480</v>
      </c>
      <c r="AF792" s="372">
        <v>1650</v>
      </c>
      <c r="AG792" s="372">
        <v>0</v>
      </c>
      <c r="AH792" s="372">
        <v>0</v>
      </c>
    </row>
    <row r="793" spans="1:34">
      <c r="A793" s="372" t="s">
        <v>5777</v>
      </c>
      <c r="B793" s="373" t="s">
        <v>5778</v>
      </c>
      <c r="C793" s="372" t="s">
        <v>5779</v>
      </c>
      <c r="D793" s="374">
        <v>1101110971873</v>
      </c>
      <c r="E793" s="372" t="s">
        <v>5779</v>
      </c>
      <c r="F793" s="375" t="s">
        <v>5655</v>
      </c>
      <c r="G793" s="375" t="s">
        <v>5655</v>
      </c>
      <c r="H793" s="375" t="s">
        <v>1950</v>
      </c>
      <c r="I793" s="375" t="s">
        <v>869</v>
      </c>
      <c r="J793" s="375">
        <v>130469.56084000001</v>
      </c>
      <c r="K793" s="375">
        <v>-9298.9015799999997</v>
      </c>
      <c r="L793" s="375">
        <v>-4341.64653</v>
      </c>
      <c r="M793" s="375">
        <v>243414.32591000001</v>
      </c>
      <c r="N793" s="372">
        <v>0.54300000000000004</v>
      </c>
      <c r="O793" s="703">
        <v>0.50394349372776637</v>
      </c>
      <c r="P793" s="375" t="s">
        <v>623</v>
      </c>
      <c r="Q793" s="375" t="s">
        <v>623</v>
      </c>
      <c r="R793" s="695">
        <v>20010831</v>
      </c>
      <c r="S793" s="375" t="s">
        <v>5780</v>
      </c>
      <c r="T793" s="696" t="s">
        <v>772</v>
      </c>
      <c r="U793" s="375" t="s">
        <v>5781</v>
      </c>
      <c r="V793" s="722">
        <v>0</v>
      </c>
      <c r="W793" s="722">
        <v>1.04</v>
      </c>
      <c r="X793" s="722">
        <v>0</v>
      </c>
      <c r="Y793" s="722">
        <v>0</v>
      </c>
      <c r="Z793" s="382" t="s">
        <v>934</v>
      </c>
      <c r="AA793" s="372">
        <v>1331.0217209</v>
      </c>
      <c r="AB793" s="372">
        <v>1451.5036653</v>
      </c>
      <c r="AC793" s="372">
        <v>1521.9129602999999</v>
      </c>
      <c r="AD793" s="372">
        <v>1304.6956084000001</v>
      </c>
      <c r="AE793" s="372">
        <v>0</v>
      </c>
      <c r="AF793" s="372">
        <v>0</v>
      </c>
      <c r="AG793" s="372">
        <v>0</v>
      </c>
      <c r="AH793" s="372">
        <v>0</v>
      </c>
    </row>
    <row r="794" spans="1:34">
      <c r="A794" s="372" t="s">
        <v>5782</v>
      </c>
      <c r="B794" s="373" t="s">
        <v>5783</v>
      </c>
      <c r="C794" s="372" t="s">
        <v>5784</v>
      </c>
      <c r="D794" s="374">
        <v>1101111530959</v>
      </c>
      <c r="E794" s="372" t="s">
        <v>5785</v>
      </c>
      <c r="F794" s="375" t="s">
        <v>1768</v>
      </c>
      <c r="G794" s="375" t="s">
        <v>1768</v>
      </c>
      <c r="H794" s="375" t="s">
        <v>868</v>
      </c>
      <c r="I794" s="375" t="s">
        <v>869</v>
      </c>
      <c r="J794" s="375">
        <v>83214.793560000006</v>
      </c>
      <c r="K794" s="375">
        <v>14984.59561</v>
      </c>
      <c r="L794" s="375">
        <v>26710.67239</v>
      </c>
      <c r="M794" s="375">
        <v>222587.29034000001</v>
      </c>
      <c r="N794" s="372">
        <v>1.008</v>
      </c>
      <c r="O794" s="703">
        <v>11.483778616996227</v>
      </c>
      <c r="P794" s="375" t="s">
        <v>623</v>
      </c>
      <c r="Q794" s="375" t="s">
        <v>623</v>
      </c>
      <c r="R794" s="695">
        <v>20040811</v>
      </c>
      <c r="S794" s="375" t="s">
        <v>5786</v>
      </c>
      <c r="T794" s="696">
        <v>0.23100000000000001</v>
      </c>
      <c r="U794" s="375" t="s">
        <v>5787</v>
      </c>
      <c r="V794" s="722">
        <v>13.9</v>
      </c>
      <c r="W794" s="722">
        <v>1.27</v>
      </c>
      <c r="X794" s="722">
        <v>2.71</v>
      </c>
      <c r="Y794" s="722">
        <v>97.97</v>
      </c>
      <c r="Z794" s="382" t="s">
        <v>934</v>
      </c>
      <c r="AA794" s="372">
        <v>689.47306409999999</v>
      </c>
      <c r="AB794" s="372">
        <v>307.05403439999998</v>
      </c>
      <c r="AC794" s="372">
        <v>865.39071420000005</v>
      </c>
      <c r="AD794" s="372">
        <v>832.14793559999998</v>
      </c>
      <c r="AE794" s="372">
        <v>0</v>
      </c>
      <c r="AF794" s="372">
        <v>0</v>
      </c>
      <c r="AG794" s="372">
        <v>0</v>
      </c>
      <c r="AH794" s="372">
        <v>0</v>
      </c>
    </row>
    <row r="795" spans="1:34">
      <c r="A795" s="372" t="s">
        <v>5788</v>
      </c>
      <c r="B795" s="373" t="s">
        <v>5789</v>
      </c>
      <c r="C795" s="372" t="s">
        <v>5790</v>
      </c>
      <c r="D795" s="374">
        <v>1101111408867</v>
      </c>
      <c r="E795" s="372" t="s">
        <v>5791</v>
      </c>
      <c r="F795" s="372" t="s">
        <v>982</v>
      </c>
      <c r="G795" s="375" t="s">
        <v>983</v>
      </c>
      <c r="H795" s="375" t="s">
        <v>823</v>
      </c>
      <c r="I795" s="375" t="s">
        <v>755</v>
      </c>
      <c r="J795" s="375">
        <v>618922.93600999995</v>
      </c>
      <c r="K795" s="375">
        <v>39957.882039999997</v>
      </c>
      <c r="L795" s="375">
        <v>38573.012239999996</v>
      </c>
      <c r="M795" s="375">
        <v>382241.04586999997</v>
      </c>
      <c r="N795" s="372">
        <v>0.94399999999999995</v>
      </c>
      <c r="O795" s="703">
        <v>5.2020144986944015</v>
      </c>
      <c r="P795" s="375" t="s">
        <v>623</v>
      </c>
      <c r="Q795" s="375" t="s">
        <v>623</v>
      </c>
      <c r="R795" s="695">
        <v>20001114</v>
      </c>
      <c r="S795" s="375" t="s">
        <v>5792</v>
      </c>
      <c r="T795" s="696">
        <v>0.23100000000000001</v>
      </c>
      <c r="U795" s="375" t="s">
        <v>5793</v>
      </c>
      <c r="V795" s="722">
        <v>3.34</v>
      </c>
      <c r="W795" s="722">
        <v>0.49</v>
      </c>
      <c r="X795" s="722">
        <v>0.34</v>
      </c>
      <c r="Y795" s="722">
        <v>6.84</v>
      </c>
      <c r="Z795" s="382" t="s">
        <v>934</v>
      </c>
      <c r="AA795" s="372">
        <v>4803.0784202000004</v>
      </c>
      <c r="AB795" s="372">
        <v>5260.8904776999998</v>
      </c>
      <c r="AC795" s="372">
        <v>5968.7039481000002</v>
      </c>
      <c r="AD795" s="372">
        <v>6189.2293601000001</v>
      </c>
      <c r="AE795" s="372">
        <v>7258</v>
      </c>
      <c r="AF795" s="372">
        <v>7835</v>
      </c>
      <c r="AG795" s="372">
        <v>0</v>
      </c>
      <c r="AH795" s="372">
        <v>0</v>
      </c>
    </row>
    <row r="796" spans="1:34">
      <c r="A796" s="372" t="s">
        <v>5794</v>
      </c>
      <c r="B796" s="373" t="s">
        <v>5795</v>
      </c>
      <c r="C796" s="372" t="s">
        <v>5796</v>
      </c>
      <c r="D796" s="374">
        <v>1301110008789</v>
      </c>
      <c r="E796" s="372" t="s">
        <v>5797</v>
      </c>
      <c r="F796" s="375" t="s">
        <v>3997</v>
      </c>
      <c r="G796" s="375" t="s">
        <v>3997</v>
      </c>
      <c r="H796" s="375" t="s">
        <v>3998</v>
      </c>
      <c r="I796" s="375" t="s">
        <v>755</v>
      </c>
      <c r="J796" s="375">
        <v>645359.89164000005</v>
      </c>
      <c r="K796" s="375">
        <v>58513.877509999998</v>
      </c>
      <c r="L796" s="375">
        <v>67188.294209999993</v>
      </c>
      <c r="M796" s="375">
        <v>686755.61040999996</v>
      </c>
      <c r="N796" s="372">
        <v>0.53100000000000003</v>
      </c>
      <c r="O796" s="703">
        <v>41.758673241780052</v>
      </c>
      <c r="P796" s="375" t="s">
        <v>623</v>
      </c>
      <c r="Q796" s="375" t="s">
        <v>623</v>
      </c>
      <c r="R796" s="695">
        <v>19951221</v>
      </c>
      <c r="S796" s="375" t="s">
        <v>5798</v>
      </c>
      <c r="T796" s="696">
        <v>0.23100000000000001</v>
      </c>
      <c r="U796" s="375" t="s">
        <v>5799</v>
      </c>
      <c r="V796" s="722">
        <v>3.68</v>
      </c>
      <c r="W796" s="722">
        <v>0.36</v>
      </c>
      <c r="X796" s="722">
        <v>0.35</v>
      </c>
      <c r="Y796" s="722">
        <v>4.7300000000000004</v>
      </c>
      <c r="Z796" s="382" t="s">
        <v>934</v>
      </c>
      <c r="AA796" s="372">
        <v>6092.0500436000002</v>
      </c>
      <c r="AB796" s="372">
        <v>6815.6590533999997</v>
      </c>
      <c r="AC796" s="372">
        <v>6764.0222382000002</v>
      </c>
      <c r="AD796" s="372">
        <v>6453.5989164000002</v>
      </c>
      <c r="AE796" s="372">
        <v>0</v>
      </c>
      <c r="AF796" s="372">
        <v>0</v>
      </c>
      <c r="AG796" s="372">
        <v>0</v>
      </c>
      <c r="AH796" s="372">
        <v>0</v>
      </c>
    </row>
    <row r="797" spans="1:34">
      <c r="A797" s="372" t="s">
        <v>5800</v>
      </c>
      <c r="B797" s="373" t="s">
        <v>5801</v>
      </c>
      <c r="C797" s="372" t="s">
        <v>5802</v>
      </c>
      <c r="D797" s="374">
        <v>1101115855973</v>
      </c>
      <c r="E797" s="372" t="s">
        <v>5803</v>
      </c>
      <c r="F797" s="375" t="s">
        <v>622</v>
      </c>
      <c r="G797" s="375" t="s">
        <v>622</v>
      </c>
      <c r="H797" s="375" t="s">
        <v>1388</v>
      </c>
      <c r="I797" s="375" t="s">
        <v>869</v>
      </c>
      <c r="J797" s="375">
        <v>164184.21676000001</v>
      </c>
      <c r="K797" s="375">
        <v>-8418.4521499999992</v>
      </c>
      <c r="L797" s="375">
        <v>3050.7547199999999</v>
      </c>
      <c r="M797" s="375">
        <v>176779.76048</v>
      </c>
      <c r="N797" s="372">
        <v>0.80600000000000005</v>
      </c>
      <c r="O797" s="703">
        <v>23.37282330554142</v>
      </c>
      <c r="P797" s="375" t="s">
        <v>623</v>
      </c>
      <c r="Q797" s="375" t="s">
        <v>623</v>
      </c>
      <c r="R797" s="695">
        <v>20151216</v>
      </c>
      <c r="S797" s="375" t="s">
        <v>5804</v>
      </c>
      <c r="T797" s="696">
        <v>0.20900000000000002</v>
      </c>
      <c r="U797" s="372" t="s">
        <v>5805</v>
      </c>
      <c r="V797" s="722" t="s">
        <v>774</v>
      </c>
      <c r="W797" s="722">
        <v>1.31</v>
      </c>
      <c r="X797" s="722">
        <v>1.43</v>
      </c>
      <c r="Y797" s="722">
        <v>127.22</v>
      </c>
      <c r="Z797" s="382" t="s">
        <v>934</v>
      </c>
      <c r="AA797" s="372">
        <v>920.71120510000003</v>
      </c>
      <c r="AB797" s="372">
        <v>2063.5712521999999</v>
      </c>
      <c r="AC797" s="372">
        <v>3662.8266652000002</v>
      </c>
      <c r="AD797" s="372">
        <v>1641.8421676</v>
      </c>
      <c r="AE797" s="372">
        <v>3832</v>
      </c>
      <c r="AF797" s="372">
        <v>5797</v>
      </c>
      <c r="AG797" s="372">
        <v>0</v>
      </c>
      <c r="AH797" s="372">
        <v>0</v>
      </c>
    </row>
    <row r="798" spans="1:34">
      <c r="A798" s="372" t="s">
        <v>5806</v>
      </c>
      <c r="B798" s="373" t="s">
        <v>5807</v>
      </c>
      <c r="C798" s="372" t="s">
        <v>5808</v>
      </c>
      <c r="D798" s="374">
        <v>1211110051797</v>
      </c>
      <c r="E798" s="372" t="s">
        <v>5809</v>
      </c>
      <c r="F798" s="375" t="s">
        <v>5810</v>
      </c>
      <c r="G798" s="375" t="s">
        <v>5811</v>
      </c>
      <c r="H798" s="375" t="s">
        <v>868</v>
      </c>
      <c r="I798" s="375" t="s">
        <v>869</v>
      </c>
      <c r="J798" s="375">
        <v>59827.801599999999</v>
      </c>
      <c r="K798" s="375">
        <v>515.59748000000002</v>
      </c>
      <c r="L798" s="375">
        <v>-7563.91831</v>
      </c>
      <c r="M798" s="375">
        <v>62421.326509999999</v>
      </c>
      <c r="N798" s="372">
        <v>1.996</v>
      </c>
      <c r="O798" s="703">
        <v>20.279412998763767</v>
      </c>
      <c r="P798" s="375" t="s">
        <v>16142</v>
      </c>
      <c r="Q798" s="375" t="s">
        <v>623</v>
      </c>
      <c r="R798" s="695">
        <v>20201106</v>
      </c>
      <c r="S798" s="375" t="s">
        <v>5812</v>
      </c>
      <c r="T798" s="696" t="s">
        <v>772</v>
      </c>
      <c r="U798" s="375" t="s">
        <v>5813</v>
      </c>
      <c r="V798" s="722">
        <v>0</v>
      </c>
      <c r="W798" s="722">
        <v>9.42</v>
      </c>
      <c r="X798" s="722">
        <v>0</v>
      </c>
      <c r="Y798" s="722">
        <v>0</v>
      </c>
      <c r="Z798" s="382" t="s">
        <v>934</v>
      </c>
      <c r="AA798" s="372">
        <v>576.30614760000003</v>
      </c>
      <c r="AB798" s="372">
        <v>700.10753720000002</v>
      </c>
      <c r="AC798" s="372">
        <v>558.96292159999996</v>
      </c>
      <c r="AD798" s="372">
        <v>598.27801599999998</v>
      </c>
      <c r="AE798" s="372">
        <v>0</v>
      </c>
      <c r="AF798" s="372">
        <v>0</v>
      </c>
      <c r="AG798" s="372">
        <v>0</v>
      </c>
      <c r="AH798" s="372">
        <v>0</v>
      </c>
    </row>
    <row r="799" spans="1:34">
      <c r="A799" s="372" t="s">
        <v>5814</v>
      </c>
      <c r="B799" s="373" t="s">
        <v>5815</v>
      </c>
      <c r="C799" s="372" t="s">
        <v>5816</v>
      </c>
      <c r="D799" s="374">
        <v>1101111777585</v>
      </c>
      <c r="E799" s="372" t="s">
        <v>5817</v>
      </c>
      <c r="F799" s="375" t="s">
        <v>1814</v>
      </c>
      <c r="G799" s="375" t="s">
        <v>2821</v>
      </c>
      <c r="H799" s="375" t="s">
        <v>1693</v>
      </c>
      <c r="I799" s="375" t="s">
        <v>869</v>
      </c>
      <c r="J799" s="375">
        <v>261590.69657999999</v>
      </c>
      <c r="K799" s="375">
        <v>42602.627159999996</v>
      </c>
      <c r="L799" s="375">
        <v>38509.894260000001</v>
      </c>
      <c r="M799" s="375">
        <v>291751.44225999998</v>
      </c>
      <c r="N799" s="372">
        <v>0.82599999999999996</v>
      </c>
      <c r="O799" s="703">
        <v>42.511148394943703</v>
      </c>
      <c r="P799" s="375" t="s">
        <v>623</v>
      </c>
      <c r="Q799" s="372" t="s">
        <v>623</v>
      </c>
      <c r="R799" s="695">
        <v>20051019</v>
      </c>
      <c r="S799" s="372" t="s">
        <v>5818</v>
      </c>
      <c r="T799" s="696">
        <v>0.23100000000000001</v>
      </c>
      <c r="U799" s="372" t="s">
        <v>5819</v>
      </c>
      <c r="V799" s="722">
        <v>5.47</v>
      </c>
      <c r="W799" s="722">
        <v>1.5</v>
      </c>
      <c r="X799" s="722">
        <v>0.87</v>
      </c>
      <c r="Y799" s="722">
        <v>14.13</v>
      </c>
      <c r="Z799" s="382" t="s">
        <v>934</v>
      </c>
      <c r="AA799" s="372">
        <v>1690.4495512999999</v>
      </c>
      <c r="AB799" s="372">
        <v>1994.6311481</v>
      </c>
      <c r="AC799" s="372">
        <v>2391.5394531000002</v>
      </c>
      <c r="AD799" s="372">
        <v>2615.9069657999999</v>
      </c>
      <c r="AE799" s="372">
        <v>0</v>
      </c>
      <c r="AF799" s="372">
        <v>0</v>
      </c>
      <c r="AG799" s="372">
        <v>0</v>
      </c>
      <c r="AH799" s="372">
        <v>0</v>
      </c>
    </row>
    <row r="800" spans="1:34">
      <c r="A800" s="372" t="s">
        <v>5820</v>
      </c>
      <c r="B800" s="373" t="s">
        <v>5821</v>
      </c>
      <c r="C800" s="372" t="s">
        <v>5822</v>
      </c>
      <c r="D800" s="374">
        <v>1601110387525</v>
      </c>
      <c r="E800" s="372" t="s">
        <v>5823</v>
      </c>
      <c r="F800" s="375" t="s">
        <v>5824</v>
      </c>
      <c r="G800" s="375" t="s">
        <v>5824</v>
      </c>
      <c r="H800" s="375" t="s">
        <v>1950</v>
      </c>
      <c r="I800" s="375" t="s">
        <v>869</v>
      </c>
      <c r="J800" s="375">
        <v>0</v>
      </c>
      <c r="K800" s="375">
        <v>0</v>
      </c>
      <c r="L800" s="375">
        <v>0</v>
      </c>
      <c r="M800" s="375">
        <v>109714.25511</v>
      </c>
      <c r="N800" s="372" t="s">
        <v>1033</v>
      </c>
      <c r="O800" s="703">
        <v>1.2148609253855465</v>
      </c>
      <c r="P800" s="375" t="s">
        <v>623</v>
      </c>
      <c r="Q800" s="375" t="s">
        <v>623</v>
      </c>
      <c r="R800" s="695">
        <v>20231109</v>
      </c>
      <c r="S800" s="375" t="s">
        <v>5825</v>
      </c>
      <c r="T800" s="696" t="s">
        <v>772</v>
      </c>
      <c r="U800" s="375" t="s">
        <v>5826</v>
      </c>
      <c r="V800" s="722">
        <v>0</v>
      </c>
      <c r="W800" s="722">
        <v>2.04</v>
      </c>
      <c r="X800" s="722">
        <v>0</v>
      </c>
      <c r="Y800" s="722">
        <v>0</v>
      </c>
      <c r="Z800" s="382">
        <v>0.47866923425714236</v>
      </c>
      <c r="AA800" s="372">
        <v>0</v>
      </c>
      <c r="AB800" s="372">
        <v>57.873002399999997</v>
      </c>
      <c r="AC800" s="372">
        <v>127.6035127</v>
      </c>
      <c r="AD800" s="372">
        <v>158.13851199999999</v>
      </c>
      <c r="AE800" s="372">
        <v>324.5</v>
      </c>
      <c r="AF800" s="372">
        <v>532</v>
      </c>
      <c r="AG800" s="372">
        <v>756</v>
      </c>
      <c r="AH800" s="372">
        <v>0</v>
      </c>
    </row>
    <row r="801" spans="1:34">
      <c r="A801" s="372" t="s">
        <v>5827</v>
      </c>
      <c r="B801" s="373" t="s">
        <v>5828</v>
      </c>
      <c r="C801" s="372" t="s">
        <v>5829</v>
      </c>
      <c r="D801" s="374">
        <v>1311110241362</v>
      </c>
      <c r="E801" s="372" t="s">
        <v>5830</v>
      </c>
      <c r="F801" s="375" t="s">
        <v>1285</v>
      </c>
      <c r="G801" s="375" t="s">
        <v>1285</v>
      </c>
      <c r="H801" s="375" t="s">
        <v>1388</v>
      </c>
      <c r="I801" s="375" t="s">
        <v>869</v>
      </c>
      <c r="J801" s="375">
        <v>10744.039290000001</v>
      </c>
      <c r="K801" s="375">
        <v>-2152.6291999999999</v>
      </c>
      <c r="L801" s="375">
        <v>-7077.8695299999999</v>
      </c>
      <c r="M801" s="375">
        <v>21392.831590000002</v>
      </c>
      <c r="N801" s="372" t="s">
        <v>1033</v>
      </c>
      <c r="O801" s="703">
        <v>6.4661881139324224</v>
      </c>
      <c r="P801" s="375" t="s">
        <v>623</v>
      </c>
      <c r="Q801" s="375" t="s">
        <v>623</v>
      </c>
      <c r="R801" s="695">
        <v>20230309</v>
      </c>
      <c r="S801" s="375" t="s">
        <v>5831</v>
      </c>
      <c r="T801" s="696" t="s">
        <v>772</v>
      </c>
      <c r="U801" s="372" t="s">
        <v>5832</v>
      </c>
      <c r="V801" s="722">
        <v>0</v>
      </c>
      <c r="W801" s="722">
        <v>13.6</v>
      </c>
      <c r="X801" s="722">
        <v>0</v>
      </c>
      <c r="Y801" s="722">
        <v>0</v>
      </c>
      <c r="Z801" s="382" t="s">
        <v>934</v>
      </c>
      <c r="AA801" s="372">
        <v>57.592808599999998</v>
      </c>
      <c r="AB801" s="372">
        <v>57.863829299999999</v>
      </c>
      <c r="AC801" s="372">
        <v>109.1636539</v>
      </c>
      <c r="AD801" s="372">
        <v>107.44039290000001</v>
      </c>
      <c r="AE801" s="372">
        <v>0</v>
      </c>
      <c r="AF801" s="372">
        <v>0</v>
      </c>
      <c r="AG801" s="372">
        <v>0</v>
      </c>
      <c r="AH801" s="372">
        <v>0</v>
      </c>
    </row>
    <row r="802" spans="1:34">
      <c r="A802" s="372" t="s">
        <v>5833</v>
      </c>
      <c r="B802" s="373" t="s">
        <v>5834</v>
      </c>
      <c r="C802" s="372" t="s">
        <v>5835</v>
      </c>
      <c r="D802" s="374">
        <v>1101110234312</v>
      </c>
      <c r="E802" s="372" t="s">
        <v>5836</v>
      </c>
      <c r="F802" s="375" t="s">
        <v>1286</v>
      </c>
      <c r="G802" s="375" t="s">
        <v>1465</v>
      </c>
      <c r="H802" s="375" t="s">
        <v>1388</v>
      </c>
      <c r="I802" s="375" t="s">
        <v>869</v>
      </c>
      <c r="J802" s="375">
        <v>28186.183980000002</v>
      </c>
      <c r="K802" s="375">
        <v>-776.52162999999996</v>
      </c>
      <c r="L802" s="375">
        <v>-3105.2532299999998</v>
      </c>
      <c r="M802" s="375">
        <v>57062.10845</v>
      </c>
      <c r="N802" s="372">
        <v>0.94099999999999995</v>
      </c>
      <c r="O802" s="703">
        <v>9.7754096202956227</v>
      </c>
      <c r="P802" s="375" t="s">
        <v>623</v>
      </c>
      <c r="Q802" s="375" t="s">
        <v>623</v>
      </c>
      <c r="R802" s="695">
        <v>20010116</v>
      </c>
      <c r="S802" s="375" t="s">
        <v>5837</v>
      </c>
      <c r="T802" s="696" t="s">
        <v>772</v>
      </c>
      <c r="U802" s="375" t="s">
        <v>5838</v>
      </c>
      <c r="V802" s="722">
        <v>0</v>
      </c>
      <c r="W802" s="722">
        <v>3.64</v>
      </c>
      <c r="X802" s="722">
        <v>0</v>
      </c>
      <c r="Y802" s="722">
        <v>0</v>
      </c>
      <c r="Z802" s="382" t="s">
        <v>934</v>
      </c>
      <c r="AA802" s="372">
        <v>383.20275889999999</v>
      </c>
      <c r="AB802" s="372">
        <v>507.47112040000002</v>
      </c>
      <c r="AC802" s="372">
        <v>314.29330620000002</v>
      </c>
      <c r="AD802" s="372">
        <v>205.81331299999999</v>
      </c>
      <c r="AE802" s="372">
        <v>0</v>
      </c>
      <c r="AF802" s="372">
        <v>0</v>
      </c>
      <c r="AG802" s="372">
        <v>0</v>
      </c>
      <c r="AH802" s="372">
        <v>0</v>
      </c>
    </row>
    <row r="803" spans="1:34">
      <c r="A803" s="372" t="s">
        <v>5839</v>
      </c>
      <c r="B803" s="373" t="s">
        <v>5840</v>
      </c>
      <c r="C803" s="372" t="s">
        <v>5841</v>
      </c>
      <c r="D803" s="374">
        <v>1101110013287</v>
      </c>
      <c r="E803" s="372" t="s">
        <v>5842</v>
      </c>
      <c r="F803" s="375" t="s">
        <v>1665</v>
      </c>
      <c r="G803" s="375" t="s">
        <v>1686</v>
      </c>
      <c r="H803" s="375" t="s">
        <v>853</v>
      </c>
      <c r="I803" s="375" t="s">
        <v>755</v>
      </c>
      <c r="J803" s="375">
        <v>393518.95899000001</v>
      </c>
      <c r="K803" s="375">
        <v>15968.8264</v>
      </c>
      <c r="L803" s="375">
        <v>-2573.9322200000001</v>
      </c>
      <c r="M803" s="375">
        <v>738045.54393000004</v>
      </c>
      <c r="N803" s="372">
        <v>0.72299999999999998</v>
      </c>
      <c r="O803" s="703">
        <v>119.72664281173626</v>
      </c>
      <c r="P803" s="375" t="s">
        <v>623</v>
      </c>
      <c r="Q803" s="375" t="s">
        <v>623</v>
      </c>
      <c r="R803" s="695">
        <v>19560303</v>
      </c>
      <c r="S803" s="375" t="s">
        <v>5843</v>
      </c>
      <c r="T803" s="696" t="s">
        <v>772</v>
      </c>
      <c r="U803" s="375" t="s">
        <v>5844</v>
      </c>
      <c r="V803" s="722">
        <v>7.84</v>
      </c>
      <c r="W803" s="722">
        <v>0.32</v>
      </c>
      <c r="X803" s="722">
        <v>0.62</v>
      </c>
      <c r="Y803" s="722" t="s">
        <v>774</v>
      </c>
      <c r="Z803" s="382" t="s">
        <v>934</v>
      </c>
      <c r="AA803" s="372">
        <v>3292.2474078</v>
      </c>
      <c r="AB803" s="372">
        <v>3833.5714480000001</v>
      </c>
      <c r="AC803" s="372">
        <v>3892.2758282999998</v>
      </c>
      <c r="AD803" s="372">
        <v>3935.1895899000001</v>
      </c>
      <c r="AE803" s="372">
        <v>0</v>
      </c>
      <c r="AF803" s="372">
        <v>0</v>
      </c>
      <c r="AG803" s="372">
        <v>0</v>
      </c>
      <c r="AH803" s="372">
        <v>0</v>
      </c>
    </row>
    <row r="804" spans="1:34">
      <c r="A804" s="372" t="s">
        <v>5845</v>
      </c>
      <c r="B804" s="373" t="s">
        <v>5846</v>
      </c>
      <c r="C804" s="372" t="s">
        <v>5847</v>
      </c>
      <c r="D804" s="374">
        <v>1101115503308</v>
      </c>
      <c r="E804" s="372" t="s">
        <v>5848</v>
      </c>
      <c r="F804" s="372" t="s">
        <v>1062</v>
      </c>
      <c r="G804" s="375" t="s">
        <v>1062</v>
      </c>
      <c r="H804" s="375" t="s">
        <v>868</v>
      </c>
      <c r="I804" s="375" t="s">
        <v>869</v>
      </c>
      <c r="J804" s="375">
        <v>13827.30363</v>
      </c>
      <c r="K804" s="375">
        <v>-52354.977780000001</v>
      </c>
      <c r="L804" s="375">
        <v>-62180.18103</v>
      </c>
      <c r="M804" s="375">
        <v>287326.53389999998</v>
      </c>
      <c r="N804" s="372">
        <v>0.59</v>
      </c>
      <c r="O804" s="703">
        <v>9.5642781575548994E-2</v>
      </c>
      <c r="P804" s="375" t="s">
        <v>623</v>
      </c>
      <c r="Q804" s="372" t="s">
        <v>623</v>
      </c>
      <c r="R804" s="695">
        <v>20141201</v>
      </c>
      <c r="S804" s="372" t="s">
        <v>5849</v>
      </c>
      <c r="T804" s="696" t="s">
        <v>772</v>
      </c>
      <c r="U804" s="372" t="s">
        <v>5850</v>
      </c>
      <c r="V804" s="722" t="s">
        <v>774</v>
      </c>
      <c r="W804" s="722">
        <v>0.77</v>
      </c>
      <c r="X804" s="722">
        <v>17.649999999999999</v>
      </c>
      <c r="Y804" s="722" t="s">
        <v>774</v>
      </c>
      <c r="Z804" s="382" t="s">
        <v>934</v>
      </c>
      <c r="AA804" s="372">
        <v>457.1721197</v>
      </c>
      <c r="AB804" s="372">
        <v>3218.2914074999999</v>
      </c>
      <c r="AC804" s="372">
        <v>4712.7276101999996</v>
      </c>
      <c r="AD804" s="372">
        <v>138.2730363</v>
      </c>
      <c r="AE804" s="372">
        <v>0</v>
      </c>
      <c r="AF804" s="372">
        <v>0</v>
      </c>
      <c r="AG804" s="372">
        <v>0</v>
      </c>
      <c r="AH804" s="372">
        <v>0</v>
      </c>
    </row>
    <row r="805" spans="1:34">
      <c r="A805" s="372" t="s">
        <v>5851</v>
      </c>
      <c r="B805" s="373" t="s">
        <v>5852</v>
      </c>
      <c r="C805" s="372" t="s">
        <v>5853</v>
      </c>
      <c r="D805" s="374">
        <v>1101112113142</v>
      </c>
      <c r="E805" s="372" t="s">
        <v>5854</v>
      </c>
      <c r="F805" s="372" t="s">
        <v>2438</v>
      </c>
      <c r="G805" s="375" t="s">
        <v>2438</v>
      </c>
      <c r="H805" s="375" t="s">
        <v>868</v>
      </c>
      <c r="I805" s="375" t="s">
        <v>869</v>
      </c>
      <c r="J805" s="375">
        <v>5134.2767700000004</v>
      </c>
      <c r="K805" s="375">
        <v>-5572.2184999999999</v>
      </c>
      <c r="L805" s="375">
        <v>-11020.16734</v>
      </c>
      <c r="M805" s="375">
        <v>11610.13545</v>
      </c>
      <c r="N805" s="372" t="s">
        <v>1033</v>
      </c>
      <c r="O805" s="703">
        <v>3.407073812298294</v>
      </c>
      <c r="P805" s="375" t="s">
        <v>623</v>
      </c>
      <c r="Q805" s="372" t="s">
        <v>623</v>
      </c>
      <c r="R805" s="695">
        <v>20221017</v>
      </c>
      <c r="S805" s="375" t="s">
        <v>5855</v>
      </c>
      <c r="T805" s="696" t="s">
        <v>772</v>
      </c>
      <c r="U805" s="372" t="s">
        <v>5856</v>
      </c>
      <c r="V805" s="722">
        <v>0</v>
      </c>
      <c r="W805" s="722">
        <v>20.98</v>
      </c>
      <c r="X805" s="722">
        <v>0</v>
      </c>
      <c r="Y805" s="722">
        <v>0</v>
      </c>
      <c r="Z805" s="382" t="s">
        <v>934</v>
      </c>
      <c r="AA805" s="372">
        <v>66.068062400000002</v>
      </c>
      <c r="AB805" s="372">
        <v>67.7937929</v>
      </c>
      <c r="AC805" s="372">
        <v>74.698403400000004</v>
      </c>
      <c r="AD805" s="372">
        <v>51.342767700000003</v>
      </c>
      <c r="AE805" s="372">
        <v>0</v>
      </c>
      <c r="AF805" s="372">
        <v>0</v>
      </c>
      <c r="AG805" s="372">
        <v>0</v>
      </c>
      <c r="AH805" s="372">
        <v>0</v>
      </c>
    </row>
    <row r="806" spans="1:34">
      <c r="A806" s="372" t="s">
        <v>5857</v>
      </c>
      <c r="B806" s="373" t="s">
        <v>5858</v>
      </c>
      <c r="C806" s="372" t="s">
        <v>5859</v>
      </c>
      <c r="D806" s="374">
        <v>1101111419517</v>
      </c>
      <c r="E806" s="372" t="s">
        <v>5860</v>
      </c>
      <c r="F806" s="375" t="s">
        <v>1381</v>
      </c>
      <c r="G806" s="375" t="s">
        <v>1381</v>
      </c>
      <c r="H806" s="375" t="s">
        <v>1693</v>
      </c>
      <c r="I806" s="375" t="s">
        <v>869</v>
      </c>
      <c r="J806" s="375">
        <v>366584.64006000001</v>
      </c>
      <c r="K806" s="375">
        <v>17377.536169999999</v>
      </c>
      <c r="L806" s="375">
        <v>39597.54135</v>
      </c>
      <c r="M806" s="375">
        <v>703211.85416999995</v>
      </c>
      <c r="N806" s="372">
        <v>1.319</v>
      </c>
      <c r="O806" s="703">
        <v>18.228692690864907</v>
      </c>
      <c r="P806" s="375" t="s">
        <v>623</v>
      </c>
      <c r="Q806" s="372" t="s">
        <v>623</v>
      </c>
      <c r="R806" s="695">
        <v>20000623</v>
      </c>
      <c r="S806" s="372" t="s">
        <v>2662</v>
      </c>
      <c r="T806" s="696">
        <v>0.23100000000000001</v>
      </c>
      <c r="U806" s="372" t="s">
        <v>5861</v>
      </c>
      <c r="V806" s="722">
        <v>16.079999999999998</v>
      </c>
      <c r="W806" s="722">
        <v>0.59</v>
      </c>
      <c r="X806" s="722">
        <v>0.61</v>
      </c>
      <c r="Y806" s="722">
        <v>30.93</v>
      </c>
      <c r="Z806" s="382" t="s">
        <v>934</v>
      </c>
      <c r="AA806" s="372">
        <v>2892.4616271999998</v>
      </c>
      <c r="AB806" s="372">
        <v>2693.2181810000002</v>
      </c>
      <c r="AC806" s="372">
        <v>2979.7728430000002</v>
      </c>
      <c r="AD806" s="372">
        <v>3665.8464005999999</v>
      </c>
      <c r="AE806" s="372">
        <v>0</v>
      </c>
      <c r="AF806" s="372">
        <v>0</v>
      </c>
      <c r="AG806" s="372">
        <v>0</v>
      </c>
      <c r="AH806" s="372">
        <v>0</v>
      </c>
    </row>
    <row r="807" spans="1:34">
      <c r="A807" s="372" t="s">
        <v>5862</v>
      </c>
      <c r="B807" s="373" t="s">
        <v>5863</v>
      </c>
      <c r="C807" s="372" t="s">
        <v>5864</v>
      </c>
      <c r="D807" s="374">
        <v>1101113710468</v>
      </c>
      <c r="E807" s="372" t="s">
        <v>5865</v>
      </c>
      <c r="F807" s="375" t="s">
        <v>900</v>
      </c>
      <c r="G807" s="375" t="s">
        <v>901</v>
      </c>
      <c r="H807" s="375" t="s">
        <v>862</v>
      </c>
      <c r="I807" s="375" t="s">
        <v>755</v>
      </c>
      <c r="J807" s="375">
        <v>928071.67091999995</v>
      </c>
      <c r="K807" s="375">
        <v>144899.31662999999</v>
      </c>
      <c r="L807" s="375">
        <v>53390.199639999999</v>
      </c>
      <c r="M807" s="375">
        <v>348754.71995</v>
      </c>
      <c r="N807" s="372">
        <v>0.95199999999999996</v>
      </c>
      <c r="O807" s="703">
        <v>254.57045201575923</v>
      </c>
      <c r="P807" s="375" t="s">
        <v>623</v>
      </c>
      <c r="Q807" s="375" t="s">
        <v>623</v>
      </c>
      <c r="R807" s="695">
        <v>20070731</v>
      </c>
      <c r="S807" s="375" t="s">
        <v>5866</v>
      </c>
      <c r="T807" s="696">
        <v>0.23100000000000001</v>
      </c>
      <c r="U807" s="372" t="s">
        <v>5867</v>
      </c>
      <c r="V807" s="722">
        <v>4.67</v>
      </c>
      <c r="W807" s="722">
        <v>1.92</v>
      </c>
      <c r="X807" s="722">
        <v>0.27</v>
      </c>
      <c r="Y807" s="722">
        <v>13.3</v>
      </c>
      <c r="Z807" s="382" t="s">
        <v>934</v>
      </c>
      <c r="AA807" s="372">
        <v>7815.1484001999997</v>
      </c>
      <c r="AB807" s="372">
        <v>7889.3698089</v>
      </c>
      <c r="AC807" s="372">
        <v>8645.3643071999995</v>
      </c>
      <c r="AD807" s="372">
        <v>9280.7167092</v>
      </c>
      <c r="AE807" s="372">
        <v>0</v>
      </c>
      <c r="AF807" s="372">
        <v>0</v>
      </c>
      <c r="AG807" s="372">
        <v>0</v>
      </c>
      <c r="AH807" s="372">
        <v>0</v>
      </c>
    </row>
    <row r="808" spans="1:34">
      <c r="A808" s="372" t="s">
        <v>5868</v>
      </c>
      <c r="B808" s="373" t="s">
        <v>5869</v>
      </c>
      <c r="C808" s="372" t="s">
        <v>5870</v>
      </c>
      <c r="D808" s="374">
        <v>1101113078907</v>
      </c>
      <c r="E808" s="372" t="s">
        <v>5871</v>
      </c>
      <c r="F808" s="375" t="s">
        <v>2147</v>
      </c>
      <c r="G808" s="375" t="s">
        <v>4273</v>
      </c>
      <c r="H808" s="375" t="s">
        <v>868</v>
      </c>
      <c r="I808" s="375" t="s">
        <v>869</v>
      </c>
      <c r="J808" s="375">
        <v>10157.83641</v>
      </c>
      <c r="K808" s="375">
        <v>-4829.7806099999998</v>
      </c>
      <c r="L808" s="375">
        <v>-6856.7729900000004</v>
      </c>
      <c r="M808" s="375">
        <v>7719.4983099999999</v>
      </c>
      <c r="N808" s="372" t="s">
        <v>1033</v>
      </c>
      <c r="O808" s="703">
        <v>3.3151985980288052</v>
      </c>
      <c r="P808" s="375" t="s">
        <v>16142</v>
      </c>
      <c r="Q808" s="375" t="s">
        <v>16145</v>
      </c>
      <c r="R808" s="695">
        <v>20131219</v>
      </c>
      <c r="S808" s="375" t="s">
        <v>5872</v>
      </c>
      <c r="T808" s="696" t="s">
        <v>772</v>
      </c>
      <c r="U808" s="375" t="s">
        <v>5873</v>
      </c>
      <c r="V808" s="722" t="s">
        <v>774</v>
      </c>
      <c r="W808" s="722">
        <v>29.52</v>
      </c>
      <c r="X808" s="722">
        <v>22.71</v>
      </c>
      <c r="Y808" s="722" t="s">
        <v>774</v>
      </c>
      <c r="Z808" s="382" t="s">
        <v>934</v>
      </c>
      <c r="AA808" s="372">
        <v>59.626604399999998</v>
      </c>
      <c r="AB808" s="372">
        <v>78.706107500000002</v>
      </c>
      <c r="AC808" s="372">
        <v>98.783038199999993</v>
      </c>
      <c r="AD808" s="372">
        <v>101.5783641</v>
      </c>
      <c r="AE808" s="372">
        <v>0</v>
      </c>
      <c r="AF808" s="372">
        <v>0</v>
      </c>
      <c r="AG808" s="372">
        <v>0</v>
      </c>
      <c r="AH808" s="372">
        <v>0</v>
      </c>
    </row>
    <row r="809" spans="1:34">
      <c r="A809" s="372" t="s">
        <v>5874</v>
      </c>
      <c r="B809" s="373" t="s">
        <v>5875</v>
      </c>
      <c r="C809" s="372" t="s">
        <v>5876</v>
      </c>
      <c r="D809" s="374">
        <v>1601110066145</v>
      </c>
      <c r="E809" s="372" t="s">
        <v>5877</v>
      </c>
      <c r="F809" s="375" t="s">
        <v>1889</v>
      </c>
      <c r="G809" s="375" t="s">
        <v>5878</v>
      </c>
      <c r="H809" s="375" t="s">
        <v>868</v>
      </c>
      <c r="I809" s="375" t="s">
        <v>869</v>
      </c>
      <c r="J809" s="375">
        <v>0</v>
      </c>
      <c r="K809" s="375">
        <v>0</v>
      </c>
      <c r="L809" s="375">
        <v>0</v>
      </c>
      <c r="M809" s="375">
        <v>23499.166990000002</v>
      </c>
      <c r="N809" s="372" t="s">
        <v>1033</v>
      </c>
      <c r="O809" s="703">
        <v>5.1061183934082068</v>
      </c>
      <c r="P809" s="375" t="s">
        <v>623</v>
      </c>
      <c r="Q809" s="372" t="s">
        <v>623</v>
      </c>
      <c r="R809" s="695">
        <v>20240104</v>
      </c>
      <c r="S809" s="372" t="s">
        <v>5879</v>
      </c>
      <c r="T809" s="696" t="s">
        <v>772</v>
      </c>
      <c r="U809" s="375" t="s">
        <v>5880</v>
      </c>
      <c r="V809" s="722">
        <v>0</v>
      </c>
      <c r="W809" s="722">
        <v>0</v>
      </c>
      <c r="X809" s="722">
        <v>0</v>
      </c>
      <c r="Y809" s="722">
        <v>0</v>
      </c>
      <c r="Z809" s="382" t="s">
        <v>934</v>
      </c>
      <c r="AA809" s="372">
        <v>116.08259</v>
      </c>
      <c r="AB809" s="372">
        <v>175.9456218</v>
      </c>
      <c r="AC809" s="372">
        <v>205.85914679999999</v>
      </c>
      <c r="AD809" s="372">
        <v>226.75958449999999</v>
      </c>
      <c r="AE809" s="372">
        <v>0</v>
      </c>
      <c r="AF809" s="372">
        <v>0</v>
      </c>
      <c r="AG809" s="372">
        <v>0</v>
      </c>
      <c r="AH809" s="372">
        <v>0</v>
      </c>
    </row>
    <row r="810" spans="1:34">
      <c r="A810" s="372" t="s">
        <v>5881</v>
      </c>
      <c r="B810" s="373" t="s">
        <v>5882</v>
      </c>
      <c r="C810" s="372" t="s">
        <v>5883</v>
      </c>
      <c r="D810" s="374">
        <v>1101114962092</v>
      </c>
      <c r="E810" s="372" t="s">
        <v>5884</v>
      </c>
      <c r="F810" s="375" t="s">
        <v>1814</v>
      </c>
      <c r="G810" s="375" t="s">
        <v>1815</v>
      </c>
      <c r="H810" s="375" t="s">
        <v>1693</v>
      </c>
      <c r="I810" s="375" t="s">
        <v>869</v>
      </c>
      <c r="J810" s="375">
        <v>0</v>
      </c>
      <c r="K810" s="375">
        <v>0</v>
      </c>
      <c r="L810" s="375">
        <v>0</v>
      </c>
      <c r="M810" s="375">
        <v>11709.660739999999</v>
      </c>
      <c r="N810" s="372" t="s">
        <v>1033</v>
      </c>
      <c r="O810" s="703">
        <v>1.1205564133772363</v>
      </c>
      <c r="P810" s="375" t="s">
        <v>623</v>
      </c>
      <c r="Q810" s="375" t="s">
        <v>623</v>
      </c>
      <c r="R810" s="695">
        <v>20230918</v>
      </c>
      <c r="S810" s="375" t="s">
        <v>5885</v>
      </c>
      <c r="T810" s="696" t="s">
        <v>772</v>
      </c>
      <c r="U810" s="375" t="s">
        <v>5886</v>
      </c>
      <c r="V810" s="722">
        <v>0</v>
      </c>
      <c r="W810" s="722">
        <v>29.66</v>
      </c>
      <c r="X810" s="722">
        <v>0</v>
      </c>
      <c r="Y810" s="722">
        <v>0</v>
      </c>
      <c r="Z810" s="382" t="s">
        <v>934</v>
      </c>
      <c r="AA810" s="372">
        <v>22.852509699999999</v>
      </c>
      <c r="AB810" s="372">
        <v>21.607094400000001</v>
      </c>
      <c r="AC810" s="372">
        <v>40.910459899999999</v>
      </c>
      <c r="AD810" s="372">
        <v>41.006328600000003</v>
      </c>
      <c r="AE810" s="372">
        <v>0</v>
      </c>
      <c r="AF810" s="372">
        <v>0</v>
      </c>
      <c r="AG810" s="372">
        <v>0</v>
      </c>
      <c r="AH810" s="372">
        <v>0</v>
      </c>
    </row>
    <row r="811" spans="1:34">
      <c r="A811" s="372" t="s">
        <v>5887</v>
      </c>
      <c r="B811" s="373" t="s">
        <v>5888</v>
      </c>
      <c r="C811" s="372" t="s">
        <v>5889</v>
      </c>
      <c r="D811" s="374">
        <v>1101114945246</v>
      </c>
      <c r="E811" s="372" t="s">
        <v>5890</v>
      </c>
      <c r="F811" s="375" t="s">
        <v>822</v>
      </c>
      <c r="G811" s="375" t="s">
        <v>822</v>
      </c>
      <c r="H811" s="375" t="s">
        <v>1693</v>
      </c>
      <c r="I811" s="375" t="s">
        <v>869</v>
      </c>
      <c r="J811" s="375">
        <v>17761.267680000001</v>
      </c>
      <c r="K811" s="375">
        <v>-5094.0247499999996</v>
      </c>
      <c r="L811" s="375">
        <v>-6030.7947599999998</v>
      </c>
      <c r="M811" s="375">
        <v>4380.4585100000004</v>
      </c>
      <c r="N811" s="372">
        <v>0.32100000000000001</v>
      </c>
      <c r="O811" s="703">
        <v>4.9123170569008074</v>
      </c>
      <c r="P811" s="375" t="s">
        <v>623</v>
      </c>
      <c r="Q811" s="375" t="s">
        <v>623</v>
      </c>
      <c r="R811" s="695">
        <v>20190717</v>
      </c>
      <c r="S811" s="375" t="s">
        <v>5891</v>
      </c>
      <c r="T811" s="696" t="s">
        <v>772</v>
      </c>
      <c r="U811" s="375" t="s">
        <v>5892</v>
      </c>
      <c r="V811" s="722" t="s">
        <v>774</v>
      </c>
      <c r="W811" s="722">
        <v>34.07</v>
      </c>
      <c r="X811" s="722">
        <v>8.5500000000000007</v>
      </c>
      <c r="Y811" s="722" t="s">
        <v>774</v>
      </c>
      <c r="Z811" s="382" t="s">
        <v>934</v>
      </c>
      <c r="AA811" s="372">
        <v>74.385639999999995</v>
      </c>
      <c r="AB811" s="372">
        <v>93.382744700000003</v>
      </c>
      <c r="AC811" s="372">
        <v>136.3943706</v>
      </c>
      <c r="AD811" s="372">
        <v>177.6126768</v>
      </c>
      <c r="AE811" s="372">
        <v>270.85000000000002</v>
      </c>
      <c r="AF811" s="372">
        <v>356</v>
      </c>
      <c r="AG811" s="372">
        <v>0</v>
      </c>
      <c r="AH811" s="372">
        <v>0</v>
      </c>
    </row>
    <row r="812" spans="1:34">
      <c r="A812" s="372" t="s">
        <v>5893</v>
      </c>
      <c r="B812" s="373" t="s">
        <v>5894</v>
      </c>
      <c r="C812" s="372" t="s">
        <v>5895</v>
      </c>
      <c r="D812" s="374">
        <v>1712110005114</v>
      </c>
      <c r="E812" s="372" t="s">
        <v>5896</v>
      </c>
      <c r="F812" s="375" t="s">
        <v>3020</v>
      </c>
      <c r="G812" s="375" t="s">
        <v>3020</v>
      </c>
      <c r="H812" s="375" t="s">
        <v>868</v>
      </c>
      <c r="I812" s="375" t="s">
        <v>869</v>
      </c>
      <c r="J812" s="375">
        <v>2081763.5995</v>
      </c>
      <c r="K812" s="375">
        <v>174843.70011000001</v>
      </c>
      <c r="L812" s="375">
        <v>126949.47576</v>
      </c>
      <c r="M812" s="375">
        <v>569253.20019</v>
      </c>
      <c r="N812" s="372">
        <v>0.99</v>
      </c>
      <c r="O812" s="703">
        <v>314.89639841010722</v>
      </c>
      <c r="P812" s="375" t="s">
        <v>623</v>
      </c>
      <c r="Q812" s="372" t="s">
        <v>623</v>
      </c>
      <c r="R812" s="695">
        <v>20100806</v>
      </c>
      <c r="S812" s="372" t="s">
        <v>5897</v>
      </c>
      <c r="T812" s="696">
        <v>0.23100000000000001</v>
      </c>
      <c r="U812" s="372" t="s">
        <v>5898</v>
      </c>
      <c r="V812" s="722">
        <v>3.96</v>
      </c>
      <c r="W812" s="722">
        <v>1.1399999999999999</v>
      </c>
      <c r="X812" s="722">
        <v>0.12</v>
      </c>
      <c r="Y812" s="722">
        <v>20.010000000000002</v>
      </c>
      <c r="Z812" s="382" t="s">
        <v>934</v>
      </c>
      <c r="AA812" s="372">
        <v>12165.4773621</v>
      </c>
      <c r="AB812" s="372">
        <v>15217.8588523</v>
      </c>
      <c r="AC812" s="372">
        <v>18576.064023499999</v>
      </c>
      <c r="AD812" s="372">
        <v>20817.635995000001</v>
      </c>
      <c r="AE812" s="372">
        <v>0</v>
      </c>
      <c r="AF812" s="372">
        <v>0</v>
      </c>
      <c r="AG812" s="372">
        <v>0</v>
      </c>
      <c r="AH812" s="372">
        <v>0</v>
      </c>
    </row>
    <row r="813" spans="1:34">
      <c r="A813" s="372" t="s">
        <v>5899</v>
      </c>
      <c r="B813" s="373" t="s">
        <v>5900</v>
      </c>
      <c r="C813" s="372" t="s">
        <v>5901</v>
      </c>
      <c r="D813" s="374">
        <v>1101113501601</v>
      </c>
      <c r="E813" s="372" t="s">
        <v>5902</v>
      </c>
      <c r="F813" s="375" t="s">
        <v>4226</v>
      </c>
      <c r="G813" s="375" t="s">
        <v>4226</v>
      </c>
      <c r="H813" s="375" t="s">
        <v>868</v>
      </c>
      <c r="I813" s="375" t="s">
        <v>869</v>
      </c>
      <c r="J813" s="375">
        <v>80027.251869999993</v>
      </c>
      <c r="K813" s="375">
        <v>4638.5908600000002</v>
      </c>
      <c r="L813" s="375">
        <v>5198.0865800000001</v>
      </c>
      <c r="M813" s="375">
        <v>46636.257039999997</v>
      </c>
      <c r="N813" s="372" t="s">
        <v>1033</v>
      </c>
      <c r="O813" s="703">
        <v>11.095340451430038</v>
      </c>
      <c r="P813" s="375" t="s">
        <v>623</v>
      </c>
      <c r="Q813" s="372" t="s">
        <v>623</v>
      </c>
      <c r="R813" s="695">
        <v>20201203</v>
      </c>
      <c r="S813" s="372" t="s">
        <v>5903</v>
      </c>
      <c r="T813" s="696">
        <v>0.20900000000000002</v>
      </c>
      <c r="U813" s="372" t="s">
        <v>5904</v>
      </c>
      <c r="V813" s="722">
        <v>31.57</v>
      </c>
      <c r="W813" s="722">
        <v>4.84</v>
      </c>
      <c r="X813" s="722">
        <v>2.86</v>
      </c>
      <c r="Y813" s="722">
        <v>47.32</v>
      </c>
      <c r="Z813" s="382" t="s">
        <v>934</v>
      </c>
      <c r="AA813" s="372">
        <v>489.40226899999999</v>
      </c>
      <c r="AB813" s="372">
        <v>774.41336630000001</v>
      </c>
      <c r="AC813" s="372">
        <v>875.6539434</v>
      </c>
      <c r="AD813" s="372">
        <v>800.27251869999998</v>
      </c>
      <c r="AE813" s="372">
        <v>0</v>
      </c>
      <c r="AF813" s="372">
        <v>0</v>
      </c>
      <c r="AG813" s="372">
        <v>0</v>
      </c>
      <c r="AH813" s="372">
        <v>0</v>
      </c>
    </row>
    <row r="814" spans="1:34">
      <c r="A814" s="372" t="s">
        <v>5905</v>
      </c>
      <c r="B814" s="373" t="s">
        <v>5906</v>
      </c>
      <c r="C814" s="372" t="s">
        <v>5907</v>
      </c>
      <c r="D814" s="374">
        <v>2111110001090</v>
      </c>
      <c r="E814" s="372" t="s">
        <v>5908</v>
      </c>
      <c r="F814" s="372" t="s">
        <v>1104</v>
      </c>
      <c r="G814" s="375" t="s">
        <v>5909</v>
      </c>
      <c r="H814" s="375" t="s">
        <v>832</v>
      </c>
      <c r="I814" s="375" t="s">
        <v>755</v>
      </c>
      <c r="J814" s="375">
        <v>212395.97015000001</v>
      </c>
      <c r="K814" s="375">
        <v>-2427.5418</v>
      </c>
      <c r="L814" s="375">
        <v>12580.279420000001</v>
      </c>
      <c r="M814" s="375">
        <v>162579.43760999999</v>
      </c>
      <c r="N814" s="372">
        <v>1.288</v>
      </c>
      <c r="O814" s="703">
        <v>15.504862474275541</v>
      </c>
      <c r="P814" s="375" t="s">
        <v>623</v>
      </c>
      <c r="Q814" s="375" t="s">
        <v>623</v>
      </c>
      <c r="R814" s="695">
        <v>20030109</v>
      </c>
      <c r="S814" s="375" t="s">
        <v>5910</v>
      </c>
      <c r="T814" s="696">
        <v>0.20900000000000002</v>
      </c>
      <c r="U814" s="375" t="s">
        <v>5911</v>
      </c>
      <c r="V814" s="722">
        <v>0</v>
      </c>
      <c r="W814" s="722">
        <v>1.51</v>
      </c>
      <c r="X814" s="722">
        <v>0</v>
      </c>
      <c r="Y814" s="722">
        <v>0</v>
      </c>
      <c r="Z814" s="382" t="s">
        <v>934</v>
      </c>
      <c r="AA814" s="372">
        <v>2082.5476198000001</v>
      </c>
      <c r="AB814" s="372">
        <v>2452.2464635000001</v>
      </c>
      <c r="AC814" s="372">
        <v>2394.3288923999999</v>
      </c>
      <c r="AD814" s="372">
        <v>2123.9597014999999</v>
      </c>
      <c r="AE814" s="372">
        <v>0</v>
      </c>
      <c r="AF814" s="372">
        <v>0</v>
      </c>
      <c r="AG814" s="372">
        <v>0</v>
      </c>
      <c r="AH814" s="372">
        <v>0</v>
      </c>
    </row>
    <row r="815" spans="1:34">
      <c r="A815" s="372" t="s">
        <v>5912</v>
      </c>
      <c r="B815" s="373" t="s">
        <v>5913</v>
      </c>
      <c r="C815" s="372" t="s">
        <v>5914</v>
      </c>
      <c r="D815" s="374">
        <v>1101112958259</v>
      </c>
      <c r="E815" s="372" t="s">
        <v>5915</v>
      </c>
      <c r="F815" s="375" t="s">
        <v>5916</v>
      </c>
      <c r="G815" s="375" t="s">
        <v>5916</v>
      </c>
      <c r="H815" s="375" t="s">
        <v>868</v>
      </c>
      <c r="I815" s="375" t="s">
        <v>869</v>
      </c>
      <c r="J815" s="375">
        <v>548443.57736</v>
      </c>
      <c r="K815" s="375">
        <v>66951.645380000002</v>
      </c>
      <c r="L815" s="375">
        <v>67771.641170000003</v>
      </c>
      <c r="M815" s="375">
        <v>369287.79399999999</v>
      </c>
      <c r="N815" s="372">
        <v>0.71799999999999997</v>
      </c>
      <c r="O815" s="703">
        <v>85.389649678039376</v>
      </c>
      <c r="P815" s="375" t="s">
        <v>623</v>
      </c>
      <c r="Q815" s="372" t="s">
        <v>623</v>
      </c>
      <c r="R815" s="695">
        <v>20200727</v>
      </c>
      <c r="S815" s="372" t="s">
        <v>5917</v>
      </c>
      <c r="T815" s="696">
        <v>0.23100000000000001</v>
      </c>
      <c r="U815" s="372" t="s">
        <v>5918</v>
      </c>
      <c r="V815" s="722">
        <v>4.8099999999999996</v>
      </c>
      <c r="W815" s="722">
        <v>0.81</v>
      </c>
      <c r="X815" s="722">
        <v>0.49</v>
      </c>
      <c r="Y815" s="722">
        <v>5.4</v>
      </c>
      <c r="Z815" s="382">
        <v>7.2633030501285445E-2</v>
      </c>
      <c r="AA815" s="372">
        <v>2932.1430151999998</v>
      </c>
      <c r="AB815" s="372">
        <v>3703.2344850999998</v>
      </c>
      <c r="AC815" s="372">
        <v>4978.5244931999996</v>
      </c>
      <c r="AD815" s="372">
        <v>5484.4357736000002</v>
      </c>
      <c r="AE815" s="372">
        <v>5931.5</v>
      </c>
      <c r="AF815" s="372">
        <v>6395</v>
      </c>
      <c r="AG815" s="372">
        <v>7260</v>
      </c>
      <c r="AH815" s="372">
        <v>0</v>
      </c>
    </row>
    <row r="816" spans="1:34">
      <c r="A816" s="372" t="s">
        <v>5919</v>
      </c>
      <c r="B816" s="373" t="s">
        <v>5920</v>
      </c>
      <c r="C816" s="372" t="s">
        <v>5921</v>
      </c>
      <c r="D816" s="374">
        <v>1942110068066</v>
      </c>
      <c r="E816" s="372" t="s">
        <v>5922</v>
      </c>
      <c r="F816" s="375" t="s">
        <v>1881</v>
      </c>
      <c r="G816" s="375" t="s">
        <v>1882</v>
      </c>
      <c r="H816" s="375" t="s">
        <v>868</v>
      </c>
      <c r="I816" s="375" t="s">
        <v>869</v>
      </c>
      <c r="J816" s="375">
        <v>0</v>
      </c>
      <c r="K816" s="375">
        <v>0</v>
      </c>
      <c r="L816" s="375">
        <v>0</v>
      </c>
      <c r="M816" s="375">
        <v>97136.168189999997</v>
      </c>
      <c r="N816" s="372" t="s">
        <v>1033</v>
      </c>
      <c r="O816" s="703">
        <v>8.1356179653580405</v>
      </c>
      <c r="P816" s="375" t="s">
        <v>623</v>
      </c>
      <c r="Q816" s="375" t="s">
        <v>623</v>
      </c>
      <c r="R816" s="695">
        <v>20231019</v>
      </c>
      <c r="S816" s="375" t="s">
        <v>5923</v>
      </c>
      <c r="T816" s="696" t="s">
        <v>772</v>
      </c>
      <c r="U816" s="372" t="s">
        <v>5924</v>
      </c>
      <c r="V816" s="722">
        <v>0</v>
      </c>
      <c r="W816" s="722">
        <v>2.2400000000000002</v>
      </c>
      <c r="X816" s="722">
        <v>0</v>
      </c>
      <c r="Y816" s="722">
        <v>0</v>
      </c>
      <c r="Z816" s="382" t="s">
        <v>934</v>
      </c>
      <c r="AA816" s="372">
        <v>837.50549000000001</v>
      </c>
      <c r="AB816" s="372">
        <v>1042.2511328000001</v>
      </c>
      <c r="AC816" s="372">
        <v>1065.0563440999999</v>
      </c>
      <c r="AD816" s="372">
        <v>1246.7326978000001</v>
      </c>
      <c r="AE816" s="372">
        <v>1401</v>
      </c>
      <c r="AF816" s="372">
        <v>0</v>
      </c>
      <c r="AG816" s="372">
        <v>0</v>
      </c>
      <c r="AH816" s="372">
        <v>0</v>
      </c>
    </row>
    <row r="817" spans="1:34">
      <c r="A817" s="372" t="s">
        <v>5925</v>
      </c>
      <c r="B817" s="373" t="s">
        <v>5926</v>
      </c>
      <c r="C817" s="372" t="s">
        <v>5927</v>
      </c>
      <c r="D817" s="374">
        <v>1101111784952</v>
      </c>
      <c r="E817" s="372" t="s">
        <v>5928</v>
      </c>
      <c r="F817" s="375" t="s">
        <v>1195</v>
      </c>
      <c r="G817" s="375" t="s">
        <v>1196</v>
      </c>
      <c r="H817" s="375" t="s">
        <v>868</v>
      </c>
      <c r="I817" s="375" t="s">
        <v>869</v>
      </c>
      <c r="J817" s="375">
        <v>350666.77094999998</v>
      </c>
      <c r="K817" s="375">
        <v>16088.546340000001</v>
      </c>
      <c r="L817" s="375">
        <v>22220.010409999999</v>
      </c>
      <c r="M817" s="375">
        <v>277200.02590000001</v>
      </c>
      <c r="N817" s="372">
        <v>1.0449999999999999</v>
      </c>
      <c r="O817" s="703">
        <v>82.108172273705577</v>
      </c>
      <c r="P817" s="375" t="s">
        <v>623</v>
      </c>
      <c r="Q817" s="375" t="s">
        <v>623</v>
      </c>
      <c r="R817" s="695">
        <v>20161130</v>
      </c>
      <c r="S817" s="375" t="s">
        <v>5929</v>
      </c>
      <c r="T817" s="696">
        <v>0.23100000000000001</v>
      </c>
      <c r="U817" s="372" t="s">
        <v>5930</v>
      </c>
      <c r="V817" s="722">
        <v>10.199999999999999</v>
      </c>
      <c r="W817" s="722">
        <v>0.89</v>
      </c>
      <c r="X817" s="722">
        <v>0.65</v>
      </c>
      <c r="Y817" s="722">
        <v>11.9</v>
      </c>
      <c r="Z817" s="382" t="s">
        <v>934</v>
      </c>
      <c r="AA817" s="372">
        <v>1087.9864095999999</v>
      </c>
      <c r="AB817" s="372">
        <v>3100.5053563000001</v>
      </c>
      <c r="AC817" s="372">
        <v>3528.7876424000001</v>
      </c>
      <c r="AD817" s="372">
        <v>3506.6677095</v>
      </c>
      <c r="AE817" s="372">
        <v>0</v>
      </c>
      <c r="AF817" s="372">
        <v>0</v>
      </c>
      <c r="AG817" s="372">
        <v>0</v>
      </c>
      <c r="AH817" s="372">
        <v>0</v>
      </c>
    </row>
    <row r="818" spans="1:34">
      <c r="A818" s="372" t="s">
        <v>5931</v>
      </c>
      <c r="B818" s="373" t="s">
        <v>5932</v>
      </c>
      <c r="C818" s="372" t="s">
        <v>5933</v>
      </c>
      <c r="D818" s="374">
        <v>1846110000583</v>
      </c>
      <c r="E818" s="372" t="s">
        <v>5934</v>
      </c>
      <c r="F818" s="375" t="s">
        <v>5935</v>
      </c>
      <c r="G818" s="375" t="s">
        <v>5935</v>
      </c>
      <c r="H818" s="375" t="s">
        <v>832</v>
      </c>
      <c r="I818" s="375" t="s">
        <v>755</v>
      </c>
      <c r="J818" s="375">
        <v>3036061.8544600001</v>
      </c>
      <c r="K818" s="375">
        <v>221038.04545999999</v>
      </c>
      <c r="L818" s="375">
        <v>180913.93882000001</v>
      </c>
      <c r="M818" s="375">
        <v>2231606.3240700001</v>
      </c>
      <c r="N818" s="372">
        <v>0.78700000000000003</v>
      </c>
      <c r="O818" s="703">
        <v>886.80355629611915</v>
      </c>
      <c r="P818" s="375" t="s">
        <v>623</v>
      </c>
      <c r="Q818" s="375" t="s">
        <v>623</v>
      </c>
      <c r="R818" s="695">
        <v>19871219</v>
      </c>
      <c r="S818" s="375" t="s">
        <v>5936</v>
      </c>
      <c r="T818" s="696">
        <v>0.23100000000000001</v>
      </c>
      <c r="U818" s="375" t="s">
        <v>5937</v>
      </c>
      <c r="V818" s="722">
        <v>6.23</v>
      </c>
      <c r="W818" s="722">
        <v>0.2</v>
      </c>
      <c r="X818" s="722">
        <v>0.08</v>
      </c>
      <c r="Y818" s="722">
        <v>5.72</v>
      </c>
      <c r="Z818" s="382" t="s">
        <v>934</v>
      </c>
      <c r="AA818" s="372">
        <v>19685.3637299</v>
      </c>
      <c r="AB818" s="372">
        <v>24038.812709900001</v>
      </c>
      <c r="AC818" s="372">
        <v>30039.500062200001</v>
      </c>
      <c r="AD818" s="372">
        <v>30360.618544600002</v>
      </c>
      <c r="AE818" s="372">
        <v>0</v>
      </c>
      <c r="AF818" s="372">
        <v>0</v>
      </c>
      <c r="AG818" s="372">
        <v>0</v>
      </c>
      <c r="AH818" s="372">
        <v>0</v>
      </c>
    </row>
    <row r="819" spans="1:34">
      <c r="A819" s="372" t="s">
        <v>5938</v>
      </c>
      <c r="B819" s="373" t="s">
        <v>5939</v>
      </c>
      <c r="C819" s="372" t="s">
        <v>5940</v>
      </c>
      <c r="D819" s="374">
        <v>1101111864829</v>
      </c>
      <c r="E819" s="372" t="s">
        <v>5941</v>
      </c>
      <c r="F819" s="375" t="s">
        <v>3266</v>
      </c>
      <c r="G819" s="375" t="s">
        <v>3266</v>
      </c>
      <c r="H819" s="375" t="s">
        <v>1388</v>
      </c>
      <c r="I819" s="375" t="s">
        <v>869</v>
      </c>
      <c r="J819" s="375">
        <v>11623.137409999999</v>
      </c>
      <c r="K819" s="375">
        <v>-2141.1492499999999</v>
      </c>
      <c r="L819" s="375">
        <v>-2025.0380500000001</v>
      </c>
      <c r="M819" s="375">
        <v>35471.428059999998</v>
      </c>
      <c r="N819" s="372" t="s">
        <v>1033</v>
      </c>
      <c r="O819" s="703">
        <v>9.1174997633585012E-2</v>
      </c>
      <c r="P819" s="375" t="s">
        <v>623</v>
      </c>
      <c r="Q819" s="375" t="s">
        <v>623</v>
      </c>
      <c r="R819" s="695">
        <v>20230307</v>
      </c>
      <c r="S819" s="375" t="s">
        <v>5942</v>
      </c>
      <c r="T819" s="696" t="s">
        <v>772</v>
      </c>
      <c r="U819" s="372" t="s">
        <v>5943</v>
      </c>
      <c r="V819" s="722">
        <v>0</v>
      </c>
      <c r="W819" s="722">
        <v>4.96</v>
      </c>
      <c r="X819" s="722">
        <v>0</v>
      </c>
      <c r="Y819" s="722">
        <v>0</v>
      </c>
      <c r="Z819" s="382" t="s">
        <v>934</v>
      </c>
      <c r="AA819" s="372">
        <v>115.69598000000001</v>
      </c>
      <c r="AB819" s="372">
        <v>143.24068209999999</v>
      </c>
      <c r="AC819" s="372">
        <v>161.18235540000001</v>
      </c>
      <c r="AD819" s="372">
        <v>116.2313741</v>
      </c>
      <c r="AE819" s="372">
        <v>0</v>
      </c>
      <c r="AF819" s="372">
        <v>0</v>
      </c>
      <c r="AG819" s="372">
        <v>0</v>
      </c>
      <c r="AH819" s="372">
        <v>0</v>
      </c>
    </row>
    <row r="820" spans="1:34">
      <c r="A820" s="372" t="s">
        <v>5944</v>
      </c>
      <c r="B820" s="373" t="s">
        <v>5945</v>
      </c>
      <c r="C820" s="372" t="s">
        <v>5946</v>
      </c>
      <c r="D820" s="374">
        <v>1341110059845</v>
      </c>
      <c r="E820" s="372" t="s">
        <v>5947</v>
      </c>
      <c r="F820" s="375" t="s">
        <v>1285</v>
      </c>
      <c r="G820" s="375" t="s">
        <v>1285</v>
      </c>
      <c r="H820" s="375" t="s">
        <v>1388</v>
      </c>
      <c r="I820" s="375" t="s">
        <v>869</v>
      </c>
      <c r="J820" s="375">
        <v>56850.074930000002</v>
      </c>
      <c r="K820" s="375">
        <v>374.27796000000001</v>
      </c>
      <c r="L820" s="375">
        <v>981.55358000000001</v>
      </c>
      <c r="M820" s="375">
        <v>35961.436320000001</v>
      </c>
      <c r="N820" s="372">
        <v>0.95299999999999996</v>
      </c>
      <c r="O820" s="703">
        <v>37.196163080048542</v>
      </c>
      <c r="P820" s="375" t="s">
        <v>623</v>
      </c>
      <c r="Q820" s="372" t="s">
        <v>623</v>
      </c>
      <c r="R820" s="695">
        <v>20141224</v>
      </c>
      <c r="S820" s="372" t="s">
        <v>5948</v>
      </c>
      <c r="T820" s="696">
        <v>0.20900000000000002</v>
      </c>
      <c r="U820" s="372" t="s">
        <v>5949</v>
      </c>
      <c r="V820" s="722">
        <v>20.399999999999999</v>
      </c>
      <c r="W820" s="722">
        <v>3.72</v>
      </c>
      <c r="X820" s="722">
        <v>2.8</v>
      </c>
      <c r="Y820" s="722">
        <v>148.5</v>
      </c>
      <c r="Z820" s="382" t="s">
        <v>934</v>
      </c>
      <c r="AA820" s="372">
        <v>451.19741720000002</v>
      </c>
      <c r="AB820" s="372">
        <v>593.03792759999999</v>
      </c>
      <c r="AC820" s="372">
        <v>641.76500339999996</v>
      </c>
      <c r="AD820" s="372">
        <v>568.50074930000005</v>
      </c>
      <c r="AE820" s="372">
        <v>0</v>
      </c>
      <c r="AF820" s="372">
        <v>0</v>
      </c>
      <c r="AG820" s="372">
        <v>0</v>
      </c>
      <c r="AH820" s="372">
        <v>0</v>
      </c>
    </row>
    <row r="821" spans="1:34">
      <c r="A821" s="372" t="s">
        <v>5950</v>
      </c>
      <c r="B821" s="373" t="s">
        <v>5951</v>
      </c>
      <c r="C821" s="372" t="s">
        <v>5952</v>
      </c>
      <c r="D821" s="374">
        <v>1101111848980</v>
      </c>
      <c r="E821" s="372" t="s">
        <v>5953</v>
      </c>
      <c r="F821" s="372" t="s">
        <v>5954</v>
      </c>
      <c r="G821" s="375" t="s">
        <v>5954</v>
      </c>
      <c r="H821" s="375" t="s">
        <v>1348</v>
      </c>
      <c r="I821" s="375" t="s">
        <v>869</v>
      </c>
      <c r="J821" s="375">
        <v>365516.53285999998</v>
      </c>
      <c r="K821" s="375">
        <v>27993.203099999999</v>
      </c>
      <c r="L821" s="375">
        <v>15999.91863</v>
      </c>
      <c r="M821" s="375">
        <v>183922.81036999999</v>
      </c>
      <c r="N821" s="372">
        <v>0.81499999999999995</v>
      </c>
      <c r="O821" s="703">
        <v>159.47872607137396</v>
      </c>
      <c r="P821" s="375" t="s">
        <v>623</v>
      </c>
      <c r="Q821" s="372" t="s">
        <v>623</v>
      </c>
      <c r="R821" s="695">
        <v>20060714</v>
      </c>
      <c r="S821" s="372" t="s">
        <v>5955</v>
      </c>
      <c r="T821" s="696">
        <v>0.20900000000000002</v>
      </c>
      <c r="U821" s="372" t="s">
        <v>5956</v>
      </c>
      <c r="V821" s="722">
        <v>4.34</v>
      </c>
      <c r="W821" s="722">
        <v>0.97</v>
      </c>
      <c r="X821" s="722">
        <v>0.57999999999999996</v>
      </c>
      <c r="Y821" s="722">
        <v>14.73</v>
      </c>
      <c r="Z821" s="382">
        <v>8.1689387565402782E-2</v>
      </c>
      <c r="AA821" s="372">
        <v>2258.7063314000002</v>
      </c>
      <c r="AB821" s="372">
        <v>2383.6436365</v>
      </c>
      <c r="AC821" s="372">
        <v>2889.1324549999999</v>
      </c>
      <c r="AD821" s="372">
        <v>3655.1653286000001</v>
      </c>
      <c r="AE821" s="372">
        <v>4038</v>
      </c>
      <c r="AF821" s="372">
        <v>4521</v>
      </c>
      <c r="AG821" s="372">
        <v>5004</v>
      </c>
      <c r="AH821" s="372">
        <v>5468</v>
      </c>
    </row>
    <row r="822" spans="1:34">
      <c r="A822" s="372" t="s">
        <v>5957</v>
      </c>
      <c r="B822" s="373" t="s">
        <v>5958</v>
      </c>
      <c r="C822" s="372" t="s">
        <v>5959</v>
      </c>
      <c r="D822" s="374">
        <v>1101114531045</v>
      </c>
      <c r="E822" s="372" t="s">
        <v>5960</v>
      </c>
      <c r="F822" s="375" t="s">
        <v>5961</v>
      </c>
      <c r="G822" s="375" t="s">
        <v>5961</v>
      </c>
      <c r="H822" s="375" t="s">
        <v>1388</v>
      </c>
      <c r="I822" s="375" t="s">
        <v>869</v>
      </c>
      <c r="J822" s="375">
        <v>49434.135090000003</v>
      </c>
      <c r="K822" s="375">
        <v>10071.43218</v>
      </c>
      <c r="L822" s="375">
        <v>13366.34281</v>
      </c>
      <c r="M822" s="375">
        <v>95077.662859999997</v>
      </c>
      <c r="N822" s="372">
        <v>1.1419999999999999</v>
      </c>
      <c r="O822" s="703">
        <v>0.12021454886735482</v>
      </c>
      <c r="P822" s="375" t="s">
        <v>623</v>
      </c>
      <c r="Q822" s="375" t="s">
        <v>623</v>
      </c>
      <c r="R822" s="695">
        <v>20160304</v>
      </c>
      <c r="S822" s="375" t="s">
        <v>5962</v>
      </c>
      <c r="T822" s="696">
        <v>0.20900000000000002</v>
      </c>
      <c r="U822" s="372" t="s">
        <v>5963</v>
      </c>
      <c r="V822" s="722">
        <v>0</v>
      </c>
      <c r="W822" s="722">
        <v>2.0099999999999998</v>
      </c>
      <c r="X822" s="722">
        <v>0</v>
      </c>
      <c r="Y822" s="722">
        <v>0</v>
      </c>
      <c r="Z822" s="382" t="s">
        <v>934</v>
      </c>
      <c r="AA822" s="372">
        <v>453.7928162</v>
      </c>
      <c r="AB822" s="372">
        <v>402.01720460000001</v>
      </c>
      <c r="AC822" s="372">
        <v>536.04126080000003</v>
      </c>
      <c r="AD822" s="372">
        <v>494.34135090000001</v>
      </c>
      <c r="AE822" s="372">
        <v>0</v>
      </c>
      <c r="AF822" s="372">
        <v>0</v>
      </c>
      <c r="AG822" s="372">
        <v>0</v>
      </c>
      <c r="AH822" s="372">
        <v>0</v>
      </c>
    </row>
    <row r="823" spans="1:34">
      <c r="A823" s="372" t="s">
        <v>5964</v>
      </c>
      <c r="B823" s="373" t="s">
        <v>5965</v>
      </c>
      <c r="C823" s="372" t="s">
        <v>5966</v>
      </c>
      <c r="D823" s="374">
        <v>1101113520627</v>
      </c>
      <c r="E823" s="372" t="s">
        <v>5967</v>
      </c>
      <c r="F823" s="375" t="s">
        <v>1313</v>
      </c>
      <c r="G823" s="375" t="s">
        <v>1313</v>
      </c>
      <c r="H823" s="375" t="s">
        <v>832</v>
      </c>
      <c r="I823" s="375" t="s">
        <v>755</v>
      </c>
      <c r="J823" s="375">
        <v>1207010.1595000001</v>
      </c>
      <c r="K823" s="375">
        <v>65375.088819999997</v>
      </c>
      <c r="L823" s="375">
        <v>178296.90259000001</v>
      </c>
      <c r="M823" s="375">
        <v>1463012.1908</v>
      </c>
      <c r="N823" s="372">
        <v>0.66500000000000004</v>
      </c>
      <c r="O823" s="703">
        <v>98.61099838423219</v>
      </c>
      <c r="P823" s="375" t="s">
        <v>623</v>
      </c>
      <c r="Q823" s="375" t="s">
        <v>623</v>
      </c>
      <c r="R823" s="695">
        <v>20061012</v>
      </c>
      <c r="S823" s="375" t="s">
        <v>861</v>
      </c>
      <c r="T823" s="696">
        <v>0.23100000000000001</v>
      </c>
      <c r="U823" s="375" t="s">
        <v>5968</v>
      </c>
      <c r="V823" s="722">
        <v>7.01</v>
      </c>
      <c r="W823" s="722">
        <v>0.23</v>
      </c>
      <c r="X823" s="722">
        <v>0.18</v>
      </c>
      <c r="Y823" s="722">
        <v>2.58</v>
      </c>
      <c r="Z823" s="382" t="s">
        <v>934</v>
      </c>
      <c r="AA823" s="372">
        <v>9531.7961849000003</v>
      </c>
      <c r="AB823" s="372">
        <v>12387.0222992</v>
      </c>
      <c r="AC823" s="372">
        <v>12404.474447099999</v>
      </c>
      <c r="AD823" s="372">
        <v>12070.101595</v>
      </c>
      <c r="AE823" s="372">
        <v>0</v>
      </c>
      <c r="AF823" s="372">
        <v>0</v>
      </c>
      <c r="AG823" s="372">
        <v>0</v>
      </c>
      <c r="AH823" s="372">
        <v>0</v>
      </c>
    </row>
    <row r="824" spans="1:34">
      <c r="A824" s="372" t="s">
        <v>5969</v>
      </c>
      <c r="B824" s="373" t="s">
        <v>5970</v>
      </c>
      <c r="C824" s="372" t="s">
        <v>5971</v>
      </c>
      <c r="D824" s="374">
        <v>1101110539382</v>
      </c>
      <c r="E824" s="372" t="s">
        <v>5972</v>
      </c>
      <c r="F824" s="375" t="s">
        <v>2542</v>
      </c>
      <c r="G824" s="375" t="s">
        <v>2542</v>
      </c>
      <c r="H824" s="375" t="s">
        <v>823</v>
      </c>
      <c r="I824" s="375" t="s">
        <v>755</v>
      </c>
      <c r="J824" s="375">
        <v>171042.23714000001</v>
      </c>
      <c r="K824" s="375">
        <v>-5744.8562499999998</v>
      </c>
      <c r="L824" s="375">
        <v>-32396.877550000001</v>
      </c>
      <c r="M824" s="375">
        <v>208684.62659999999</v>
      </c>
      <c r="N824" s="372">
        <v>1.069</v>
      </c>
      <c r="O824" s="703">
        <v>29.916690295406667</v>
      </c>
      <c r="P824" s="375" t="s">
        <v>623</v>
      </c>
      <c r="Q824" s="375" t="s">
        <v>623</v>
      </c>
      <c r="R824" s="695">
        <v>19960703</v>
      </c>
      <c r="S824" s="375" t="s">
        <v>5973</v>
      </c>
      <c r="T824" s="696" t="s">
        <v>772</v>
      </c>
      <c r="U824" s="372" t="s">
        <v>5974</v>
      </c>
      <c r="V824" s="722">
        <v>34.78</v>
      </c>
      <c r="W824" s="722">
        <v>0.97</v>
      </c>
      <c r="X824" s="722">
        <v>1.18</v>
      </c>
      <c r="Y824" s="722" t="s">
        <v>774</v>
      </c>
      <c r="Z824" s="382" t="s">
        <v>934</v>
      </c>
      <c r="AA824" s="372">
        <v>455.06775570000002</v>
      </c>
      <c r="AB824" s="372">
        <v>1191.1815590000001</v>
      </c>
      <c r="AC824" s="372">
        <v>1694.3377476000001</v>
      </c>
      <c r="AD824" s="372">
        <v>1710.4223714</v>
      </c>
      <c r="AE824" s="372">
        <v>2003</v>
      </c>
      <c r="AF824" s="372">
        <v>0</v>
      </c>
      <c r="AG824" s="372">
        <v>0</v>
      </c>
      <c r="AH824" s="372">
        <v>0</v>
      </c>
    </row>
    <row r="825" spans="1:34">
      <c r="A825" s="372" t="s">
        <v>5975</v>
      </c>
      <c r="B825" s="373" t="s">
        <v>5976</v>
      </c>
      <c r="C825" s="372" t="s">
        <v>5977</v>
      </c>
      <c r="D825" s="374">
        <v>1101111041633</v>
      </c>
      <c r="E825" s="372" t="s">
        <v>5978</v>
      </c>
      <c r="F825" s="375" t="s">
        <v>1013</v>
      </c>
      <c r="G825" s="375" t="s">
        <v>1225</v>
      </c>
      <c r="H825" s="375" t="s">
        <v>1693</v>
      </c>
      <c r="I825" s="375" t="s">
        <v>869</v>
      </c>
      <c r="J825" s="375">
        <v>149618.51917000001</v>
      </c>
      <c r="K825" s="375">
        <v>25330.688880000002</v>
      </c>
      <c r="L825" s="375">
        <v>12392.46536</v>
      </c>
      <c r="M825" s="375">
        <v>107687.92789000001</v>
      </c>
      <c r="N825" s="372">
        <v>1.075</v>
      </c>
      <c r="O825" s="703">
        <v>60.449454572922512</v>
      </c>
      <c r="P825" s="375" t="s">
        <v>623</v>
      </c>
      <c r="Q825" s="375" t="s">
        <v>623</v>
      </c>
      <c r="R825" s="695">
        <v>20080530</v>
      </c>
      <c r="S825" s="375" t="s">
        <v>5979</v>
      </c>
      <c r="T825" s="696">
        <v>0.20900000000000002</v>
      </c>
      <c r="U825" s="375" t="s">
        <v>5980</v>
      </c>
      <c r="V825" s="722">
        <v>8.85</v>
      </c>
      <c r="W825" s="722">
        <v>1.79</v>
      </c>
      <c r="X825" s="722">
        <v>1.27</v>
      </c>
      <c r="Y825" s="722">
        <v>34.479999999999997</v>
      </c>
      <c r="Z825" s="382">
        <v>6.280880586466564E-2</v>
      </c>
      <c r="AA825" s="372">
        <v>1653.8379898999999</v>
      </c>
      <c r="AB825" s="372">
        <v>2013.0214817999999</v>
      </c>
      <c r="AC825" s="372">
        <v>1637.7949676000001</v>
      </c>
      <c r="AD825" s="372">
        <v>1496.1851916999999</v>
      </c>
      <c r="AE825" s="372">
        <v>1630</v>
      </c>
      <c r="AF825" s="372">
        <v>1859</v>
      </c>
      <c r="AG825" s="372">
        <v>1909</v>
      </c>
      <c r="AH825" s="372">
        <v>0</v>
      </c>
    </row>
    <row r="826" spans="1:34">
      <c r="A826" s="372" t="s">
        <v>5981</v>
      </c>
      <c r="B826" s="373" t="s">
        <v>5982</v>
      </c>
      <c r="C826" s="372" t="s">
        <v>5983</v>
      </c>
      <c r="D826" s="374">
        <v>1101110005333</v>
      </c>
      <c r="E826" s="372" t="s">
        <v>5984</v>
      </c>
      <c r="F826" s="375" t="s">
        <v>2729</v>
      </c>
      <c r="G826" s="375" t="s">
        <v>5245</v>
      </c>
      <c r="H826" s="375" t="s">
        <v>1481</v>
      </c>
      <c r="I826" s="375" t="s">
        <v>755</v>
      </c>
      <c r="J826" s="375">
        <v>866327.00852000003</v>
      </c>
      <c r="K826" s="375">
        <v>26548.625909999999</v>
      </c>
      <c r="L826" s="375">
        <v>31027.663789999999</v>
      </c>
      <c r="M826" s="375">
        <v>788242.19240000006</v>
      </c>
      <c r="N826" s="372">
        <v>0.94099999999999995</v>
      </c>
      <c r="O826" s="703">
        <v>64.361249695123178</v>
      </c>
      <c r="P826" s="375" t="s">
        <v>623</v>
      </c>
      <c r="Q826" s="375" t="s">
        <v>623</v>
      </c>
      <c r="R826" s="695">
        <v>19760625</v>
      </c>
      <c r="S826" s="375" t="s">
        <v>5985</v>
      </c>
      <c r="T826" s="696">
        <v>0.23100000000000001</v>
      </c>
      <c r="U826" s="375" t="s">
        <v>5986</v>
      </c>
      <c r="V826" s="722">
        <v>6.15</v>
      </c>
      <c r="W826" s="722">
        <v>0.26</v>
      </c>
      <c r="X826" s="722">
        <v>0.28000000000000003</v>
      </c>
      <c r="Y826" s="722">
        <v>13.16</v>
      </c>
      <c r="Z826" s="382" t="s">
        <v>934</v>
      </c>
      <c r="AA826" s="372">
        <v>6029.3992994999999</v>
      </c>
      <c r="AB826" s="372">
        <v>6995.6945816999996</v>
      </c>
      <c r="AC826" s="372">
        <v>7676.8153758999997</v>
      </c>
      <c r="AD826" s="372">
        <v>8663.2700851999998</v>
      </c>
      <c r="AE826" s="372">
        <v>0</v>
      </c>
      <c r="AF826" s="372">
        <v>0</v>
      </c>
      <c r="AG826" s="372">
        <v>0</v>
      </c>
      <c r="AH826" s="372">
        <v>0</v>
      </c>
    </row>
    <row r="827" spans="1:34">
      <c r="A827" s="372" t="s">
        <v>5987</v>
      </c>
      <c r="B827" s="373" t="s">
        <v>5988</v>
      </c>
      <c r="C827" s="372" t="s">
        <v>5989</v>
      </c>
      <c r="D827" s="374">
        <v>2850110209804</v>
      </c>
      <c r="E827" s="372" t="s">
        <v>5990</v>
      </c>
      <c r="F827" s="372" t="s">
        <v>3346</v>
      </c>
      <c r="G827" s="375" t="s">
        <v>3346</v>
      </c>
      <c r="H827" s="375" t="s">
        <v>1547</v>
      </c>
      <c r="I827" s="375" t="s">
        <v>869</v>
      </c>
      <c r="J827" s="375">
        <v>67717.191460000002</v>
      </c>
      <c r="K827" s="375">
        <v>-41.361139999999999</v>
      </c>
      <c r="L827" s="375">
        <v>-859.94821999999999</v>
      </c>
      <c r="M827" s="375">
        <v>58530.268360000002</v>
      </c>
      <c r="N827" s="372">
        <v>1.196</v>
      </c>
      <c r="O827" s="703">
        <v>5.4235532527001675</v>
      </c>
      <c r="P827" s="375" t="s">
        <v>623</v>
      </c>
      <c r="Q827" s="375" t="s">
        <v>623</v>
      </c>
      <c r="R827" s="695">
        <v>20151222</v>
      </c>
      <c r="S827" s="375" t="s">
        <v>5991</v>
      </c>
      <c r="T827" s="696" t="s">
        <v>772</v>
      </c>
      <c r="U827" s="372" t="s">
        <v>5992</v>
      </c>
      <c r="V827" s="722">
        <v>35.57</v>
      </c>
      <c r="W827" s="722">
        <v>4.04</v>
      </c>
      <c r="X827" s="722">
        <v>3.32</v>
      </c>
      <c r="Y827" s="722" t="s">
        <v>774</v>
      </c>
      <c r="Z827" s="382" t="s">
        <v>934</v>
      </c>
      <c r="AA827" s="372">
        <v>263.29131999999998</v>
      </c>
      <c r="AB827" s="372">
        <v>430.25492359999998</v>
      </c>
      <c r="AC827" s="372">
        <v>659.05730679999999</v>
      </c>
      <c r="AD827" s="372">
        <v>677.17191460000004</v>
      </c>
      <c r="AE827" s="372">
        <v>830</v>
      </c>
      <c r="AF827" s="372">
        <v>0</v>
      </c>
      <c r="AG827" s="372">
        <v>0</v>
      </c>
      <c r="AH827" s="372">
        <v>0</v>
      </c>
    </row>
    <row r="828" spans="1:34">
      <c r="A828" s="372" t="s">
        <v>5993</v>
      </c>
      <c r="B828" s="373" t="s">
        <v>5994</v>
      </c>
      <c r="C828" s="372" t="s">
        <v>5995</v>
      </c>
      <c r="D828" s="374">
        <v>1341110627048</v>
      </c>
      <c r="E828" s="372" t="s">
        <v>5996</v>
      </c>
      <c r="F828" s="375" t="s">
        <v>5997</v>
      </c>
      <c r="G828" s="375" t="s">
        <v>5997</v>
      </c>
      <c r="H828" s="375" t="s">
        <v>853</v>
      </c>
      <c r="I828" s="375" t="s">
        <v>755</v>
      </c>
      <c r="J828" s="375">
        <v>2403014.4799600001</v>
      </c>
      <c r="K828" s="375">
        <v>39353.222710000002</v>
      </c>
      <c r="L828" s="375">
        <v>21886.34374</v>
      </c>
      <c r="M828" s="375">
        <v>190517.01839000001</v>
      </c>
      <c r="N828" s="372" t="s">
        <v>1033</v>
      </c>
      <c r="O828" s="703">
        <v>225.35517461807331</v>
      </c>
      <c r="P828" s="375" t="s">
        <v>623</v>
      </c>
      <c r="Q828" s="375" t="s">
        <v>623</v>
      </c>
      <c r="R828" s="695">
        <v>20230131</v>
      </c>
      <c r="S828" s="375" t="s">
        <v>5998</v>
      </c>
      <c r="T828" s="696">
        <v>0.23100000000000001</v>
      </c>
      <c r="U828" s="375" t="s">
        <v>5999</v>
      </c>
      <c r="V828" s="722">
        <v>7.45</v>
      </c>
      <c r="W828" s="722">
        <v>0.99</v>
      </c>
      <c r="X828" s="722">
        <v>0.08</v>
      </c>
      <c r="Y828" s="722">
        <v>15.56</v>
      </c>
      <c r="Z828" s="382" t="s">
        <v>934</v>
      </c>
      <c r="AA828" s="372">
        <v>0</v>
      </c>
      <c r="AB828" s="372">
        <v>0</v>
      </c>
      <c r="AC828" s="372">
        <v>0</v>
      </c>
      <c r="AD828" s="372">
        <v>24030.144799599999</v>
      </c>
      <c r="AE828" s="372">
        <v>0</v>
      </c>
      <c r="AF828" s="372">
        <v>0</v>
      </c>
      <c r="AG828" s="372">
        <v>0</v>
      </c>
      <c r="AH828" s="372">
        <v>0</v>
      </c>
    </row>
    <row r="829" spans="1:34">
      <c r="A829" s="372" t="s">
        <v>6000</v>
      </c>
      <c r="B829" s="373" t="s">
        <v>6001</v>
      </c>
      <c r="C829" s="372" t="s">
        <v>6002</v>
      </c>
      <c r="D829" s="374">
        <v>1101110514029</v>
      </c>
      <c r="E829" s="372" t="s">
        <v>6003</v>
      </c>
      <c r="F829" s="375" t="s">
        <v>6004</v>
      </c>
      <c r="G829" s="375" t="s">
        <v>6004</v>
      </c>
      <c r="H829" s="375" t="s">
        <v>823</v>
      </c>
      <c r="I829" s="375" t="s">
        <v>755</v>
      </c>
      <c r="J829" s="375">
        <v>659740.74326999998</v>
      </c>
      <c r="K829" s="375">
        <v>-27779.172709999999</v>
      </c>
      <c r="L829" s="375">
        <v>-95655.379190000007</v>
      </c>
      <c r="M829" s="375">
        <v>308525.11615000002</v>
      </c>
      <c r="N829" s="372">
        <v>0.85</v>
      </c>
      <c r="O829" s="703">
        <v>77.718969186544854</v>
      </c>
      <c r="P829" s="375" t="s">
        <v>623</v>
      </c>
      <c r="Q829" s="372" t="s">
        <v>623</v>
      </c>
      <c r="R829" s="695">
        <v>20040203</v>
      </c>
      <c r="S829" s="372" t="s">
        <v>6005</v>
      </c>
      <c r="T829" s="696" t="s">
        <v>772</v>
      </c>
      <c r="U829" s="375" t="s">
        <v>6006</v>
      </c>
      <c r="V829" s="722">
        <v>27.41</v>
      </c>
      <c r="W829" s="722">
        <v>0.63</v>
      </c>
      <c r="X829" s="722">
        <v>0.41</v>
      </c>
      <c r="Y829" s="722" t="s">
        <v>774</v>
      </c>
      <c r="Z829" s="382">
        <v>-1.1544009627453833E-2</v>
      </c>
      <c r="AA829" s="372">
        <v>6270.0558982000002</v>
      </c>
      <c r="AB829" s="372">
        <v>6383.9475254999998</v>
      </c>
      <c r="AC829" s="372">
        <v>6830.7634373999999</v>
      </c>
      <c r="AD829" s="372">
        <v>6597.4074326999998</v>
      </c>
      <c r="AE829" s="372">
        <v>6453</v>
      </c>
      <c r="AF829" s="372">
        <v>6346</v>
      </c>
      <c r="AG829" s="372">
        <v>6298</v>
      </c>
      <c r="AH829" s="372">
        <v>0</v>
      </c>
    </row>
    <row r="830" spans="1:34">
      <c r="A830" s="372" t="s">
        <v>6007</v>
      </c>
      <c r="B830" s="373" t="s">
        <v>6008</v>
      </c>
      <c r="C830" s="372" t="s">
        <v>6009</v>
      </c>
      <c r="D830" s="374">
        <v>1601110302755</v>
      </c>
      <c r="E830" s="372" t="s">
        <v>6010</v>
      </c>
      <c r="F830" s="375" t="s">
        <v>2858</v>
      </c>
      <c r="G830" s="375" t="s">
        <v>2859</v>
      </c>
      <c r="H830" s="375" t="s">
        <v>1388</v>
      </c>
      <c r="I830" s="375" t="s">
        <v>869</v>
      </c>
      <c r="J830" s="375">
        <v>278189.27896999998</v>
      </c>
      <c r="K830" s="375">
        <v>22645.779190000001</v>
      </c>
      <c r="L830" s="375">
        <v>28327.308369999999</v>
      </c>
      <c r="M830" s="375">
        <v>336677.73298999999</v>
      </c>
      <c r="N830" s="372">
        <v>0.79900000000000004</v>
      </c>
      <c r="O830" s="703">
        <v>27.79290077089302</v>
      </c>
      <c r="P830" s="375" t="s">
        <v>623</v>
      </c>
      <c r="Q830" s="372" t="s">
        <v>623</v>
      </c>
      <c r="R830" s="695">
        <v>20110926</v>
      </c>
      <c r="S830" s="375" t="s">
        <v>6011</v>
      </c>
      <c r="T830" s="696">
        <v>0.23100000000000001</v>
      </c>
      <c r="U830" s="372" t="s">
        <v>6012</v>
      </c>
      <c r="V830" s="722">
        <v>9.67</v>
      </c>
      <c r="W830" s="722">
        <v>1.04</v>
      </c>
      <c r="X830" s="722">
        <v>0.83</v>
      </c>
      <c r="Y830" s="722">
        <v>11.45</v>
      </c>
      <c r="Z830" s="382" t="s">
        <v>934</v>
      </c>
      <c r="AA830" s="372">
        <v>1509.9603717</v>
      </c>
      <c r="AB830" s="372">
        <v>2040.5482500000001</v>
      </c>
      <c r="AC830" s="372">
        <v>2699.2334698999998</v>
      </c>
      <c r="AD830" s="372">
        <v>2781.8927896999999</v>
      </c>
      <c r="AE830" s="372">
        <v>3729</v>
      </c>
      <c r="AF830" s="372">
        <v>0</v>
      </c>
      <c r="AG830" s="372">
        <v>0</v>
      </c>
      <c r="AH830" s="372">
        <v>0</v>
      </c>
    </row>
    <row r="831" spans="1:34">
      <c r="A831" s="372" t="s">
        <v>6013</v>
      </c>
      <c r="B831" s="373" t="s">
        <v>6014</v>
      </c>
      <c r="C831" s="372" t="s">
        <v>6015</v>
      </c>
      <c r="D831" s="374">
        <v>1101112078073</v>
      </c>
      <c r="E831" s="372" t="s">
        <v>6016</v>
      </c>
      <c r="F831" s="375" t="s">
        <v>2858</v>
      </c>
      <c r="G831" s="375" t="s">
        <v>2858</v>
      </c>
      <c r="H831" s="375" t="s">
        <v>1388</v>
      </c>
      <c r="I831" s="375" t="s">
        <v>869</v>
      </c>
      <c r="J831" s="375">
        <v>137371.05442999999</v>
      </c>
      <c r="K831" s="375">
        <v>10281.60153</v>
      </c>
      <c r="L831" s="375">
        <v>13268.77713</v>
      </c>
      <c r="M831" s="375">
        <v>165944.31787999999</v>
      </c>
      <c r="N831" s="372">
        <v>1</v>
      </c>
      <c r="O831" s="703">
        <v>0.98883505960938278</v>
      </c>
      <c r="P831" s="375" t="s">
        <v>623</v>
      </c>
      <c r="Q831" s="375" t="s">
        <v>623</v>
      </c>
      <c r="R831" s="695">
        <v>20050202</v>
      </c>
      <c r="S831" s="375" t="s">
        <v>6017</v>
      </c>
      <c r="T831" s="696">
        <v>0.20900000000000002</v>
      </c>
      <c r="U831" s="372" t="s">
        <v>6018</v>
      </c>
      <c r="V831" s="722">
        <v>13.44</v>
      </c>
      <c r="W831" s="722">
        <v>1.21</v>
      </c>
      <c r="X831" s="722">
        <v>1.46</v>
      </c>
      <c r="Y831" s="722">
        <v>18.46</v>
      </c>
      <c r="Z831" s="382">
        <v>0.20756100808438283</v>
      </c>
      <c r="AA831" s="372">
        <v>929.67215650000003</v>
      </c>
      <c r="AB831" s="372">
        <v>906.68655850000005</v>
      </c>
      <c r="AC831" s="372">
        <v>1328.5414410999999</v>
      </c>
      <c r="AD831" s="372">
        <v>1373.7105443</v>
      </c>
      <c r="AE831" s="372">
        <v>2277</v>
      </c>
      <c r="AF831" s="372">
        <v>2663</v>
      </c>
      <c r="AG831" s="372">
        <v>2921</v>
      </c>
      <c r="AH831" s="372">
        <v>0</v>
      </c>
    </row>
    <row r="832" spans="1:34">
      <c r="A832" s="372" t="s">
        <v>6019</v>
      </c>
      <c r="B832" s="373" t="s">
        <v>6020</v>
      </c>
      <c r="C832" s="372" t="s">
        <v>6021</v>
      </c>
      <c r="D832" s="374">
        <v>1101112093237</v>
      </c>
      <c r="E832" s="372" t="s">
        <v>6022</v>
      </c>
      <c r="F832" s="375" t="s">
        <v>4782</v>
      </c>
      <c r="G832" s="375" t="s">
        <v>6023</v>
      </c>
      <c r="H832" s="375" t="s">
        <v>1950</v>
      </c>
      <c r="I832" s="375" t="s">
        <v>869</v>
      </c>
      <c r="J832" s="375">
        <v>403052.35360999999</v>
      </c>
      <c r="K832" s="375">
        <v>62019.517379999998</v>
      </c>
      <c r="L832" s="375">
        <v>40629.104570000003</v>
      </c>
      <c r="M832" s="375">
        <v>350243.37040999997</v>
      </c>
      <c r="N832" s="372">
        <v>0.85099999999999998</v>
      </c>
      <c r="O832" s="703">
        <v>148.364188268421</v>
      </c>
      <c r="P832" s="375" t="s">
        <v>623</v>
      </c>
      <c r="Q832" s="372" t="s">
        <v>623</v>
      </c>
      <c r="R832" s="695">
        <v>20110525</v>
      </c>
      <c r="S832" s="372" t="s">
        <v>6024</v>
      </c>
      <c r="T832" s="696">
        <v>0.23100000000000001</v>
      </c>
      <c r="U832" s="372" t="s">
        <v>16030</v>
      </c>
      <c r="V832" s="722">
        <v>4.2</v>
      </c>
      <c r="W832" s="722">
        <v>0.63</v>
      </c>
      <c r="X832" s="722">
        <v>0.56999999999999995</v>
      </c>
      <c r="Y832" s="722">
        <v>13.27</v>
      </c>
      <c r="Z832" s="382" t="s">
        <v>934</v>
      </c>
      <c r="AA832" s="372">
        <v>2767.3341182999998</v>
      </c>
      <c r="AB832" s="372">
        <v>2889.4879086999999</v>
      </c>
      <c r="AC832" s="372">
        <v>3262.6609801999998</v>
      </c>
      <c r="AD832" s="372">
        <v>4030.5235361</v>
      </c>
      <c r="AE832" s="372">
        <v>4657</v>
      </c>
      <c r="AF832" s="372">
        <v>0</v>
      </c>
      <c r="AG832" s="372">
        <v>0</v>
      </c>
      <c r="AH832" s="372">
        <v>0</v>
      </c>
    </row>
    <row r="833" spans="1:34">
      <c r="A833" s="372" t="s">
        <v>6025</v>
      </c>
      <c r="B833" s="373" t="s">
        <v>6026</v>
      </c>
      <c r="C833" s="372" t="s">
        <v>6027</v>
      </c>
      <c r="D833" s="374">
        <v>1101111727332</v>
      </c>
      <c r="E833" s="372" t="s">
        <v>6028</v>
      </c>
      <c r="F833" s="375" t="s">
        <v>1814</v>
      </c>
      <c r="G833" s="375" t="s">
        <v>2821</v>
      </c>
      <c r="H833" s="375" t="s">
        <v>1693</v>
      </c>
      <c r="I833" s="375" t="s">
        <v>869</v>
      </c>
      <c r="J833" s="375">
        <v>92218.769209999999</v>
      </c>
      <c r="K833" s="375">
        <v>13967.40409</v>
      </c>
      <c r="L833" s="375">
        <v>11705.18187</v>
      </c>
      <c r="M833" s="375">
        <v>221801.24698</v>
      </c>
      <c r="N833" s="372">
        <v>0.93100000000000005</v>
      </c>
      <c r="O833" s="703">
        <v>0.77825864688282309</v>
      </c>
      <c r="P833" s="375" t="s">
        <v>623</v>
      </c>
      <c r="Q833" s="372" t="s">
        <v>623</v>
      </c>
      <c r="R833" s="695">
        <v>20140204</v>
      </c>
      <c r="S833" s="375" t="s">
        <v>6029</v>
      </c>
      <c r="T833" s="696">
        <v>0.20900000000000002</v>
      </c>
      <c r="U833" s="375" t="s">
        <v>16031</v>
      </c>
      <c r="V833" s="722">
        <v>12.66</v>
      </c>
      <c r="W833" s="722">
        <v>1.22</v>
      </c>
      <c r="X833" s="722">
        <v>2.39</v>
      </c>
      <c r="Y833" s="722">
        <v>23.8</v>
      </c>
      <c r="Z833" s="382" t="s">
        <v>934</v>
      </c>
      <c r="AA833" s="372">
        <v>457.12275940000001</v>
      </c>
      <c r="AB833" s="372">
        <v>588.70575729999996</v>
      </c>
      <c r="AC833" s="372">
        <v>878.25669749999997</v>
      </c>
      <c r="AD833" s="372">
        <v>922.18769210000005</v>
      </c>
      <c r="AE833" s="372">
        <v>0</v>
      </c>
      <c r="AF833" s="372">
        <v>0</v>
      </c>
      <c r="AG833" s="372">
        <v>0</v>
      </c>
      <c r="AH833" s="372">
        <v>0</v>
      </c>
    </row>
    <row r="834" spans="1:34">
      <c r="A834" s="372" t="s">
        <v>6030</v>
      </c>
      <c r="B834" s="373" t="s">
        <v>6031</v>
      </c>
      <c r="C834" s="372" t="s">
        <v>16156</v>
      </c>
      <c r="D834" s="374">
        <v>1601110101016</v>
      </c>
      <c r="E834" s="372" t="s">
        <v>6032</v>
      </c>
      <c r="F834" s="375" t="s">
        <v>1124</v>
      </c>
      <c r="G834" s="375" t="s">
        <v>1347</v>
      </c>
      <c r="H834" s="375" t="s">
        <v>1348</v>
      </c>
      <c r="I834" s="375" t="s">
        <v>869</v>
      </c>
      <c r="J834" s="375">
        <v>4878.6634700000004</v>
      </c>
      <c r="K834" s="375">
        <v>-30912.972989999998</v>
      </c>
      <c r="L834" s="375">
        <v>-51151.911200000002</v>
      </c>
      <c r="M834" s="375">
        <v>145292.99324000001</v>
      </c>
      <c r="N834" s="372">
        <v>1.0720000000000001</v>
      </c>
      <c r="O834" s="703">
        <v>15.36285020887536</v>
      </c>
      <c r="P834" s="375" t="s">
        <v>623</v>
      </c>
      <c r="Q834" s="375" t="s">
        <v>623</v>
      </c>
      <c r="R834" s="695">
        <v>20060106</v>
      </c>
      <c r="S834" s="375" t="s">
        <v>6033</v>
      </c>
      <c r="T834" s="696" t="s">
        <v>772</v>
      </c>
      <c r="U834" s="372" t="s">
        <v>6034</v>
      </c>
      <c r="V834" s="722" t="s">
        <v>774</v>
      </c>
      <c r="W834" s="722">
        <v>1.72</v>
      </c>
      <c r="X834" s="722">
        <v>47.23</v>
      </c>
      <c r="Y834" s="722" t="s">
        <v>774</v>
      </c>
      <c r="Z834" s="382" t="s">
        <v>934</v>
      </c>
      <c r="AA834" s="372">
        <v>302.23479989999998</v>
      </c>
      <c r="AB834" s="372">
        <v>423.76294289999998</v>
      </c>
      <c r="AC834" s="372">
        <v>43.213296499999998</v>
      </c>
      <c r="AD834" s="372">
        <v>48.7866347</v>
      </c>
      <c r="AE834" s="372">
        <v>0</v>
      </c>
      <c r="AF834" s="372">
        <v>0</v>
      </c>
      <c r="AG834" s="372">
        <v>0</v>
      </c>
      <c r="AH834" s="372">
        <v>0</v>
      </c>
    </row>
    <row r="835" spans="1:34">
      <c r="A835" s="372" t="s">
        <v>6035</v>
      </c>
      <c r="B835" s="373" t="s">
        <v>6036</v>
      </c>
      <c r="C835" s="372" t="s">
        <v>6037</v>
      </c>
      <c r="D835" s="374">
        <v>1147110003729</v>
      </c>
      <c r="E835" s="372" t="s">
        <v>6038</v>
      </c>
      <c r="F835" s="375" t="s">
        <v>2888</v>
      </c>
      <c r="G835" s="375" t="s">
        <v>6039</v>
      </c>
      <c r="H835" s="375" t="s">
        <v>832</v>
      </c>
      <c r="I835" s="375" t="s">
        <v>755</v>
      </c>
      <c r="J835" s="375">
        <v>417721.80995999998</v>
      </c>
      <c r="K835" s="375">
        <v>53146.153919999997</v>
      </c>
      <c r="L835" s="375">
        <v>51865.785230000001</v>
      </c>
      <c r="M835" s="375">
        <v>208460.06171000001</v>
      </c>
      <c r="N835" s="372">
        <v>1.036</v>
      </c>
      <c r="O835" s="703">
        <v>26.715758667013112</v>
      </c>
      <c r="P835" s="375" t="s">
        <v>623</v>
      </c>
      <c r="Q835" s="375" t="s">
        <v>623</v>
      </c>
      <c r="R835" s="695">
        <v>19990811</v>
      </c>
      <c r="S835" s="375" t="s">
        <v>6040</v>
      </c>
      <c r="T835" s="696">
        <v>0.23100000000000001</v>
      </c>
      <c r="U835" s="372" t="s">
        <v>6041</v>
      </c>
      <c r="V835" s="722">
        <v>4.28</v>
      </c>
      <c r="W835" s="722">
        <v>1.1599999999999999</v>
      </c>
      <c r="X835" s="722">
        <v>0.59</v>
      </c>
      <c r="Y835" s="722">
        <v>5.92</v>
      </c>
      <c r="Z835" s="382" t="s">
        <v>934</v>
      </c>
      <c r="AA835" s="372">
        <v>3831.1124630999998</v>
      </c>
      <c r="AB835" s="372">
        <v>3710.7693257000001</v>
      </c>
      <c r="AC835" s="372">
        <v>4758.9524062</v>
      </c>
      <c r="AD835" s="372">
        <v>4177.2180995999997</v>
      </c>
      <c r="AE835" s="372">
        <v>4977.33</v>
      </c>
      <c r="AF835" s="372">
        <v>5826</v>
      </c>
      <c r="AG835" s="372">
        <v>0</v>
      </c>
      <c r="AH835" s="372">
        <v>0</v>
      </c>
    </row>
    <row r="836" spans="1:34">
      <c r="A836" s="372" t="s">
        <v>6042</v>
      </c>
      <c r="B836" s="373" t="s">
        <v>6043</v>
      </c>
      <c r="C836" s="372" t="s">
        <v>6044</v>
      </c>
      <c r="D836" s="374">
        <v>1101111227077</v>
      </c>
      <c r="E836" s="372" t="s">
        <v>6045</v>
      </c>
      <c r="F836" s="375" t="s">
        <v>1259</v>
      </c>
      <c r="G836" s="375" t="s">
        <v>1259</v>
      </c>
      <c r="H836" s="375" t="s">
        <v>868</v>
      </c>
      <c r="I836" s="375" t="s">
        <v>869</v>
      </c>
      <c r="J836" s="375">
        <v>137878.03721000001</v>
      </c>
      <c r="K836" s="375">
        <v>-4578.1306699999996</v>
      </c>
      <c r="L836" s="375">
        <v>-15714.72712</v>
      </c>
      <c r="M836" s="375">
        <v>75444.321160000007</v>
      </c>
      <c r="N836" s="372">
        <v>0.54400000000000004</v>
      </c>
      <c r="O836" s="703">
        <v>26.545761946003182</v>
      </c>
      <c r="P836" s="375" t="s">
        <v>623</v>
      </c>
      <c r="Q836" s="375" t="s">
        <v>623</v>
      </c>
      <c r="R836" s="695">
        <v>20020219</v>
      </c>
      <c r="S836" s="375" t="s">
        <v>6046</v>
      </c>
      <c r="T836" s="696" t="s">
        <v>772</v>
      </c>
      <c r="U836" s="372" t="s">
        <v>6047</v>
      </c>
      <c r="V836" s="722">
        <v>208.85</v>
      </c>
      <c r="W836" s="722">
        <v>3.22</v>
      </c>
      <c r="X836" s="722">
        <v>1.88</v>
      </c>
      <c r="Y836" s="722" t="s">
        <v>774</v>
      </c>
      <c r="Z836" s="382" t="s">
        <v>934</v>
      </c>
      <c r="AA836" s="372">
        <v>1300.3177508000001</v>
      </c>
      <c r="AB836" s="372">
        <v>1403.1798842999999</v>
      </c>
      <c r="AC836" s="372">
        <v>1652.0551370999999</v>
      </c>
      <c r="AD836" s="372">
        <v>1378.7803721</v>
      </c>
      <c r="AE836" s="372">
        <v>0</v>
      </c>
      <c r="AF836" s="372">
        <v>0</v>
      </c>
      <c r="AG836" s="372">
        <v>0</v>
      </c>
      <c r="AH836" s="372">
        <v>0</v>
      </c>
    </row>
    <row r="837" spans="1:34">
      <c r="A837" s="372" t="s">
        <v>6048</v>
      </c>
      <c r="B837" s="373" t="s">
        <v>6049</v>
      </c>
      <c r="C837" s="372" t="s">
        <v>6050</v>
      </c>
      <c r="D837" s="374">
        <v>1501110077665</v>
      </c>
      <c r="E837" s="372" t="s">
        <v>6051</v>
      </c>
      <c r="F837" s="375" t="s">
        <v>1334</v>
      </c>
      <c r="G837" s="375" t="s">
        <v>1334</v>
      </c>
      <c r="H837" s="375" t="s">
        <v>868</v>
      </c>
      <c r="I837" s="375" t="s">
        <v>869</v>
      </c>
      <c r="J837" s="375">
        <v>33657.156170000002</v>
      </c>
      <c r="K837" s="375">
        <v>-19675.632870000001</v>
      </c>
      <c r="L837" s="375">
        <v>-17676.13049</v>
      </c>
      <c r="M837" s="375">
        <v>19600.629779999999</v>
      </c>
      <c r="N837" s="372">
        <v>0.71699999999999997</v>
      </c>
      <c r="O837" s="703">
        <v>13.070372483102796</v>
      </c>
      <c r="P837" s="375" t="s">
        <v>623</v>
      </c>
      <c r="Q837" s="375" t="s">
        <v>623</v>
      </c>
      <c r="R837" s="695">
        <v>20150626</v>
      </c>
      <c r="S837" s="372" t="s">
        <v>6052</v>
      </c>
      <c r="T837" s="696" t="s">
        <v>772</v>
      </c>
      <c r="U837" s="372" t="s">
        <v>6053</v>
      </c>
      <c r="V837" s="722" t="s">
        <v>774</v>
      </c>
      <c r="W837" s="722">
        <v>3.73</v>
      </c>
      <c r="X837" s="722">
        <v>6.61</v>
      </c>
      <c r="Y837" s="722" t="s">
        <v>774</v>
      </c>
      <c r="Z837" s="382" t="s">
        <v>934</v>
      </c>
      <c r="AA837" s="372">
        <v>263.57703199999997</v>
      </c>
      <c r="AB837" s="372">
        <v>302.40039380000002</v>
      </c>
      <c r="AC837" s="372">
        <v>458.77628490000001</v>
      </c>
      <c r="AD837" s="372">
        <v>336.57156170000002</v>
      </c>
      <c r="AE837" s="372">
        <v>0</v>
      </c>
      <c r="AF837" s="372">
        <v>0</v>
      </c>
      <c r="AG837" s="372">
        <v>0</v>
      </c>
      <c r="AH837" s="372">
        <v>0</v>
      </c>
    </row>
    <row r="838" spans="1:34">
      <c r="A838" s="372" t="s">
        <v>6054</v>
      </c>
      <c r="B838" s="373" t="s">
        <v>6055</v>
      </c>
      <c r="C838" s="372" t="s">
        <v>6056</v>
      </c>
      <c r="D838" s="374">
        <v>2046110071943</v>
      </c>
      <c r="E838" s="372" t="s">
        <v>6057</v>
      </c>
      <c r="F838" s="372" t="s">
        <v>5103</v>
      </c>
      <c r="G838" s="375" t="s">
        <v>5103</v>
      </c>
      <c r="H838" s="375" t="s">
        <v>1481</v>
      </c>
      <c r="I838" s="375" t="s">
        <v>755</v>
      </c>
      <c r="J838" s="375">
        <v>0</v>
      </c>
      <c r="K838" s="375">
        <v>0</v>
      </c>
      <c r="L838" s="375">
        <v>0</v>
      </c>
      <c r="M838" s="375">
        <v>220825.23706000001</v>
      </c>
      <c r="N838" s="372" t="s">
        <v>1033</v>
      </c>
      <c r="O838" s="703">
        <v>72.974678980576911</v>
      </c>
      <c r="P838" s="375" t="s">
        <v>623</v>
      </c>
      <c r="Q838" s="372" t="s">
        <v>623</v>
      </c>
      <c r="R838" s="695">
        <v>20230728</v>
      </c>
      <c r="S838" s="372" t="s">
        <v>6058</v>
      </c>
      <c r="T838" s="696" t="s">
        <v>772</v>
      </c>
      <c r="U838" s="372" t="s">
        <v>5105</v>
      </c>
      <c r="V838" s="722">
        <v>0</v>
      </c>
      <c r="W838" s="722">
        <v>1.18</v>
      </c>
      <c r="X838" s="722">
        <v>0</v>
      </c>
      <c r="Y838" s="722">
        <v>0</v>
      </c>
      <c r="Z838" s="382" t="s">
        <v>934</v>
      </c>
      <c r="AA838" s="372">
        <v>0</v>
      </c>
      <c r="AB838" s="372">
        <v>0</v>
      </c>
      <c r="AC838" s="372">
        <v>0</v>
      </c>
      <c r="AD838" s="372">
        <v>2793.6690828999999</v>
      </c>
      <c r="AE838" s="372">
        <v>0</v>
      </c>
      <c r="AF838" s="372">
        <v>0</v>
      </c>
      <c r="AG838" s="372">
        <v>0</v>
      </c>
      <c r="AH838" s="372">
        <v>0</v>
      </c>
    </row>
    <row r="839" spans="1:34">
      <c r="A839" s="372" t="s">
        <v>6059</v>
      </c>
      <c r="B839" s="373" t="s">
        <v>6060</v>
      </c>
      <c r="C839" s="372" t="s">
        <v>6061</v>
      </c>
      <c r="D839" s="374">
        <v>1101110377055</v>
      </c>
      <c r="E839" s="372" t="s">
        <v>6062</v>
      </c>
      <c r="F839" s="375" t="s">
        <v>914</v>
      </c>
      <c r="G839" s="375" t="s">
        <v>915</v>
      </c>
      <c r="H839" s="375" t="s">
        <v>916</v>
      </c>
      <c r="I839" s="375" t="s">
        <v>755</v>
      </c>
      <c r="J839" s="375">
        <v>472602.85992000002</v>
      </c>
      <c r="K839" s="375">
        <v>88361.34736</v>
      </c>
      <c r="L839" s="375">
        <v>18099.86779</v>
      </c>
      <c r="M839" s="375">
        <v>420480.24238000001</v>
      </c>
      <c r="N839" s="372">
        <v>0.80300000000000005</v>
      </c>
      <c r="O839" s="703">
        <v>619.80942039840647</v>
      </c>
      <c r="P839" s="375" t="s">
        <v>623</v>
      </c>
      <c r="Q839" s="375" t="s">
        <v>623</v>
      </c>
      <c r="R839" s="695">
        <v>20071026</v>
      </c>
      <c r="S839" s="375" t="s">
        <v>6063</v>
      </c>
      <c r="T839" s="696">
        <v>0.20900000000000002</v>
      </c>
      <c r="U839" s="372" t="s">
        <v>6064</v>
      </c>
      <c r="V839" s="722">
        <v>7.02</v>
      </c>
      <c r="W839" s="722">
        <v>0.5</v>
      </c>
      <c r="X839" s="722">
        <v>0.45</v>
      </c>
      <c r="Y839" s="722">
        <v>12.53</v>
      </c>
      <c r="Z839" s="382" t="s">
        <v>934</v>
      </c>
      <c r="AA839" s="372">
        <v>2261.8116703999999</v>
      </c>
      <c r="AB839" s="372">
        <v>3240.0126681000002</v>
      </c>
      <c r="AC839" s="372">
        <v>4453.7578970000004</v>
      </c>
      <c r="AD839" s="372">
        <v>4726.0285991999999</v>
      </c>
      <c r="AE839" s="372">
        <v>4942</v>
      </c>
      <c r="AF839" s="372">
        <v>4905</v>
      </c>
      <c r="AG839" s="372">
        <v>0</v>
      </c>
      <c r="AH839" s="372">
        <v>0</v>
      </c>
    </row>
    <row r="840" spans="1:34">
      <c r="A840" s="372" t="s">
        <v>6065</v>
      </c>
      <c r="B840" s="373" t="s">
        <v>6066</v>
      </c>
      <c r="C840" s="372" t="s">
        <v>6067</v>
      </c>
      <c r="D840" s="374">
        <v>1101111712309</v>
      </c>
      <c r="E840" s="372" t="s">
        <v>6068</v>
      </c>
      <c r="F840" s="372" t="s">
        <v>6069</v>
      </c>
      <c r="G840" s="375" t="s">
        <v>6069</v>
      </c>
      <c r="H840" s="375" t="s">
        <v>1547</v>
      </c>
      <c r="I840" s="375" t="s">
        <v>869</v>
      </c>
      <c r="J840" s="375">
        <v>40170.2088</v>
      </c>
      <c r="K840" s="375">
        <v>-28295.165720000001</v>
      </c>
      <c r="L840" s="375">
        <v>-30937.441470000002</v>
      </c>
      <c r="M840" s="375">
        <v>104920.98694</v>
      </c>
      <c r="N840" s="372">
        <v>0.95899999999999996</v>
      </c>
      <c r="O840" s="703">
        <v>0.76256129641104675</v>
      </c>
      <c r="P840" s="375" t="s">
        <v>623</v>
      </c>
      <c r="Q840" s="375" t="s">
        <v>623</v>
      </c>
      <c r="R840" s="695">
        <v>20060707</v>
      </c>
      <c r="S840" s="375" t="s">
        <v>6070</v>
      </c>
      <c r="T840" s="696" t="s">
        <v>772</v>
      </c>
      <c r="U840" s="372" t="s">
        <v>6071</v>
      </c>
      <c r="V840" s="722">
        <v>11.45</v>
      </c>
      <c r="W840" s="722">
        <v>1.97</v>
      </c>
      <c r="X840" s="722">
        <v>5.17</v>
      </c>
      <c r="Y840" s="722" t="s">
        <v>774</v>
      </c>
      <c r="Z840" s="382" t="s">
        <v>934</v>
      </c>
      <c r="AA840" s="372">
        <v>467.99889150000001</v>
      </c>
      <c r="AB840" s="372">
        <v>509.33935059999999</v>
      </c>
      <c r="AC840" s="372">
        <v>566.843073</v>
      </c>
      <c r="AD840" s="372">
        <v>401.702088</v>
      </c>
      <c r="AE840" s="372">
        <v>0</v>
      </c>
      <c r="AF840" s="372">
        <v>0</v>
      </c>
      <c r="AG840" s="372">
        <v>0</v>
      </c>
      <c r="AH840" s="372">
        <v>0</v>
      </c>
    </row>
    <row r="841" spans="1:34">
      <c r="A841" s="372" t="s">
        <v>6072</v>
      </c>
      <c r="B841" s="373" t="s">
        <v>6073</v>
      </c>
      <c r="C841" s="372" t="s">
        <v>6074</v>
      </c>
      <c r="D841" s="374">
        <v>1801110633031</v>
      </c>
      <c r="E841" s="372" t="s">
        <v>6075</v>
      </c>
      <c r="F841" s="375" t="s">
        <v>2649</v>
      </c>
      <c r="G841" s="375" t="s">
        <v>2650</v>
      </c>
      <c r="H841" s="375" t="s">
        <v>823</v>
      </c>
      <c r="I841" s="375" t="s">
        <v>755</v>
      </c>
      <c r="J841" s="375">
        <v>1117998.85351</v>
      </c>
      <c r="K841" s="375">
        <v>81599.865969999999</v>
      </c>
      <c r="L841" s="375">
        <v>68485.853910000005</v>
      </c>
      <c r="M841" s="375">
        <v>525000.96805000002</v>
      </c>
      <c r="N841" s="372">
        <v>0.67600000000000005</v>
      </c>
      <c r="O841" s="703">
        <v>82.789006963531548</v>
      </c>
      <c r="P841" s="375" t="s">
        <v>623</v>
      </c>
      <c r="Q841" s="372" t="s">
        <v>623</v>
      </c>
      <c r="R841" s="695">
        <v>20080623</v>
      </c>
      <c r="S841" s="375">
        <v>0</v>
      </c>
      <c r="T841" s="696">
        <v>0.23100000000000001</v>
      </c>
      <c r="U841" s="372" t="s">
        <v>6076</v>
      </c>
      <c r="V841" s="722">
        <v>3.57</v>
      </c>
      <c r="W841" s="722">
        <v>0.56000000000000005</v>
      </c>
      <c r="X841" s="722">
        <v>0.2</v>
      </c>
      <c r="Y841" s="722">
        <v>6.68</v>
      </c>
      <c r="Z841" s="382" t="s">
        <v>934</v>
      </c>
      <c r="AA841" s="372">
        <v>8640.0986809999995</v>
      </c>
      <c r="AB841" s="372">
        <v>9259.7852003999997</v>
      </c>
      <c r="AC841" s="372">
        <v>11401.236199299999</v>
      </c>
      <c r="AD841" s="372">
        <v>11179.988535099999</v>
      </c>
      <c r="AE841" s="372">
        <v>0</v>
      </c>
      <c r="AF841" s="372">
        <v>0</v>
      </c>
      <c r="AG841" s="372">
        <v>0</v>
      </c>
      <c r="AH841" s="372">
        <v>0</v>
      </c>
    </row>
    <row r="842" spans="1:34">
      <c r="A842" s="372" t="s">
        <v>6077</v>
      </c>
      <c r="B842" s="373" t="s">
        <v>6078</v>
      </c>
      <c r="C842" s="372" t="s">
        <v>6079</v>
      </c>
      <c r="D842" s="374">
        <v>1346110018221</v>
      </c>
      <c r="E842" s="372" t="s">
        <v>6080</v>
      </c>
      <c r="F842" s="375" t="s">
        <v>2631</v>
      </c>
      <c r="G842" s="375" t="s">
        <v>2631</v>
      </c>
      <c r="H842" s="375" t="s">
        <v>868</v>
      </c>
      <c r="I842" s="375" t="s">
        <v>869</v>
      </c>
      <c r="J842" s="375">
        <v>61697.133220000003</v>
      </c>
      <c r="K842" s="375">
        <v>5139.4417899999999</v>
      </c>
      <c r="L842" s="375">
        <v>-15134.89839</v>
      </c>
      <c r="M842" s="375">
        <v>235637.46525000001</v>
      </c>
      <c r="N842" s="372">
        <v>1.31</v>
      </c>
      <c r="O842" s="703">
        <v>29.092252817401764</v>
      </c>
      <c r="P842" s="375" t="s">
        <v>623</v>
      </c>
      <c r="Q842" s="372" t="s">
        <v>623</v>
      </c>
      <c r="R842" s="695">
        <v>20061020</v>
      </c>
      <c r="S842" s="372" t="s">
        <v>6081</v>
      </c>
      <c r="T842" s="696" t="s">
        <v>772</v>
      </c>
      <c r="U842" s="372" t="s">
        <v>6082</v>
      </c>
      <c r="V842" s="722">
        <v>38.14</v>
      </c>
      <c r="W842" s="722">
        <v>1.1299999999999999</v>
      </c>
      <c r="X842" s="722">
        <v>3.53</v>
      </c>
      <c r="Y842" s="722" t="s">
        <v>774</v>
      </c>
      <c r="Z842" s="382" t="s">
        <v>934</v>
      </c>
      <c r="AA842" s="372">
        <v>543.60697359999995</v>
      </c>
      <c r="AB842" s="372">
        <v>751.42445339999995</v>
      </c>
      <c r="AC842" s="372">
        <v>804.22379999999998</v>
      </c>
      <c r="AD842" s="372">
        <v>616.97133220000001</v>
      </c>
      <c r="AE842" s="372">
        <v>0</v>
      </c>
      <c r="AF842" s="372">
        <v>0</v>
      </c>
      <c r="AG842" s="372">
        <v>0</v>
      </c>
      <c r="AH842" s="372">
        <v>0</v>
      </c>
    </row>
    <row r="843" spans="1:34">
      <c r="A843" s="372" t="s">
        <v>6083</v>
      </c>
      <c r="B843" s="373" t="s">
        <v>6084</v>
      </c>
      <c r="C843" s="372" t="s">
        <v>6085</v>
      </c>
      <c r="D843" s="374">
        <v>1101110645353</v>
      </c>
      <c r="E843" s="372" t="s">
        <v>6086</v>
      </c>
      <c r="F843" s="375" t="s">
        <v>2438</v>
      </c>
      <c r="G843" s="375" t="s">
        <v>2438</v>
      </c>
      <c r="H843" s="375" t="s">
        <v>868</v>
      </c>
      <c r="I843" s="375" t="s">
        <v>869</v>
      </c>
      <c r="J843" s="375">
        <v>417441.55858000001</v>
      </c>
      <c r="K843" s="375">
        <v>18467.9231</v>
      </c>
      <c r="L843" s="375">
        <v>15434.46351</v>
      </c>
      <c r="M843" s="375">
        <v>169498.25735999999</v>
      </c>
      <c r="N843" s="372">
        <v>0.94299999999999995</v>
      </c>
      <c r="O843" s="703">
        <v>49.354632378401263</v>
      </c>
      <c r="P843" s="375" t="s">
        <v>623</v>
      </c>
      <c r="Q843" s="375" t="s">
        <v>623</v>
      </c>
      <c r="R843" s="695">
        <v>20200924</v>
      </c>
      <c r="S843" s="375" t="s">
        <v>6087</v>
      </c>
      <c r="T843" s="696">
        <v>0.20900000000000002</v>
      </c>
      <c r="U843" s="375" t="s">
        <v>6088</v>
      </c>
      <c r="V843" s="722">
        <v>10.7</v>
      </c>
      <c r="W843" s="722">
        <v>1.35</v>
      </c>
      <c r="X843" s="722">
        <v>0.55000000000000004</v>
      </c>
      <c r="Y843" s="722">
        <v>20.2</v>
      </c>
      <c r="Z843" s="382" t="s">
        <v>934</v>
      </c>
      <c r="AA843" s="372">
        <v>3268.9526065999999</v>
      </c>
      <c r="AB843" s="372">
        <v>3110.9734463999998</v>
      </c>
      <c r="AC843" s="372">
        <v>3888.0923431000001</v>
      </c>
      <c r="AD843" s="372">
        <v>4174.4155858000004</v>
      </c>
      <c r="AE843" s="372">
        <v>0</v>
      </c>
      <c r="AF843" s="372">
        <v>0</v>
      </c>
      <c r="AG843" s="372">
        <v>0</v>
      </c>
      <c r="AH843" s="372">
        <v>0</v>
      </c>
    </row>
    <row r="844" spans="1:34">
      <c r="A844" s="372" t="s">
        <v>6089</v>
      </c>
      <c r="B844" s="373" t="s">
        <v>6090</v>
      </c>
      <c r="C844" s="372" t="s">
        <v>6091</v>
      </c>
      <c r="D844" s="374">
        <v>1601110100688</v>
      </c>
      <c r="E844" s="372" t="s">
        <v>6092</v>
      </c>
      <c r="F844" s="375" t="s">
        <v>1104</v>
      </c>
      <c r="G844" s="375" t="s">
        <v>1105</v>
      </c>
      <c r="H844" s="375" t="s">
        <v>868</v>
      </c>
      <c r="I844" s="375" t="s">
        <v>869</v>
      </c>
      <c r="J844" s="375">
        <v>97104.890490000005</v>
      </c>
      <c r="K844" s="375">
        <v>25307.30473</v>
      </c>
      <c r="L844" s="375">
        <v>29373.28745</v>
      </c>
      <c r="M844" s="375">
        <v>160025.95368000001</v>
      </c>
      <c r="N844" s="372">
        <v>0.65500000000000003</v>
      </c>
      <c r="O844" s="703">
        <v>0.52390884131634363</v>
      </c>
      <c r="P844" s="375" t="s">
        <v>623</v>
      </c>
      <c r="Q844" s="375" t="s">
        <v>623</v>
      </c>
      <c r="R844" s="695">
        <v>20070130</v>
      </c>
      <c r="S844" s="375" t="s">
        <v>6093</v>
      </c>
      <c r="T844" s="696">
        <v>0.23100000000000001</v>
      </c>
      <c r="U844" s="372" t="s">
        <v>6094</v>
      </c>
      <c r="V844" s="722">
        <v>7.86</v>
      </c>
      <c r="W844" s="722">
        <v>1.3</v>
      </c>
      <c r="X844" s="722">
        <v>2.1800000000000002</v>
      </c>
      <c r="Y844" s="722">
        <v>9.14</v>
      </c>
      <c r="Z844" s="382">
        <v>0.14172289575907993</v>
      </c>
      <c r="AA844" s="372">
        <v>816.2534756</v>
      </c>
      <c r="AB844" s="372">
        <v>879.30719729999998</v>
      </c>
      <c r="AC844" s="372">
        <v>850.33138229999997</v>
      </c>
      <c r="AD844" s="372">
        <v>971.04890490000003</v>
      </c>
      <c r="AE844" s="372">
        <v>1202</v>
      </c>
      <c r="AF844" s="372">
        <v>1442</v>
      </c>
      <c r="AG844" s="372">
        <v>1650</v>
      </c>
      <c r="AH844" s="372">
        <v>0</v>
      </c>
    </row>
    <row r="845" spans="1:34">
      <c r="A845" s="372" t="s">
        <v>6095</v>
      </c>
      <c r="B845" s="373" t="s">
        <v>6096</v>
      </c>
      <c r="C845" s="372" t="s">
        <v>6097</v>
      </c>
      <c r="D845" s="374">
        <v>1101111114589</v>
      </c>
      <c r="E845" s="372" t="s">
        <v>6098</v>
      </c>
      <c r="F845" s="375" t="s">
        <v>5742</v>
      </c>
      <c r="G845" s="375" t="s">
        <v>6099</v>
      </c>
      <c r="H845" s="375" t="s">
        <v>868</v>
      </c>
      <c r="I845" s="375" t="s">
        <v>869</v>
      </c>
      <c r="J845" s="375">
        <v>39999.530910000001</v>
      </c>
      <c r="K845" s="375">
        <v>126.782</v>
      </c>
      <c r="L845" s="375">
        <v>-9340.4046699999999</v>
      </c>
      <c r="M845" s="375">
        <v>69698.234479999999</v>
      </c>
      <c r="N845" s="372">
        <v>1.3080000000000001</v>
      </c>
      <c r="O845" s="703">
        <v>3.9031534798977892</v>
      </c>
      <c r="P845" s="375" t="s">
        <v>623</v>
      </c>
      <c r="Q845" s="375" t="s">
        <v>623</v>
      </c>
      <c r="R845" s="695">
        <v>20181106</v>
      </c>
      <c r="S845" s="375" t="s">
        <v>6100</v>
      </c>
      <c r="T845" s="696" t="s">
        <v>772</v>
      </c>
      <c r="U845" s="375" t="s">
        <v>6101</v>
      </c>
      <c r="V845" s="722">
        <v>84.45</v>
      </c>
      <c r="W845" s="722">
        <v>3.11</v>
      </c>
      <c r="X845" s="722">
        <v>6.32</v>
      </c>
      <c r="Y845" s="722" t="s">
        <v>774</v>
      </c>
      <c r="Z845" s="382" t="s">
        <v>934</v>
      </c>
      <c r="AA845" s="372">
        <v>157.97067809999999</v>
      </c>
      <c r="AB845" s="372">
        <v>429.19554640000001</v>
      </c>
      <c r="AC845" s="372">
        <v>1085.6009733000001</v>
      </c>
      <c r="AD845" s="372">
        <v>399.99530909999999</v>
      </c>
      <c r="AE845" s="372">
        <v>0</v>
      </c>
      <c r="AF845" s="372">
        <v>0</v>
      </c>
      <c r="AG845" s="372">
        <v>0</v>
      </c>
      <c r="AH845" s="372">
        <v>0</v>
      </c>
    </row>
    <row r="846" spans="1:34">
      <c r="A846" s="372" t="s">
        <v>6102</v>
      </c>
      <c r="B846" s="373" t="s">
        <v>6103</v>
      </c>
      <c r="C846" s="372" t="s">
        <v>6104</v>
      </c>
      <c r="D846" s="374">
        <v>1101110003733</v>
      </c>
      <c r="E846" s="372" t="s">
        <v>6105</v>
      </c>
      <c r="F846" s="375" t="s">
        <v>6106</v>
      </c>
      <c r="G846" s="375" t="s">
        <v>6107</v>
      </c>
      <c r="H846" s="375" t="s">
        <v>1327</v>
      </c>
      <c r="I846" s="375" t="s">
        <v>755</v>
      </c>
      <c r="J846" s="375">
        <v>1441458.5475099999</v>
      </c>
      <c r="K846" s="375">
        <v>54859.482250000001</v>
      </c>
      <c r="L846" s="375">
        <v>101521.46400000001</v>
      </c>
      <c r="M846" s="375">
        <v>993961.88181000005</v>
      </c>
      <c r="N846" s="372">
        <v>0.88100000000000001</v>
      </c>
      <c r="O846" s="703">
        <v>107.97720394857535</v>
      </c>
      <c r="P846" s="375" t="s">
        <v>623</v>
      </c>
      <c r="Q846" s="372" t="s">
        <v>623</v>
      </c>
      <c r="R846" s="695">
        <v>19701125</v>
      </c>
      <c r="S846" s="372" t="s">
        <v>6108</v>
      </c>
      <c r="T846" s="696">
        <v>0.23100000000000001</v>
      </c>
      <c r="U846" s="372" t="s">
        <v>6109</v>
      </c>
      <c r="V846" s="722">
        <v>2.2400000000000002</v>
      </c>
      <c r="W846" s="722">
        <v>0.22</v>
      </c>
      <c r="X846" s="722">
        <v>0.15</v>
      </c>
      <c r="Y846" s="722">
        <v>2.66</v>
      </c>
      <c r="Z846" s="382" t="s">
        <v>934</v>
      </c>
      <c r="AA846" s="372">
        <v>9702.4826816999994</v>
      </c>
      <c r="AB846" s="372">
        <v>11113.417341300001</v>
      </c>
      <c r="AC846" s="372">
        <v>13681.700514300001</v>
      </c>
      <c r="AD846" s="372">
        <v>14414.585475100001</v>
      </c>
      <c r="AE846" s="372">
        <v>12767</v>
      </c>
      <c r="AF846" s="372">
        <v>12348</v>
      </c>
      <c r="AG846" s="372">
        <v>0</v>
      </c>
      <c r="AH846" s="372">
        <v>0</v>
      </c>
    </row>
    <row r="847" spans="1:34">
      <c r="A847" s="372" t="s">
        <v>6110</v>
      </c>
      <c r="B847" s="373" t="s">
        <v>6111</v>
      </c>
      <c r="C847" s="372" t="s">
        <v>6112</v>
      </c>
      <c r="D847" s="374">
        <v>1101110004682</v>
      </c>
      <c r="E847" s="372" t="s">
        <v>6113</v>
      </c>
      <c r="F847" s="375" t="s">
        <v>1286</v>
      </c>
      <c r="G847" s="375" t="s">
        <v>1465</v>
      </c>
      <c r="H847" s="375" t="s">
        <v>754</v>
      </c>
      <c r="I847" s="375" t="s">
        <v>755</v>
      </c>
      <c r="J847" s="375">
        <v>1302679.10271</v>
      </c>
      <c r="K847" s="375">
        <v>48937.418080000003</v>
      </c>
      <c r="L847" s="375">
        <v>43872.049910000002</v>
      </c>
      <c r="M847" s="375">
        <v>474674.77088999999</v>
      </c>
      <c r="N847" s="372">
        <v>1.1160000000000001</v>
      </c>
      <c r="O847" s="703">
        <v>173.22514691530893</v>
      </c>
      <c r="P847" s="375" t="s">
        <v>623</v>
      </c>
      <c r="Q847" s="375" t="s">
        <v>623</v>
      </c>
      <c r="R847" s="695">
        <v>19880706</v>
      </c>
      <c r="S847" s="375" t="s">
        <v>6114</v>
      </c>
      <c r="T847" s="696">
        <v>0.23100000000000001</v>
      </c>
      <c r="U847" s="372" t="s">
        <v>6115</v>
      </c>
      <c r="V847" s="722">
        <v>5.36</v>
      </c>
      <c r="W847" s="722">
        <v>0.6</v>
      </c>
      <c r="X847" s="722">
        <v>0.17</v>
      </c>
      <c r="Y847" s="722">
        <v>5.15</v>
      </c>
      <c r="Z847" s="382">
        <v>6.7556153212534165E-2</v>
      </c>
      <c r="AA847" s="372">
        <v>11948.9214718</v>
      </c>
      <c r="AB847" s="372">
        <v>14906.2098776</v>
      </c>
      <c r="AC847" s="372">
        <v>13607.700966599999</v>
      </c>
      <c r="AD847" s="372">
        <v>13026.7910271</v>
      </c>
      <c r="AE847" s="372">
        <v>13930</v>
      </c>
      <c r="AF847" s="372">
        <v>15670</v>
      </c>
      <c r="AG847" s="372">
        <v>16920</v>
      </c>
      <c r="AH847" s="372">
        <v>0</v>
      </c>
    </row>
    <row r="848" spans="1:34">
      <c r="A848" s="372" t="s">
        <v>6116</v>
      </c>
      <c r="B848" s="373" t="s">
        <v>6117</v>
      </c>
      <c r="C848" s="372" t="s">
        <v>6118</v>
      </c>
      <c r="D848" s="374">
        <v>1101110574453</v>
      </c>
      <c r="E848" s="372" t="s">
        <v>6119</v>
      </c>
      <c r="F848" s="375" t="s">
        <v>4308</v>
      </c>
      <c r="G848" s="375" t="s">
        <v>4309</v>
      </c>
      <c r="H848" s="375" t="s">
        <v>1950</v>
      </c>
      <c r="I848" s="375" t="s">
        <v>869</v>
      </c>
      <c r="J848" s="375">
        <v>891628.59193999995</v>
      </c>
      <c r="K848" s="375">
        <v>36733.568859999999</v>
      </c>
      <c r="L848" s="375">
        <v>38704.211739999999</v>
      </c>
      <c r="M848" s="375">
        <v>366274.10723000002</v>
      </c>
      <c r="N848" s="372">
        <v>0.54200000000000004</v>
      </c>
      <c r="O848" s="703">
        <v>11.860592648166939</v>
      </c>
      <c r="P848" s="375" t="s">
        <v>623</v>
      </c>
      <c r="Q848" s="372" t="s">
        <v>623</v>
      </c>
      <c r="R848" s="695">
        <v>20000428</v>
      </c>
      <c r="S848" s="372" t="s">
        <v>6120</v>
      </c>
      <c r="T848" s="696">
        <v>0.23100000000000001</v>
      </c>
      <c r="U848" s="372" t="s">
        <v>6121</v>
      </c>
      <c r="V848" s="722">
        <v>3.95</v>
      </c>
      <c r="W848" s="722">
        <v>0.62</v>
      </c>
      <c r="X848" s="722">
        <v>0.24</v>
      </c>
      <c r="Y848" s="722">
        <v>7.12</v>
      </c>
      <c r="Z848" s="382">
        <v>5.0271137133740762E-2</v>
      </c>
      <c r="AA848" s="372">
        <v>5193.2582616</v>
      </c>
      <c r="AB848" s="372">
        <v>6704.5515670000004</v>
      </c>
      <c r="AC848" s="372">
        <v>8048.6139653</v>
      </c>
      <c r="AD848" s="372">
        <v>8916.2859193999993</v>
      </c>
      <c r="AE848" s="372">
        <v>9313.33</v>
      </c>
      <c r="AF848" s="372">
        <v>10128</v>
      </c>
      <c r="AG848" s="372">
        <v>10849</v>
      </c>
      <c r="AH848" s="372">
        <v>0</v>
      </c>
    </row>
    <row r="849" spans="1:34">
      <c r="A849" s="372" t="s">
        <v>6122</v>
      </c>
      <c r="B849" s="373" t="s">
        <v>6123</v>
      </c>
      <c r="C849" s="372" t="s">
        <v>6124</v>
      </c>
      <c r="D849" s="374">
        <v>1701110000935</v>
      </c>
      <c r="E849" s="372" t="s">
        <v>6125</v>
      </c>
      <c r="F849" s="372" t="s">
        <v>5463</v>
      </c>
      <c r="G849" s="375" t="s">
        <v>5464</v>
      </c>
      <c r="H849" s="375" t="s">
        <v>1050</v>
      </c>
      <c r="I849" s="375" t="s">
        <v>755</v>
      </c>
      <c r="J849" s="375">
        <v>315640.47473000002</v>
      </c>
      <c r="K849" s="375">
        <v>6935.48279</v>
      </c>
      <c r="L849" s="375">
        <v>342.75218000000001</v>
      </c>
      <c r="M849" s="375">
        <v>202697.98488</v>
      </c>
      <c r="N849" s="372">
        <v>1.0489999999999999</v>
      </c>
      <c r="O849" s="703">
        <v>74.854879087431243</v>
      </c>
      <c r="P849" s="375" t="s">
        <v>623</v>
      </c>
      <c r="Q849" s="375" t="s">
        <v>623</v>
      </c>
      <c r="R849" s="695">
        <v>19890926</v>
      </c>
      <c r="S849" s="375" t="s">
        <v>6126</v>
      </c>
      <c r="T849" s="696">
        <v>0.20900000000000002</v>
      </c>
      <c r="U849" s="375" t="s">
        <v>6127</v>
      </c>
      <c r="V849" s="722">
        <v>17.27</v>
      </c>
      <c r="W849" s="722">
        <v>1.1200000000000001</v>
      </c>
      <c r="X849" s="722">
        <v>0.72</v>
      </c>
      <c r="Y849" s="722">
        <v>231.27</v>
      </c>
      <c r="Z849" s="382" t="s">
        <v>934</v>
      </c>
      <c r="AA849" s="372">
        <v>2638.5644391000001</v>
      </c>
      <c r="AB849" s="372">
        <v>3104.8461963999998</v>
      </c>
      <c r="AC849" s="372">
        <v>3391.3393132000001</v>
      </c>
      <c r="AD849" s="372">
        <v>3156.4047473000001</v>
      </c>
      <c r="AE849" s="372">
        <v>0</v>
      </c>
      <c r="AF849" s="372">
        <v>0</v>
      </c>
      <c r="AG849" s="372">
        <v>0</v>
      </c>
      <c r="AH849" s="372">
        <v>0</v>
      </c>
    </row>
    <row r="850" spans="1:34">
      <c r="A850" s="372" t="s">
        <v>6128</v>
      </c>
      <c r="B850" s="373" t="s">
        <v>6129</v>
      </c>
      <c r="C850" s="372" t="s">
        <v>6130</v>
      </c>
      <c r="D850" s="374">
        <v>1201110592130</v>
      </c>
      <c r="E850" s="372" t="s">
        <v>6131</v>
      </c>
      <c r="F850" s="375" t="s">
        <v>2450</v>
      </c>
      <c r="G850" s="375" t="s">
        <v>6132</v>
      </c>
      <c r="H850" s="375" t="s">
        <v>868</v>
      </c>
      <c r="I850" s="375" t="s">
        <v>869</v>
      </c>
      <c r="J850" s="375">
        <v>29454.386709999999</v>
      </c>
      <c r="K850" s="375">
        <v>-7008.1504199999999</v>
      </c>
      <c r="L850" s="375">
        <v>-6493.2765200000003</v>
      </c>
      <c r="M850" s="375">
        <v>34883.62384</v>
      </c>
      <c r="N850" s="372">
        <v>1.4890000000000001</v>
      </c>
      <c r="O850" s="703">
        <v>11.321220063810742</v>
      </c>
      <c r="P850" s="375" t="s">
        <v>623</v>
      </c>
      <c r="Q850" s="375" t="s">
        <v>623</v>
      </c>
      <c r="R850" s="695">
        <v>20220318</v>
      </c>
      <c r="S850" s="375" t="s">
        <v>6133</v>
      </c>
      <c r="T850" s="696" t="s">
        <v>772</v>
      </c>
      <c r="U850" s="372" t="s">
        <v>6134</v>
      </c>
      <c r="V850" s="722">
        <v>0</v>
      </c>
      <c r="W850" s="722">
        <v>6.82</v>
      </c>
      <c r="X850" s="722">
        <v>0</v>
      </c>
      <c r="Y850" s="722">
        <v>0</v>
      </c>
      <c r="Z850" s="382" t="s">
        <v>934</v>
      </c>
      <c r="AA850" s="372">
        <v>288.08838479999997</v>
      </c>
      <c r="AB850" s="372">
        <v>349.88701759999998</v>
      </c>
      <c r="AC850" s="372">
        <v>384.4504566</v>
      </c>
      <c r="AD850" s="372">
        <v>294.5438671</v>
      </c>
      <c r="AE850" s="372">
        <v>725</v>
      </c>
      <c r="AF850" s="372">
        <v>0</v>
      </c>
      <c r="AG850" s="372">
        <v>0</v>
      </c>
      <c r="AH850" s="372">
        <v>0</v>
      </c>
    </row>
    <row r="851" spans="1:34">
      <c r="A851" s="372" t="s">
        <v>6135</v>
      </c>
      <c r="B851" s="373" t="s">
        <v>6136</v>
      </c>
      <c r="C851" s="372" t="s">
        <v>6137</v>
      </c>
      <c r="D851" s="374">
        <v>1101111874654</v>
      </c>
      <c r="E851" s="372" t="s">
        <v>6138</v>
      </c>
      <c r="F851" s="375" t="s">
        <v>6139</v>
      </c>
      <c r="G851" s="375" t="s">
        <v>6139</v>
      </c>
      <c r="H851" s="375" t="s">
        <v>823</v>
      </c>
      <c r="I851" s="375" t="s">
        <v>755</v>
      </c>
      <c r="J851" s="375">
        <v>1001975.99355</v>
      </c>
      <c r="K851" s="375">
        <v>78385.856889999995</v>
      </c>
      <c r="L851" s="375">
        <v>29019.62917</v>
      </c>
      <c r="M851" s="375">
        <v>419651.80969000002</v>
      </c>
      <c r="N851" s="372">
        <v>0.90100000000000002</v>
      </c>
      <c r="O851" s="703">
        <v>495.04219026924329</v>
      </c>
      <c r="P851" s="375" t="s">
        <v>623</v>
      </c>
      <c r="Q851" s="372" t="s">
        <v>623</v>
      </c>
      <c r="R851" s="695">
        <v>20150821</v>
      </c>
      <c r="S851" s="372" t="s">
        <v>6140</v>
      </c>
      <c r="T851" s="696">
        <v>0.23100000000000001</v>
      </c>
      <c r="U851" s="372" t="s">
        <v>6141</v>
      </c>
      <c r="V851" s="722">
        <v>4.6500000000000004</v>
      </c>
      <c r="W851" s="722">
        <v>0.54</v>
      </c>
      <c r="X851" s="722">
        <v>0.23</v>
      </c>
      <c r="Y851" s="722">
        <v>13.95</v>
      </c>
      <c r="Z851" s="382" t="s">
        <v>934</v>
      </c>
      <c r="AA851" s="372">
        <v>8719.5609315000002</v>
      </c>
      <c r="AB851" s="372">
        <v>9819.4765683000005</v>
      </c>
      <c r="AC851" s="372">
        <v>11936.516659499999</v>
      </c>
      <c r="AD851" s="372">
        <v>10019.7599355</v>
      </c>
      <c r="AE851" s="372">
        <v>10736.75</v>
      </c>
      <c r="AF851" s="372">
        <v>11241.5</v>
      </c>
      <c r="AG851" s="372">
        <v>0</v>
      </c>
      <c r="AH851" s="372">
        <v>0</v>
      </c>
    </row>
    <row r="852" spans="1:34">
      <c r="A852" s="372" t="s">
        <v>6142</v>
      </c>
      <c r="B852" s="373" t="s">
        <v>6143</v>
      </c>
      <c r="C852" s="372" t="s">
        <v>6144</v>
      </c>
      <c r="D852" s="374">
        <v>1101110878706</v>
      </c>
      <c r="E852" s="372" t="s">
        <v>6145</v>
      </c>
      <c r="F852" s="375" t="s">
        <v>1272</v>
      </c>
      <c r="G852" s="375" t="s">
        <v>1273</v>
      </c>
      <c r="H852" s="375" t="s">
        <v>1274</v>
      </c>
      <c r="I852" s="375" t="s">
        <v>755</v>
      </c>
      <c r="J852" s="375">
        <v>204769.77420000001</v>
      </c>
      <c r="K852" s="375">
        <v>-62004.542739999997</v>
      </c>
      <c r="L852" s="375">
        <v>5745.4783900000002</v>
      </c>
      <c r="M852" s="375">
        <v>830518.07091000001</v>
      </c>
      <c r="N852" s="372">
        <v>0.96899999999999997</v>
      </c>
      <c r="O852" s="703">
        <v>1838.5844054573784</v>
      </c>
      <c r="P852" s="375" t="s">
        <v>623</v>
      </c>
      <c r="Q852" s="375" t="s">
        <v>623</v>
      </c>
      <c r="R852" s="695">
        <v>19961119</v>
      </c>
      <c r="S852" s="375" t="s">
        <v>6146</v>
      </c>
      <c r="T852" s="696">
        <v>0.20900000000000002</v>
      </c>
      <c r="U852" s="372" t="s">
        <v>6147</v>
      </c>
      <c r="V852" s="722">
        <v>0</v>
      </c>
      <c r="W852" s="722">
        <v>0.42</v>
      </c>
      <c r="X852" s="722">
        <v>0.18</v>
      </c>
      <c r="Y852" s="722" t="s">
        <v>774</v>
      </c>
      <c r="Z852" s="382" t="s">
        <v>934</v>
      </c>
      <c r="AA852" s="372">
        <v>2995.8019763000002</v>
      </c>
      <c r="AB852" s="372">
        <v>4290.2685914000003</v>
      </c>
      <c r="AC852" s="372">
        <v>4483.3983344999997</v>
      </c>
      <c r="AD852" s="372">
        <v>2047.6977420000001</v>
      </c>
      <c r="AE852" s="372">
        <v>7960</v>
      </c>
      <c r="AF852" s="372">
        <v>0</v>
      </c>
      <c r="AG852" s="372">
        <v>0</v>
      </c>
      <c r="AH852" s="372">
        <v>0</v>
      </c>
    </row>
    <row r="853" spans="1:34">
      <c r="A853" s="372" t="s">
        <v>6148</v>
      </c>
      <c r="B853" s="373" t="s">
        <v>6149</v>
      </c>
      <c r="C853" s="372" t="s">
        <v>6150</v>
      </c>
      <c r="D853" s="374">
        <v>1341110065636</v>
      </c>
      <c r="E853" s="372" t="s">
        <v>6151</v>
      </c>
      <c r="F853" s="375" t="s">
        <v>2147</v>
      </c>
      <c r="G853" s="375" t="s">
        <v>4273</v>
      </c>
      <c r="H853" s="375" t="s">
        <v>868</v>
      </c>
      <c r="I853" s="375" t="s">
        <v>869</v>
      </c>
      <c r="J853" s="375">
        <v>117736.98165</v>
      </c>
      <c r="K853" s="375">
        <v>16380.2876</v>
      </c>
      <c r="L853" s="375">
        <v>10216.640460000001</v>
      </c>
      <c r="M853" s="375">
        <v>116598.35645000001</v>
      </c>
      <c r="N853" s="372">
        <v>0.94199999999999995</v>
      </c>
      <c r="O853" s="703">
        <v>39.310164885176761</v>
      </c>
      <c r="P853" s="375" t="s">
        <v>623</v>
      </c>
      <c r="Q853" s="372" t="s">
        <v>623</v>
      </c>
      <c r="R853" s="695">
        <v>20031029</v>
      </c>
      <c r="S853" s="375" t="s">
        <v>6152</v>
      </c>
      <c r="T853" s="696">
        <v>0.20900000000000002</v>
      </c>
      <c r="U853" s="375" t="s">
        <v>6153</v>
      </c>
      <c r="V853" s="722">
        <v>13.11</v>
      </c>
      <c r="W853" s="722">
        <v>1.9</v>
      </c>
      <c r="X853" s="722">
        <v>1.95</v>
      </c>
      <c r="Y853" s="722">
        <v>22.97</v>
      </c>
      <c r="Z853" s="382">
        <v>8.9351177258903292E-2</v>
      </c>
      <c r="AA853" s="372">
        <v>700.87743980000005</v>
      </c>
      <c r="AB853" s="372">
        <v>950.18598450000002</v>
      </c>
      <c r="AC853" s="372">
        <v>1087.8172990999999</v>
      </c>
      <c r="AD853" s="372">
        <v>1177.3698165000001</v>
      </c>
      <c r="AE853" s="372">
        <v>1403.5</v>
      </c>
      <c r="AF853" s="372">
        <v>1622.5</v>
      </c>
      <c r="AG853" s="372">
        <v>1658</v>
      </c>
      <c r="AH853" s="372">
        <v>0</v>
      </c>
    </row>
    <row r="854" spans="1:34">
      <c r="A854" s="372" t="s">
        <v>6154</v>
      </c>
      <c r="B854" s="373" t="s">
        <v>6155</v>
      </c>
      <c r="C854" s="372" t="s">
        <v>16157</v>
      </c>
      <c r="D854" s="374">
        <v>1313110088017</v>
      </c>
      <c r="E854" s="372" t="s">
        <v>6156</v>
      </c>
      <c r="F854" s="375" t="s">
        <v>622</v>
      </c>
      <c r="G854" s="375" t="s">
        <v>622</v>
      </c>
      <c r="H854" s="375" t="s">
        <v>754</v>
      </c>
      <c r="I854" s="375" t="s">
        <v>755</v>
      </c>
      <c r="J854" s="375">
        <v>23947.360250000002</v>
      </c>
      <c r="K854" s="375">
        <v>-1335.4697799999999</v>
      </c>
      <c r="L854" s="375">
        <v>-2445.56565</v>
      </c>
      <c r="M854" s="375">
        <v>22262.26715</v>
      </c>
      <c r="N854" s="372" t="s">
        <v>1033</v>
      </c>
      <c r="O854" s="703">
        <v>3.5216561665745099</v>
      </c>
      <c r="P854" s="375" t="s">
        <v>16142</v>
      </c>
      <c r="Q854" s="372" t="s">
        <v>623</v>
      </c>
      <c r="R854" s="695">
        <v>20090317</v>
      </c>
      <c r="S854" s="372" t="s">
        <v>6157</v>
      </c>
      <c r="T854" s="696" t="s">
        <v>772</v>
      </c>
      <c r="U854" s="372" t="s">
        <v>6158</v>
      </c>
      <c r="V854" s="722" t="s">
        <v>774</v>
      </c>
      <c r="W854" s="722">
        <v>9.6999999999999993</v>
      </c>
      <c r="X854" s="722">
        <v>6.34</v>
      </c>
      <c r="Y854" s="722" t="s">
        <v>774</v>
      </c>
      <c r="Z854" s="382" t="s">
        <v>934</v>
      </c>
      <c r="AA854" s="372">
        <v>204.47824510000001</v>
      </c>
      <c r="AB854" s="372">
        <v>399.46492319999999</v>
      </c>
      <c r="AC854" s="372">
        <v>229.67075800000001</v>
      </c>
      <c r="AD854" s="372">
        <v>239.4736025</v>
      </c>
      <c r="AE854" s="372">
        <v>0</v>
      </c>
      <c r="AF854" s="372">
        <v>0</v>
      </c>
      <c r="AG854" s="372">
        <v>0</v>
      </c>
      <c r="AH854" s="372">
        <v>0</v>
      </c>
    </row>
    <row r="855" spans="1:34">
      <c r="A855" s="372" t="s">
        <v>6159</v>
      </c>
      <c r="B855" s="373" t="s">
        <v>6160</v>
      </c>
      <c r="C855" s="372" t="s">
        <v>16158</v>
      </c>
      <c r="D855" s="374">
        <v>1101116114451</v>
      </c>
      <c r="E855" s="372" t="s">
        <v>6161</v>
      </c>
      <c r="F855" s="375" t="s">
        <v>4079</v>
      </c>
      <c r="G855" s="375" t="s">
        <v>4079</v>
      </c>
      <c r="H855" s="375" t="s">
        <v>1693</v>
      </c>
      <c r="I855" s="375" t="s">
        <v>869</v>
      </c>
      <c r="J855" s="375">
        <v>56572.748959999997</v>
      </c>
      <c r="K855" s="375">
        <v>10406.126329999999</v>
      </c>
      <c r="L855" s="375">
        <v>11133.162039999999</v>
      </c>
      <c r="M855" s="375">
        <v>57722.093399999998</v>
      </c>
      <c r="N855" s="372" t="s">
        <v>1033</v>
      </c>
      <c r="O855" s="703">
        <v>3.9556469497769684</v>
      </c>
      <c r="P855" s="375" t="s">
        <v>623</v>
      </c>
      <c r="Q855" s="375" t="s">
        <v>623</v>
      </c>
      <c r="R855" s="695">
        <v>20230927</v>
      </c>
      <c r="S855" s="375" t="s">
        <v>6162</v>
      </c>
      <c r="T855" s="696">
        <v>0.20900000000000002</v>
      </c>
      <c r="U855" s="375" t="s">
        <v>6163</v>
      </c>
      <c r="V855" s="722">
        <v>0</v>
      </c>
      <c r="W855" s="722">
        <v>2.5099999999999998</v>
      </c>
      <c r="X855" s="722">
        <v>0</v>
      </c>
      <c r="Y855" s="722">
        <v>0</v>
      </c>
      <c r="Z855" s="382" t="s">
        <v>934</v>
      </c>
      <c r="AA855" s="372">
        <v>179.50833209999999</v>
      </c>
      <c r="AB855" s="372">
        <v>288.56986419999998</v>
      </c>
      <c r="AC855" s="372">
        <v>458.29673550000001</v>
      </c>
      <c r="AD855" s="372">
        <v>565.72748960000001</v>
      </c>
      <c r="AE855" s="372">
        <v>700</v>
      </c>
      <c r="AF855" s="372">
        <v>0</v>
      </c>
      <c r="AG855" s="372">
        <v>0</v>
      </c>
      <c r="AH855" s="372">
        <v>0</v>
      </c>
    </row>
    <row r="856" spans="1:34">
      <c r="A856" s="372" t="s">
        <v>6164</v>
      </c>
      <c r="B856" s="373" t="s">
        <v>6165</v>
      </c>
      <c r="C856" s="372" t="s">
        <v>6166</v>
      </c>
      <c r="D856" s="374">
        <v>1301110007608</v>
      </c>
      <c r="E856" s="372" t="s">
        <v>6167</v>
      </c>
      <c r="F856" s="375" t="s">
        <v>900</v>
      </c>
      <c r="G856" s="375" t="s">
        <v>901</v>
      </c>
      <c r="H856" s="375" t="s">
        <v>862</v>
      </c>
      <c r="I856" s="375" t="s">
        <v>755</v>
      </c>
      <c r="J856" s="375">
        <v>1279256.5732400001</v>
      </c>
      <c r="K856" s="375">
        <v>31327.71297</v>
      </c>
      <c r="L856" s="375">
        <v>50982.292679999999</v>
      </c>
      <c r="M856" s="375">
        <v>1495255.1748200001</v>
      </c>
      <c r="N856" s="372">
        <v>0.85099999999999998</v>
      </c>
      <c r="O856" s="703">
        <v>14.381001484511502</v>
      </c>
      <c r="P856" s="375" t="s">
        <v>623</v>
      </c>
      <c r="Q856" s="375" t="s">
        <v>623</v>
      </c>
      <c r="R856" s="695">
        <v>19890126</v>
      </c>
      <c r="S856" s="375" t="s">
        <v>6168</v>
      </c>
      <c r="T856" s="696">
        <v>0.23100000000000001</v>
      </c>
      <c r="U856" s="375" t="s">
        <v>6169</v>
      </c>
      <c r="V856" s="722">
        <v>5.29</v>
      </c>
      <c r="W856" s="722">
        <v>0.37</v>
      </c>
      <c r="X856" s="722">
        <v>0.18</v>
      </c>
      <c r="Y856" s="722">
        <v>17.54</v>
      </c>
      <c r="Z856" s="382" t="s">
        <v>934</v>
      </c>
      <c r="AA856" s="372">
        <v>33.625927599999997</v>
      </c>
      <c r="AB856" s="372">
        <v>13717.088824099999</v>
      </c>
      <c r="AC856" s="372">
        <v>16619.069692100002</v>
      </c>
      <c r="AD856" s="372">
        <v>12792.5657324</v>
      </c>
      <c r="AE856" s="372">
        <v>0</v>
      </c>
      <c r="AF856" s="372">
        <v>0</v>
      </c>
      <c r="AG856" s="372">
        <v>0</v>
      </c>
      <c r="AH856" s="372">
        <v>0</v>
      </c>
    </row>
    <row r="857" spans="1:34">
      <c r="A857" s="372" t="s">
        <v>6170</v>
      </c>
      <c r="B857" s="373" t="s">
        <v>6171</v>
      </c>
      <c r="C857" s="372" t="s">
        <v>6172</v>
      </c>
      <c r="D857" s="374">
        <v>1101110801848</v>
      </c>
      <c r="E857" s="372" t="s">
        <v>6173</v>
      </c>
      <c r="F857" s="375" t="s">
        <v>982</v>
      </c>
      <c r="G857" s="375" t="s">
        <v>983</v>
      </c>
      <c r="H857" s="375" t="s">
        <v>823</v>
      </c>
      <c r="I857" s="375" t="s">
        <v>755</v>
      </c>
      <c r="J857" s="375">
        <v>188353.92053999999</v>
      </c>
      <c r="K857" s="375">
        <v>9112.1945500000002</v>
      </c>
      <c r="L857" s="375">
        <v>13121.449420000001</v>
      </c>
      <c r="M857" s="375">
        <v>164804.81901000001</v>
      </c>
      <c r="N857" s="372">
        <v>1.016</v>
      </c>
      <c r="O857" s="703">
        <v>6.2074513679323502</v>
      </c>
      <c r="P857" s="375" t="s">
        <v>623</v>
      </c>
      <c r="Q857" s="372" t="s">
        <v>623</v>
      </c>
      <c r="R857" s="695">
        <v>20181123</v>
      </c>
      <c r="S857" s="372" t="s">
        <v>6174</v>
      </c>
      <c r="T857" s="696">
        <v>0.20900000000000002</v>
      </c>
      <c r="U857" s="372" t="s">
        <v>6175</v>
      </c>
      <c r="V857" s="722">
        <v>0</v>
      </c>
      <c r="W857" s="722">
        <v>1.31</v>
      </c>
      <c r="X857" s="722">
        <v>0</v>
      </c>
      <c r="Y857" s="722">
        <v>0</v>
      </c>
      <c r="Z857" s="382" t="s">
        <v>934</v>
      </c>
      <c r="AA857" s="372">
        <v>1958.5507545999999</v>
      </c>
      <c r="AB857" s="372">
        <v>1747.2267758</v>
      </c>
      <c r="AC857" s="372">
        <v>1813.6595656</v>
      </c>
      <c r="AD857" s="372">
        <v>1883.5392053999999</v>
      </c>
      <c r="AE857" s="372">
        <v>0</v>
      </c>
      <c r="AF857" s="372">
        <v>0</v>
      </c>
      <c r="AG857" s="372">
        <v>0</v>
      </c>
      <c r="AH857" s="372">
        <v>0</v>
      </c>
    </row>
    <row r="858" spans="1:34">
      <c r="A858" s="372" t="s">
        <v>6176</v>
      </c>
      <c r="B858" s="373" t="s">
        <v>6177</v>
      </c>
      <c r="C858" s="372" t="s">
        <v>6178</v>
      </c>
      <c r="D858" s="374">
        <v>1358110154111</v>
      </c>
      <c r="E858" s="372" t="s">
        <v>6179</v>
      </c>
      <c r="F858" s="375" t="s">
        <v>1286</v>
      </c>
      <c r="G858" s="375" t="s">
        <v>1465</v>
      </c>
      <c r="H858" s="375" t="s">
        <v>1388</v>
      </c>
      <c r="I858" s="375" t="s">
        <v>869</v>
      </c>
      <c r="J858" s="375">
        <v>369736.28633999999</v>
      </c>
      <c r="K858" s="375">
        <v>13484.69679</v>
      </c>
      <c r="L858" s="375">
        <v>19859.707900000001</v>
      </c>
      <c r="M858" s="375">
        <v>347900.65651</v>
      </c>
      <c r="N858" s="372">
        <v>0.93300000000000005</v>
      </c>
      <c r="O858" s="703">
        <v>4.164832521608659</v>
      </c>
      <c r="P858" s="375" t="s">
        <v>623</v>
      </c>
      <c r="Q858" s="375" t="s">
        <v>623</v>
      </c>
      <c r="R858" s="695">
        <v>20100910</v>
      </c>
      <c r="S858" s="375" t="s">
        <v>6180</v>
      </c>
      <c r="T858" s="696">
        <v>0.20900000000000002</v>
      </c>
      <c r="U858" s="372" t="s">
        <v>6181</v>
      </c>
      <c r="V858" s="722">
        <v>3.27</v>
      </c>
      <c r="W858" s="722">
        <v>0.62</v>
      </c>
      <c r="X858" s="722">
        <v>0.59</v>
      </c>
      <c r="Y858" s="722">
        <v>16.579999999999998</v>
      </c>
      <c r="Z858" s="382">
        <v>6.7980321228450213E-2</v>
      </c>
      <c r="AA858" s="372">
        <v>3350.2861296000001</v>
      </c>
      <c r="AB858" s="372">
        <v>3709.1010191999999</v>
      </c>
      <c r="AC858" s="372">
        <v>3458.8543088000001</v>
      </c>
      <c r="AD858" s="372">
        <v>3697.3628634000002</v>
      </c>
      <c r="AE858" s="372">
        <v>4088.25</v>
      </c>
      <c r="AF858" s="372">
        <v>4421.25</v>
      </c>
      <c r="AG858" s="372">
        <v>4810</v>
      </c>
      <c r="AH858" s="372">
        <v>0</v>
      </c>
    </row>
    <row r="859" spans="1:34">
      <c r="A859" s="372" t="s">
        <v>6182</v>
      </c>
      <c r="B859" s="373" t="s">
        <v>6183</v>
      </c>
      <c r="C859" s="372" t="s">
        <v>6184</v>
      </c>
      <c r="D859" s="374">
        <v>1348110002155</v>
      </c>
      <c r="E859" s="372" t="s">
        <v>6185</v>
      </c>
      <c r="F859" s="375" t="s">
        <v>1292</v>
      </c>
      <c r="G859" s="375" t="s">
        <v>1293</v>
      </c>
      <c r="H859" s="375" t="s">
        <v>868</v>
      </c>
      <c r="I859" s="375" t="s">
        <v>869</v>
      </c>
      <c r="J859" s="375">
        <v>485118.58494999999</v>
      </c>
      <c r="K859" s="375">
        <v>39589.010069999997</v>
      </c>
      <c r="L859" s="375">
        <v>38284.138019999999</v>
      </c>
      <c r="M859" s="375">
        <v>232139.87854000001</v>
      </c>
      <c r="N859" s="372">
        <v>1.3360000000000001</v>
      </c>
      <c r="O859" s="703">
        <v>40.495835375029685</v>
      </c>
      <c r="P859" s="375" t="s">
        <v>623</v>
      </c>
      <c r="Q859" s="375" t="s">
        <v>623</v>
      </c>
      <c r="R859" s="695">
        <v>20000718</v>
      </c>
      <c r="S859" s="375" t="s">
        <v>6186</v>
      </c>
      <c r="T859" s="696">
        <v>0.23100000000000001</v>
      </c>
      <c r="U859" s="372" t="s">
        <v>6187</v>
      </c>
      <c r="V859" s="722">
        <v>4.6500000000000004</v>
      </c>
      <c r="W859" s="722">
        <v>0.96</v>
      </c>
      <c r="X859" s="722">
        <v>0.49</v>
      </c>
      <c r="Y859" s="722">
        <v>8.39</v>
      </c>
      <c r="Z859" s="382" t="s">
        <v>934</v>
      </c>
      <c r="AA859" s="372">
        <v>3112.4136398000001</v>
      </c>
      <c r="AB859" s="372">
        <v>4383.2370776999996</v>
      </c>
      <c r="AC859" s="372">
        <v>5410.1404593999996</v>
      </c>
      <c r="AD859" s="372">
        <v>4851.1858494999997</v>
      </c>
      <c r="AE859" s="372">
        <v>5042</v>
      </c>
      <c r="AF859" s="372">
        <v>0</v>
      </c>
      <c r="AG859" s="372">
        <v>0</v>
      </c>
      <c r="AH859" s="372">
        <v>0</v>
      </c>
    </row>
    <row r="860" spans="1:34">
      <c r="A860" s="372" t="s">
        <v>6188</v>
      </c>
      <c r="B860" s="373" t="s">
        <v>6189</v>
      </c>
      <c r="C860" s="372" t="s">
        <v>6190</v>
      </c>
      <c r="D860" s="374">
        <v>1615110128011</v>
      </c>
      <c r="E860" s="372" t="s">
        <v>6191</v>
      </c>
      <c r="F860" s="375" t="s">
        <v>3266</v>
      </c>
      <c r="G860" s="375" t="s">
        <v>3266</v>
      </c>
      <c r="H860" s="375" t="s">
        <v>868</v>
      </c>
      <c r="I860" s="375" t="s">
        <v>869</v>
      </c>
      <c r="J860" s="375">
        <v>0</v>
      </c>
      <c r="K860" s="375">
        <v>0</v>
      </c>
      <c r="L860" s="375">
        <v>0</v>
      </c>
      <c r="M860" s="375">
        <v>51130.44831</v>
      </c>
      <c r="N860" s="372" t="s">
        <v>1033</v>
      </c>
      <c r="O860" s="703">
        <v>8.2160278361764369</v>
      </c>
      <c r="P860" s="375" t="s">
        <v>623</v>
      </c>
      <c r="Q860" s="375" t="s">
        <v>623</v>
      </c>
      <c r="R860" s="695">
        <v>20231124</v>
      </c>
      <c r="S860" s="375" t="s">
        <v>6192</v>
      </c>
      <c r="T860" s="696" t="s">
        <v>772</v>
      </c>
      <c r="U860" s="375" t="s">
        <v>6193</v>
      </c>
      <c r="V860" s="722">
        <v>0</v>
      </c>
      <c r="W860" s="722">
        <v>5.26</v>
      </c>
      <c r="X860" s="722">
        <v>0</v>
      </c>
      <c r="Y860" s="722">
        <v>0</v>
      </c>
      <c r="Z860" s="382" t="s">
        <v>934</v>
      </c>
      <c r="AA860" s="372">
        <v>111.11180229999999</v>
      </c>
      <c r="AB860" s="372">
        <v>136.59500879999999</v>
      </c>
      <c r="AC860" s="372">
        <v>250.8470317</v>
      </c>
      <c r="AD860" s="372">
        <v>165.0134305</v>
      </c>
      <c r="AE860" s="372">
        <v>0</v>
      </c>
      <c r="AF860" s="372">
        <v>0</v>
      </c>
      <c r="AG860" s="372">
        <v>0</v>
      </c>
      <c r="AH860" s="372">
        <v>0</v>
      </c>
    </row>
    <row r="861" spans="1:34">
      <c r="A861" s="372" t="s">
        <v>6194</v>
      </c>
      <c r="B861" s="373" t="s">
        <v>6195</v>
      </c>
      <c r="C861" s="372" t="s">
        <v>6196</v>
      </c>
      <c r="D861" s="374">
        <v>1311110496206</v>
      </c>
      <c r="E861" s="372" t="s">
        <v>6197</v>
      </c>
      <c r="F861" s="375" t="s">
        <v>3151</v>
      </c>
      <c r="G861" s="375" t="s">
        <v>3151</v>
      </c>
      <c r="H861" s="375" t="s">
        <v>1388</v>
      </c>
      <c r="I861" s="375" t="s">
        <v>869</v>
      </c>
      <c r="J861" s="375">
        <v>0</v>
      </c>
      <c r="K861" s="375">
        <v>0</v>
      </c>
      <c r="L861" s="375">
        <v>0</v>
      </c>
      <c r="M861" s="375">
        <v>21642.924630000001</v>
      </c>
      <c r="N861" s="372" t="s">
        <v>1033</v>
      </c>
      <c r="O861" s="703">
        <v>1.3314390383512658</v>
      </c>
      <c r="P861" s="375" t="s">
        <v>623</v>
      </c>
      <c r="Q861" s="372" t="s">
        <v>623</v>
      </c>
      <c r="R861" s="695">
        <v>20230822</v>
      </c>
      <c r="S861" s="372" t="s">
        <v>6198</v>
      </c>
      <c r="T861" s="696" t="s">
        <v>772</v>
      </c>
      <c r="U861" s="372" t="s">
        <v>6199</v>
      </c>
      <c r="V861" s="722">
        <v>0</v>
      </c>
      <c r="W861" s="722">
        <v>14.02</v>
      </c>
      <c r="X861" s="722">
        <v>0</v>
      </c>
      <c r="Y861" s="722">
        <v>0</v>
      </c>
      <c r="Z861" s="382" t="s">
        <v>934</v>
      </c>
      <c r="AA861" s="372">
        <v>46.790623600000004</v>
      </c>
      <c r="AB861" s="372">
        <v>34.853578200000001</v>
      </c>
      <c r="AC861" s="372">
        <v>40.248845299999999</v>
      </c>
      <c r="AD861" s="372">
        <v>40.759349399999998</v>
      </c>
      <c r="AE861" s="372">
        <v>222.5</v>
      </c>
      <c r="AF861" s="372">
        <v>352</v>
      </c>
      <c r="AG861" s="372">
        <v>0</v>
      </c>
      <c r="AH861" s="372">
        <v>0</v>
      </c>
    </row>
    <row r="862" spans="1:34">
      <c r="A862" s="372" t="s">
        <v>6200</v>
      </c>
      <c r="B862" s="373" t="s">
        <v>6201</v>
      </c>
      <c r="C862" s="372" t="s">
        <v>6202</v>
      </c>
      <c r="D862" s="374">
        <v>1101110041717</v>
      </c>
      <c r="E862" s="372" t="s">
        <v>6203</v>
      </c>
      <c r="F862" s="375" t="s">
        <v>6204</v>
      </c>
      <c r="G862" s="375" t="s">
        <v>6205</v>
      </c>
      <c r="H862" s="375" t="s">
        <v>1555</v>
      </c>
      <c r="I862" s="375" t="s">
        <v>755</v>
      </c>
      <c r="J862" s="375">
        <v>539409.04775000003</v>
      </c>
      <c r="K862" s="375">
        <v>-1021.00324</v>
      </c>
      <c r="L862" s="375">
        <v>11543.197109999999</v>
      </c>
      <c r="M862" s="375">
        <v>880734.78556999995</v>
      </c>
      <c r="N862" s="372">
        <v>0.83299999999999996</v>
      </c>
      <c r="O862" s="703">
        <v>47.790213402943621</v>
      </c>
      <c r="P862" s="375" t="s">
        <v>623</v>
      </c>
      <c r="Q862" s="375" t="s">
        <v>623</v>
      </c>
      <c r="R862" s="695">
        <v>19730523</v>
      </c>
      <c r="S862" s="375" t="s">
        <v>6206</v>
      </c>
      <c r="T862" s="696">
        <v>0.20900000000000002</v>
      </c>
      <c r="U862" s="372" t="s">
        <v>6207</v>
      </c>
      <c r="V862" s="722">
        <v>9.2100000000000009</v>
      </c>
      <c r="W862" s="722">
        <v>0.23</v>
      </c>
      <c r="X862" s="722">
        <v>0.39</v>
      </c>
      <c r="Y862" s="722">
        <v>26.49</v>
      </c>
      <c r="Z862" s="382" t="s">
        <v>934</v>
      </c>
      <c r="AA862" s="372">
        <v>4648.7149337999999</v>
      </c>
      <c r="AB862" s="372">
        <v>6010.2858766999998</v>
      </c>
      <c r="AC862" s="372">
        <v>5930.5876840000001</v>
      </c>
      <c r="AD862" s="372">
        <v>5394.0904774999999</v>
      </c>
      <c r="AE862" s="372">
        <v>0</v>
      </c>
      <c r="AF862" s="372">
        <v>0</v>
      </c>
      <c r="AG862" s="372">
        <v>0</v>
      </c>
      <c r="AH862" s="372">
        <v>0</v>
      </c>
    </row>
    <row r="863" spans="1:34">
      <c r="A863" s="372" t="s">
        <v>6208</v>
      </c>
      <c r="B863" s="373" t="s">
        <v>6209</v>
      </c>
      <c r="C863" s="372" t="s">
        <v>6210</v>
      </c>
      <c r="D863" s="374">
        <v>1101110031479</v>
      </c>
      <c r="E863" s="372" t="s">
        <v>6211</v>
      </c>
      <c r="F863" s="375" t="s">
        <v>1761</v>
      </c>
      <c r="G863" s="375" t="s">
        <v>1761</v>
      </c>
      <c r="H863" s="375" t="s">
        <v>853</v>
      </c>
      <c r="I863" s="375" t="s">
        <v>755</v>
      </c>
      <c r="J863" s="375">
        <v>3916492.56678</v>
      </c>
      <c r="K863" s="375">
        <v>76519.058579999997</v>
      </c>
      <c r="L863" s="375">
        <v>52208.317560000003</v>
      </c>
      <c r="M863" s="375">
        <v>447988.12352999998</v>
      </c>
      <c r="N863" s="372">
        <v>1.048</v>
      </c>
      <c r="O863" s="703">
        <v>245.8760933006221</v>
      </c>
      <c r="P863" s="375" t="s">
        <v>623</v>
      </c>
      <c r="Q863" s="372" t="s">
        <v>623</v>
      </c>
      <c r="R863" s="695">
        <v>19760626</v>
      </c>
      <c r="S863" s="372" t="s">
        <v>6212</v>
      </c>
      <c r="T863" s="696">
        <v>0.23100000000000001</v>
      </c>
      <c r="U863" s="372" t="s">
        <v>6213</v>
      </c>
      <c r="V863" s="722">
        <v>5.4</v>
      </c>
      <c r="W863" s="722">
        <v>0.5</v>
      </c>
      <c r="X863" s="722">
        <v>0.05</v>
      </c>
      <c r="Y863" s="722">
        <v>7.58</v>
      </c>
      <c r="Z863" s="382" t="s">
        <v>934</v>
      </c>
      <c r="AA863" s="372">
        <v>28150.209794599999</v>
      </c>
      <c r="AB863" s="372">
        <v>38490.405202800001</v>
      </c>
      <c r="AC863" s="372">
        <v>50709.231173499997</v>
      </c>
      <c r="AD863" s="372">
        <v>39164.925667800002</v>
      </c>
      <c r="AE863" s="372">
        <v>0</v>
      </c>
      <c r="AF863" s="372">
        <v>0</v>
      </c>
      <c r="AG863" s="372">
        <v>0</v>
      </c>
      <c r="AH863" s="372">
        <v>0</v>
      </c>
    </row>
    <row r="864" spans="1:34">
      <c r="A864" s="372" t="s">
        <v>6214</v>
      </c>
      <c r="B864" s="373" t="s">
        <v>6215</v>
      </c>
      <c r="C864" s="372" t="s">
        <v>6216</v>
      </c>
      <c r="D864" s="374">
        <v>1355110144291</v>
      </c>
      <c r="E864" s="372" t="s">
        <v>6217</v>
      </c>
      <c r="F864" s="372" t="s">
        <v>4168</v>
      </c>
      <c r="G864" s="375" t="s">
        <v>6218</v>
      </c>
      <c r="H864" s="375" t="s">
        <v>1050</v>
      </c>
      <c r="I864" s="375" t="s">
        <v>755</v>
      </c>
      <c r="J864" s="375">
        <v>44887.669099999999</v>
      </c>
      <c r="K864" s="375">
        <v>-23921.334940000001</v>
      </c>
      <c r="L864" s="375">
        <v>-59483.409659999998</v>
      </c>
      <c r="M864" s="375">
        <v>79342.256710000001</v>
      </c>
      <c r="N864" s="372">
        <v>1.367</v>
      </c>
      <c r="O864" s="703">
        <v>19.400580549615523</v>
      </c>
      <c r="P864" s="375" t="s">
        <v>623</v>
      </c>
      <c r="Q864" s="375" t="s">
        <v>623</v>
      </c>
      <c r="R864" s="695">
        <v>20031223</v>
      </c>
      <c r="S864" s="375" t="s">
        <v>6219</v>
      </c>
      <c r="T864" s="696" t="s">
        <v>772</v>
      </c>
      <c r="U864" s="375" t="s">
        <v>6220</v>
      </c>
      <c r="V864" s="722" t="s">
        <v>774</v>
      </c>
      <c r="W864" s="722">
        <v>3.45</v>
      </c>
      <c r="X864" s="722">
        <v>5.98</v>
      </c>
      <c r="Y864" s="722" t="s">
        <v>774</v>
      </c>
      <c r="Z864" s="382" t="s">
        <v>934</v>
      </c>
      <c r="AA864" s="372">
        <v>274.47157659999999</v>
      </c>
      <c r="AB864" s="372">
        <v>553.95307030000004</v>
      </c>
      <c r="AC864" s="372">
        <v>268.95279579999999</v>
      </c>
      <c r="AD864" s="372">
        <v>448.87669099999999</v>
      </c>
      <c r="AE864" s="372">
        <v>0</v>
      </c>
      <c r="AF864" s="372">
        <v>0</v>
      </c>
      <c r="AG864" s="372">
        <v>0</v>
      </c>
      <c r="AH864" s="372">
        <v>0</v>
      </c>
    </row>
    <row r="865" spans="1:34">
      <c r="A865" s="372" t="s">
        <v>6221</v>
      </c>
      <c r="B865" s="373" t="s">
        <v>6222</v>
      </c>
      <c r="C865" s="372" t="s">
        <v>6223</v>
      </c>
      <c r="D865" s="374">
        <v>1101110112328</v>
      </c>
      <c r="E865" s="372" t="s">
        <v>6224</v>
      </c>
      <c r="F865" s="375" t="s">
        <v>6225</v>
      </c>
      <c r="G865" s="375" t="s">
        <v>6226</v>
      </c>
      <c r="H865" s="375">
        <v>0</v>
      </c>
      <c r="I865" s="375" t="s">
        <v>755</v>
      </c>
      <c r="J865" s="375">
        <v>632240.27561999997</v>
      </c>
      <c r="K865" s="375">
        <v>-23912.00347</v>
      </c>
      <c r="L865" s="375">
        <v>15312.562239999999</v>
      </c>
      <c r="M865" s="375">
        <v>647475.83285999997</v>
      </c>
      <c r="N865" s="372">
        <v>0.61899999999999999</v>
      </c>
      <c r="O865" s="703">
        <v>164.59531170577583</v>
      </c>
      <c r="P865" s="375" t="s">
        <v>623</v>
      </c>
      <c r="Q865" s="375" t="s">
        <v>623</v>
      </c>
      <c r="R865" s="695">
        <v>19890725</v>
      </c>
      <c r="S865" s="375" t="s">
        <v>6227</v>
      </c>
      <c r="T865" s="696">
        <v>0.20900000000000002</v>
      </c>
      <c r="U865" s="375" t="s">
        <v>6228</v>
      </c>
      <c r="V865" s="722" t="s">
        <v>774</v>
      </c>
      <c r="W865" s="722">
        <v>0.4</v>
      </c>
      <c r="X865" s="722">
        <v>0.33</v>
      </c>
      <c r="Y865" s="722">
        <v>10.92</v>
      </c>
      <c r="Z865" s="382" t="s">
        <v>934</v>
      </c>
      <c r="AA865" s="372">
        <v>6219.2741994999997</v>
      </c>
      <c r="AB865" s="372">
        <v>5903.9376417000003</v>
      </c>
      <c r="AC865" s="372">
        <v>6609.8631874000002</v>
      </c>
      <c r="AD865" s="372">
        <v>6322.4027562000001</v>
      </c>
      <c r="AE865" s="372">
        <v>0</v>
      </c>
      <c r="AF865" s="372">
        <v>0</v>
      </c>
      <c r="AG865" s="372">
        <v>0</v>
      </c>
      <c r="AH865" s="372">
        <v>0</v>
      </c>
    </row>
    <row r="866" spans="1:34">
      <c r="A866" s="372" t="s">
        <v>6229</v>
      </c>
      <c r="B866" s="373" t="s">
        <v>6230</v>
      </c>
      <c r="C866" s="372" t="s">
        <v>6231</v>
      </c>
      <c r="D866" s="374">
        <v>1101110029721</v>
      </c>
      <c r="E866" s="372" t="s">
        <v>6232</v>
      </c>
      <c r="F866" s="375" t="s">
        <v>900</v>
      </c>
      <c r="G866" s="375" t="s">
        <v>901</v>
      </c>
      <c r="H866" s="375" t="s">
        <v>862</v>
      </c>
      <c r="I866" s="375" t="s">
        <v>755</v>
      </c>
      <c r="J866" s="375">
        <v>4479660.1416199999</v>
      </c>
      <c r="K866" s="375">
        <v>279123.89056000003</v>
      </c>
      <c r="L866" s="375">
        <v>198096.17741</v>
      </c>
      <c r="M866" s="375">
        <v>1294261.2001199999</v>
      </c>
      <c r="N866" s="372">
        <v>0.98399999999999999</v>
      </c>
      <c r="O866" s="703">
        <v>1237.1610388621559</v>
      </c>
      <c r="P866" s="375" t="s">
        <v>623</v>
      </c>
      <c r="Q866" s="372" t="s">
        <v>623</v>
      </c>
      <c r="R866" s="695">
        <v>19990811</v>
      </c>
      <c r="S866" s="372" t="s">
        <v>2662</v>
      </c>
      <c r="T866" s="696">
        <v>0.23100000000000001</v>
      </c>
      <c r="U866" s="372" t="s">
        <v>6233</v>
      </c>
      <c r="V866" s="722">
        <v>5.19</v>
      </c>
      <c r="W866" s="722">
        <v>0.39</v>
      </c>
      <c r="X866" s="722">
        <v>0.05</v>
      </c>
      <c r="Y866" s="722">
        <v>6.58</v>
      </c>
      <c r="Z866" s="382" t="s">
        <v>934</v>
      </c>
      <c r="AA866" s="372">
        <v>26199.772182500001</v>
      </c>
      <c r="AB866" s="372">
        <v>31676.9965209</v>
      </c>
      <c r="AC866" s="372">
        <v>37879.598553299998</v>
      </c>
      <c r="AD866" s="372">
        <v>44796.601416199999</v>
      </c>
      <c r="AE866" s="372">
        <v>0</v>
      </c>
      <c r="AF866" s="372">
        <v>0</v>
      </c>
      <c r="AG866" s="372">
        <v>0</v>
      </c>
      <c r="AH866" s="372">
        <v>0</v>
      </c>
    </row>
    <row r="867" spans="1:34">
      <c r="A867" s="372" t="s">
        <v>6234</v>
      </c>
      <c r="B867" s="373" t="s">
        <v>6235</v>
      </c>
      <c r="C867" s="372" t="s">
        <v>6236</v>
      </c>
      <c r="D867" s="374">
        <v>1311110230307</v>
      </c>
      <c r="E867" s="372" t="s">
        <v>6237</v>
      </c>
      <c r="F867" s="375" t="s">
        <v>2207</v>
      </c>
      <c r="G867" s="375" t="s">
        <v>6238</v>
      </c>
      <c r="H867" s="375" t="s">
        <v>868</v>
      </c>
      <c r="I867" s="375" t="s">
        <v>869</v>
      </c>
      <c r="J867" s="375">
        <v>46546.986729999997</v>
      </c>
      <c r="K867" s="375">
        <v>7162.4142000000002</v>
      </c>
      <c r="L867" s="375">
        <v>8314.0047599999998</v>
      </c>
      <c r="M867" s="375">
        <v>49025.312460000001</v>
      </c>
      <c r="N867" s="372">
        <v>1.0109999999999999</v>
      </c>
      <c r="O867" s="703">
        <v>0.47145655144653936</v>
      </c>
      <c r="P867" s="375" t="s">
        <v>623</v>
      </c>
      <c r="Q867" s="372" t="s">
        <v>623</v>
      </c>
      <c r="R867" s="695">
        <v>20220223</v>
      </c>
      <c r="S867" s="372" t="s">
        <v>6239</v>
      </c>
      <c r="T867" s="696">
        <v>0.20900000000000002</v>
      </c>
      <c r="U867" s="372" t="s">
        <v>6240</v>
      </c>
      <c r="V867" s="722">
        <v>0</v>
      </c>
      <c r="W867" s="722">
        <v>5.57</v>
      </c>
      <c r="X867" s="722">
        <v>0</v>
      </c>
      <c r="Y867" s="722">
        <v>0</v>
      </c>
      <c r="Z867" s="382" t="s">
        <v>934</v>
      </c>
      <c r="AA867" s="372">
        <v>150.8163811</v>
      </c>
      <c r="AB867" s="372">
        <v>221.7195562</v>
      </c>
      <c r="AC867" s="372">
        <v>269.04546549999998</v>
      </c>
      <c r="AD867" s="372">
        <v>465.46986729999998</v>
      </c>
      <c r="AE867" s="372">
        <v>0</v>
      </c>
      <c r="AF867" s="372">
        <v>0</v>
      </c>
      <c r="AG867" s="372">
        <v>0</v>
      </c>
      <c r="AH867" s="372">
        <v>0</v>
      </c>
    </row>
    <row r="868" spans="1:34">
      <c r="A868" s="372" t="s">
        <v>6241</v>
      </c>
      <c r="B868" s="373" t="s">
        <v>6242</v>
      </c>
      <c r="C868" s="372" t="s">
        <v>6243</v>
      </c>
      <c r="D868" s="374">
        <v>1101117616620</v>
      </c>
      <c r="E868" s="372" t="s">
        <v>6244</v>
      </c>
      <c r="F868" s="375" t="s">
        <v>3266</v>
      </c>
      <c r="G868" s="375" t="s">
        <v>3266</v>
      </c>
      <c r="H868" s="375" t="s">
        <v>1388</v>
      </c>
      <c r="I868" s="375" t="s">
        <v>869</v>
      </c>
      <c r="J868" s="375">
        <v>10483.522720000001</v>
      </c>
      <c r="K868" s="375">
        <v>-8614.5270899999996</v>
      </c>
      <c r="L868" s="375">
        <v>-9079.9324799999995</v>
      </c>
      <c r="M868" s="375">
        <v>15401.60914</v>
      </c>
      <c r="N868" s="372">
        <v>1.288</v>
      </c>
      <c r="O868" s="703">
        <v>5.0737186018980074</v>
      </c>
      <c r="P868" s="375" t="s">
        <v>623</v>
      </c>
      <c r="Q868" s="375" t="s">
        <v>623</v>
      </c>
      <c r="R868" s="695">
        <v>20201221</v>
      </c>
      <c r="S868" s="375" t="s">
        <v>6245</v>
      </c>
      <c r="T868" s="696" t="s">
        <v>772</v>
      </c>
      <c r="U868" s="375" t="s">
        <v>6246</v>
      </c>
      <c r="V868" s="722">
        <v>0</v>
      </c>
      <c r="W868" s="722">
        <v>13.43</v>
      </c>
      <c r="X868" s="722">
        <v>0</v>
      </c>
      <c r="Y868" s="722">
        <v>0</v>
      </c>
      <c r="Z868" s="382" t="s">
        <v>934</v>
      </c>
      <c r="AA868" s="372">
        <v>14.703639799999999</v>
      </c>
      <c r="AB868" s="372">
        <v>133.0888697</v>
      </c>
      <c r="AC868" s="372">
        <v>181.45498839999999</v>
      </c>
      <c r="AD868" s="372">
        <v>104.83522720000001</v>
      </c>
      <c r="AE868" s="372">
        <v>0</v>
      </c>
      <c r="AF868" s="372">
        <v>0</v>
      </c>
      <c r="AG868" s="372">
        <v>0</v>
      </c>
      <c r="AH868" s="372">
        <v>0</v>
      </c>
    </row>
    <row r="869" spans="1:34">
      <c r="A869" s="372" t="s">
        <v>6247</v>
      </c>
      <c r="B869" s="373" t="s">
        <v>6248</v>
      </c>
      <c r="C869" s="372" t="s">
        <v>6249</v>
      </c>
      <c r="D869" s="374">
        <v>1355110106027</v>
      </c>
      <c r="E869" s="372" t="s">
        <v>6250</v>
      </c>
      <c r="F869" s="375" t="s">
        <v>3487</v>
      </c>
      <c r="G869" s="375" t="s">
        <v>3487</v>
      </c>
      <c r="H869" s="375" t="s">
        <v>1388</v>
      </c>
      <c r="I869" s="375" t="s">
        <v>869</v>
      </c>
      <c r="J869" s="375">
        <v>390033.88458000001</v>
      </c>
      <c r="K869" s="375">
        <v>16227.30811</v>
      </c>
      <c r="L869" s="375">
        <v>-3556.7532000000001</v>
      </c>
      <c r="M869" s="375">
        <v>368293.31867000001</v>
      </c>
      <c r="N869" s="372">
        <v>0.82199999999999995</v>
      </c>
      <c r="O869" s="703">
        <v>246.530358966942</v>
      </c>
      <c r="P869" s="375" t="s">
        <v>623</v>
      </c>
      <c r="Q869" s="375" t="s">
        <v>623</v>
      </c>
      <c r="R869" s="695">
        <v>20051206</v>
      </c>
      <c r="S869" s="375" t="s">
        <v>6251</v>
      </c>
      <c r="T869" s="696" t="s">
        <v>772</v>
      </c>
      <c r="U869" s="372" t="s">
        <v>6252</v>
      </c>
      <c r="V869" s="722">
        <v>12.88</v>
      </c>
      <c r="W869" s="722">
        <v>0.56000000000000005</v>
      </c>
      <c r="X869" s="722">
        <v>0.5</v>
      </c>
      <c r="Y869" s="722" t="s">
        <v>774</v>
      </c>
      <c r="Z869" s="382" t="s">
        <v>934</v>
      </c>
      <c r="AA869" s="372">
        <v>4121.9597709</v>
      </c>
      <c r="AB869" s="372">
        <v>3995.0095468</v>
      </c>
      <c r="AC869" s="372">
        <v>4112.8801498000003</v>
      </c>
      <c r="AD869" s="372">
        <v>3900.3388457999999</v>
      </c>
      <c r="AE869" s="372">
        <v>0</v>
      </c>
      <c r="AF869" s="372">
        <v>0</v>
      </c>
      <c r="AG869" s="372">
        <v>0</v>
      </c>
      <c r="AH869" s="372">
        <v>0</v>
      </c>
    </row>
    <row r="870" spans="1:34">
      <c r="A870" s="372" t="s">
        <v>6253</v>
      </c>
      <c r="B870" s="373" t="s">
        <v>6254</v>
      </c>
      <c r="C870" s="372" t="s">
        <v>6255</v>
      </c>
      <c r="D870" s="374">
        <v>1501110075164</v>
      </c>
      <c r="E870" s="372" t="s">
        <v>6256</v>
      </c>
      <c r="F870" s="375" t="s">
        <v>770</v>
      </c>
      <c r="G870" s="375" t="s">
        <v>770</v>
      </c>
      <c r="H870" s="375" t="s">
        <v>1388</v>
      </c>
      <c r="I870" s="375" t="s">
        <v>869</v>
      </c>
      <c r="J870" s="375">
        <v>47687.929120000001</v>
      </c>
      <c r="K870" s="375">
        <v>4895.3288599999996</v>
      </c>
      <c r="L870" s="375">
        <v>-328.73034999999999</v>
      </c>
      <c r="M870" s="375">
        <v>107680.74933999999</v>
      </c>
      <c r="N870" s="372" t="s">
        <v>1033</v>
      </c>
      <c r="O870" s="703">
        <v>47.214146387526732</v>
      </c>
      <c r="P870" s="375" t="s">
        <v>623</v>
      </c>
      <c r="Q870" s="372" t="s">
        <v>623</v>
      </c>
      <c r="R870" s="695">
        <v>20230727</v>
      </c>
      <c r="S870" s="375" t="s">
        <v>6257</v>
      </c>
      <c r="T870" s="696" t="s">
        <v>772</v>
      </c>
      <c r="U870" s="375" t="s">
        <v>6258</v>
      </c>
      <c r="V870" s="722">
        <v>12.59</v>
      </c>
      <c r="W870" s="722">
        <v>1.9</v>
      </c>
      <c r="X870" s="722">
        <v>4.07</v>
      </c>
      <c r="Y870" s="722">
        <v>37.340000000000003</v>
      </c>
      <c r="Z870" s="382">
        <v>0.13485925835614587</v>
      </c>
      <c r="AA870" s="372">
        <v>306.99181670000002</v>
      </c>
      <c r="AB870" s="372">
        <v>418.41806889999998</v>
      </c>
      <c r="AC870" s="372">
        <v>443.1885436</v>
      </c>
      <c r="AD870" s="372">
        <v>476.87929120000001</v>
      </c>
      <c r="AE870" s="372">
        <v>586.5</v>
      </c>
      <c r="AF870" s="372">
        <v>671</v>
      </c>
      <c r="AG870" s="372">
        <v>791</v>
      </c>
      <c r="AH870" s="372">
        <v>0</v>
      </c>
    </row>
    <row r="871" spans="1:34">
      <c r="A871" s="372" t="s">
        <v>6259</v>
      </c>
      <c r="B871" s="373" t="s">
        <v>6260</v>
      </c>
      <c r="C871" s="372" t="s">
        <v>6261</v>
      </c>
      <c r="D871" s="374">
        <v>1601110072738</v>
      </c>
      <c r="E871" s="372" t="s">
        <v>6262</v>
      </c>
      <c r="F871" s="375" t="s">
        <v>1286</v>
      </c>
      <c r="G871" s="375" t="s">
        <v>1465</v>
      </c>
      <c r="H871" s="375" t="s">
        <v>868</v>
      </c>
      <c r="I871" s="375" t="s">
        <v>869</v>
      </c>
      <c r="J871" s="375">
        <v>121539.20544999999</v>
      </c>
      <c r="K871" s="375">
        <v>12204.48918</v>
      </c>
      <c r="L871" s="375">
        <v>13295.966420000001</v>
      </c>
      <c r="M871" s="375">
        <v>89807.641740000006</v>
      </c>
      <c r="N871" s="372">
        <v>1.1319999999999999</v>
      </c>
      <c r="O871" s="703">
        <v>1.2996236818754916</v>
      </c>
      <c r="P871" s="375" t="s">
        <v>623</v>
      </c>
      <c r="Q871" s="375" t="s">
        <v>623</v>
      </c>
      <c r="R871" s="695">
        <v>20150730</v>
      </c>
      <c r="S871" s="375" t="s">
        <v>6263</v>
      </c>
      <c r="T871" s="696">
        <v>0.20900000000000002</v>
      </c>
      <c r="U871" s="372" t="s">
        <v>6264</v>
      </c>
      <c r="V871" s="722">
        <v>0</v>
      </c>
      <c r="W871" s="722">
        <v>2.41</v>
      </c>
      <c r="X871" s="722">
        <v>0</v>
      </c>
      <c r="Y871" s="722">
        <v>0</v>
      </c>
      <c r="Z871" s="382" t="s">
        <v>934</v>
      </c>
      <c r="AA871" s="372">
        <v>665.32479369999999</v>
      </c>
      <c r="AB871" s="372">
        <v>797.23131599999999</v>
      </c>
      <c r="AC871" s="372">
        <v>838.45591809999996</v>
      </c>
      <c r="AD871" s="372">
        <v>1215.3920545000001</v>
      </c>
      <c r="AE871" s="372">
        <v>0</v>
      </c>
      <c r="AF871" s="372">
        <v>0</v>
      </c>
      <c r="AG871" s="372">
        <v>0</v>
      </c>
      <c r="AH871" s="372">
        <v>0</v>
      </c>
    </row>
    <row r="872" spans="1:34">
      <c r="A872" s="372" t="s">
        <v>6265</v>
      </c>
      <c r="B872" s="373" t="s">
        <v>6266</v>
      </c>
      <c r="C872" s="372" t="s">
        <v>6267</v>
      </c>
      <c r="D872" s="374">
        <v>1101113841627</v>
      </c>
      <c r="E872" s="372" t="s">
        <v>6268</v>
      </c>
      <c r="F872" s="375" t="s">
        <v>1381</v>
      </c>
      <c r="G872" s="375" t="s">
        <v>1381</v>
      </c>
      <c r="H872" s="375" t="s">
        <v>1693</v>
      </c>
      <c r="I872" s="375" t="s">
        <v>869</v>
      </c>
      <c r="J872" s="375">
        <v>1933.06585</v>
      </c>
      <c r="K872" s="375">
        <v>-6726.8395200000004</v>
      </c>
      <c r="L872" s="375">
        <v>-6737.0655299999999</v>
      </c>
      <c r="M872" s="375">
        <v>27177.742340000001</v>
      </c>
      <c r="N872" s="372">
        <v>1.1459999999999999</v>
      </c>
      <c r="O872" s="703">
        <v>0.92053704020925076</v>
      </c>
      <c r="P872" s="375" t="s">
        <v>623</v>
      </c>
      <c r="Q872" s="375" t="s">
        <v>623</v>
      </c>
      <c r="R872" s="695">
        <v>20210817</v>
      </c>
      <c r="S872" s="375" t="s">
        <v>6269</v>
      </c>
      <c r="T872" s="696" t="s">
        <v>772</v>
      </c>
      <c r="U872" s="372" t="s">
        <v>6270</v>
      </c>
      <c r="V872" s="722">
        <v>0</v>
      </c>
      <c r="W872" s="722">
        <v>8.81</v>
      </c>
      <c r="X872" s="722">
        <v>0</v>
      </c>
      <c r="Y872" s="722">
        <v>0</v>
      </c>
      <c r="Z872" s="382" t="s">
        <v>934</v>
      </c>
      <c r="AA872" s="372">
        <v>10.399446599999999</v>
      </c>
      <c r="AB872" s="372">
        <v>9.4367049000000005</v>
      </c>
      <c r="AC872" s="372">
        <v>31.8154854</v>
      </c>
      <c r="AD872" s="372">
        <v>19.330658499999998</v>
      </c>
      <c r="AE872" s="372">
        <v>0</v>
      </c>
      <c r="AF872" s="372">
        <v>0</v>
      </c>
      <c r="AG872" s="372">
        <v>0</v>
      </c>
      <c r="AH872" s="372">
        <v>0</v>
      </c>
    </row>
    <row r="873" spans="1:34">
      <c r="A873" s="372" t="s">
        <v>6271</v>
      </c>
      <c r="B873" s="373" t="s">
        <v>6272</v>
      </c>
      <c r="C873" s="372" t="s">
        <v>6273</v>
      </c>
      <c r="D873" s="374">
        <v>1101110016728</v>
      </c>
      <c r="E873" s="372" t="s">
        <v>6274</v>
      </c>
      <c r="F873" s="375" t="s">
        <v>965</v>
      </c>
      <c r="G873" s="375" t="s">
        <v>966</v>
      </c>
      <c r="H873" s="375" t="s">
        <v>940</v>
      </c>
      <c r="I873" s="375" t="s">
        <v>755</v>
      </c>
      <c r="J873" s="375">
        <v>2525438</v>
      </c>
      <c r="K873" s="375">
        <v>407770</v>
      </c>
      <c r="L873" s="375">
        <v>407131</v>
      </c>
      <c r="M873" s="375">
        <v>1360675</v>
      </c>
      <c r="N873" s="372">
        <v>0.96</v>
      </c>
      <c r="O873" s="703">
        <v>112.00214881741381</v>
      </c>
      <c r="P873" s="375" t="s">
        <v>623</v>
      </c>
      <c r="Q873" s="375" t="s">
        <v>623</v>
      </c>
      <c r="R873" s="695">
        <v>19741205</v>
      </c>
      <c r="S873" s="375" t="s">
        <v>3507</v>
      </c>
      <c r="T873" s="696">
        <v>0.26400000000000001</v>
      </c>
      <c r="U873" s="372" t="s">
        <v>6275</v>
      </c>
      <c r="V873" s="722">
        <v>0</v>
      </c>
      <c r="W873" s="722">
        <v>0.15</v>
      </c>
      <c r="X873" s="722">
        <v>0</v>
      </c>
      <c r="Y873" s="722">
        <v>0</v>
      </c>
      <c r="Z873" s="382" t="s">
        <v>934</v>
      </c>
      <c r="AA873" s="372">
        <v>32046.98</v>
      </c>
      <c r="AB873" s="372">
        <v>32266.639999999999</v>
      </c>
      <c r="AC873" s="372">
        <v>24754.62</v>
      </c>
      <c r="AD873" s="372">
        <v>25254.38</v>
      </c>
      <c r="AE873" s="372">
        <v>0</v>
      </c>
      <c r="AF873" s="372">
        <v>0</v>
      </c>
      <c r="AG873" s="372">
        <v>0</v>
      </c>
      <c r="AH873" s="372">
        <v>0</v>
      </c>
    </row>
    <row r="874" spans="1:34">
      <c r="A874" s="372" t="s">
        <v>6276</v>
      </c>
      <c r="B874" s="373" t="s">
        <v>6277</v>
      </c>
      <c r="C874" s="372" t="s">
        <v>6278</v>
      </c>
      <c r="D874" s="374">
        <v>1101111960792</v>
      </c>
      <c r="E874" s="372" t="s">
        <v>6279</v>
      </c>
      <c r="F874" s="375" t="s">
        <v>6280</v>
      </c>
      <c r="G874" s="375" t="s">
        <v>6280</v>
      </c>
      <c r="H874" s="375" t="s">
        <v>1693</v>
      </c>
      <c r="I874" s="375" t="s">
        <v>869</v>
      </c>
      <c r="J874" s="375">
        <v>358598.25141999999</v>
      </c>
      <c r="K874" s="375">
        <v>40285.83066</v>
      </c>
      <c r="L874" s="375">
        <v>42224.433210000003</v>
      </c>
      <c r="M874" s="375">
        <v>197384.60258999999</v>
      </c>
      <c r="N874" s="372">
        <v>0.75</v>
      </c>
      <c r="O874" s="703">
        <v>21.961301202874221</v>
      </c>
      <c r="P874" s="375" t="s">
        <v>623</v>
      </c>
      <c r="Q874" s="372" t="s">
        <v>623</v>
      </c>
      <c r="R874" s="695">
        <v>20061116</v>
      </c>
      <c r="S874" s="372" t="s">
        <v>6281</v>
      </c>
      <c r="T874" s="696">
        <v>0.23100000000000001</v>
      </c>
      <c r="U874" s="372" t="s">
        <v>6282</v>
      </c>
      <c r="V874" s="722">
        <v>3.5</v>
      </c>
      <c r="W874" s="722">
        <v>1.04</v>
      </c>
      <c r="X874" s="722">
        <v>0.56000000000000005</v>
      </c>
      <c r="Y874" s="722">
        <v>6.41</v>
      </c>
      <c r="Z874" s="382" t="s">
        <v>934</v>
      </c>
      <c r="AA874" s="372">
        <v>2600.1856508999999</v>
      </c>
      <c r="AB874" s="372">
        <v>3082.8159145</v>
      </c>
      <c r="AC874" s="372">
        <v>3574.8684790000002</v>
      </c>
      <c r="AD874" s="372">
        <v>3585.9825142</v>
      </c>
      <c r="AE874" s="372">
        <v>0</v>
      </c>
      <c r="AF874" s="372">
        <v>0</v>
      </c>
      <c r="AG874" s="372">
        <v>0</v>
      </c>
      <c r="AH874" s="372">
        <v>0</v>
      </c>
    </row>
    <row r="875" spans="1:34">
      <c r="A875" s="372" t="s">
        <v>6283</v>
      </c>
      <c r="B875" s="373" t="s">
        <v>6284</v>
      </c>
      <c r="C875" s="372" t="s">
        <v>6285</v>
      </c>
      <c r="D875" s="374">
        <v>1348110016007</v>
      </c>
      <c r="E875" s="372" t="s">
        <v>6286</v>
      </c>
      <c r="F875" s="375" t="s">
        <v>779</v>
      </c>
      <c r="G875" s="375" t="s">
        <v>839</v>
      </c>
      <c r="H875" s="375" t="s">
        <v>1388</v>
      </c>
      <c r="I875" s="375" t="s">
        <v>869</v>
      </c>
      <c r="J875" s="375">
        <v>301635.71875</v>
      </c>
      <c r="K875" s="375">
        <v>30203.143039999999</v>
      </c>
      <c r="L875" s="375">
        <v>29692.626370000002</v>
      </c>
      <c r="M875" s="375">
        <v>147079.48493000001</v>
      </c>
      <c r="N875" s="372">
        <v>0.998</v>
      </c>
      <c r="O875" s="703">
        <v>46.799532664095558</v>
      </c>
      <c r="P875" s="375" t="s">
        <v>623</v>
      </c>
      <c r="Q875" s="372" t="s">
        <v>623</v>
      </c>
      <c r="R875" s="695">
        <v>20070523</v>
      </c>
      <c r="S875" s="372" t="s">
        <v>6287</v>
      </c>
      <c r="T875" s="696">
        <v>0.23100000000000001</v>
      </c>
      <c r="U875" s="372" t="s">
        <v>6288</v>
      </c>
      <c r="V875" s="722">
        <v>5.34</v>
      </c>
      <c r="W875" s="722">
        <v>1.45</v>
      </c>
      <c r="X875" s="722">
        <v>0.71</v>
      </c>
      <c r="Y875" s="722">
        <v>8.2200000000000006</v>
      </c>
      <c r="Z875" s="382" t="s">
        <v>934</v>
      </c>
      <c r="AA875" s="372">
        <v>1517.1332176999999</v>
      </c>
      <c r="AB875" s="372">
        <v>1975.0916704000001</v>
      </c>
      <c r="AC875" s="372">
        <v>2908.1112668000001</v>
      </c>
      <c r="AD875" s="372">
        <v>3016.3571874999998</v>
      </c>
      <c r="AE875" s="372">
        <v>4544</v>
      </c>
      <c r="AF875" s="372">
        <v>0</v>
      </c>
      <c r="AG875" s="372">
        <v>0</v>
      </c>
      <c r="AH875" s="372">
        <v>0</v>
      </c>
    </row>
    <row r="876" spans="1:34">
      <c r="A876" s="372" t="s">
        <v>6289</v>
      </c>
      <c r="B876" s="373" t="s">
        <v>6290</v>
      </c>
      <c r="C876" s="372" t="s">
        <v>6291</v>
      </c>
      <c r="D876" s="374">
        <v>1801110019843</v>
      </c>
      <c r="E876" s="372" t="s">
        <v>6292</v>
      </c>
      <c r="F876" s="375" t="s">
        <v>6293</v>
      </c>
      <c r="G876" s="375" t="s">
        <v>6294</v>
      </c>
      <c r="H876" s="375" t="s">
        <v>1397</v>
      </c>
      <c r="I876" s="375" t="s">
        <v>755</v>
      </c>
      <c r="J876" s="375">
        <v>344964.13149</v>
      </c>
      <c r="K876" s="375">
        <v>7693.1029500000004</v>
      </c>
      <c r="L876" s="375">
        <v>12337.812889999999</v>
      </c>
      <c r="M876" s="375">
        <v>228916.54946000001</v>
      </c>
      <c r="N876" s="372">
        <v>1.0609999999999999</v>
      </c>
      <c r="O876" s="703">
        <v>33.068122162591557</v>
      </c>
      <c r="P876" s="375" t="s">
        <v>623</v>
      </c>
      <c r="Q876" s="375" t="s">
        <v>623</v>
      </c>
      <c r="R876" s="695">
        <v>20090612</v>
      </c>
      <c r="S876" s="375" t="s">
        <v>6295</v>
      </c>
      <c r="T876" s="696">
        <v>0.20900000000000002</v>
      </c>
      <c r="U876" s="375" t="s">
        <v>6296</v>
      </c>
      <c r="V876" s="722">
        <v>5.81</v>
      </c>
      <c r="W876" s="722">
        <v>0.77</v>
      </c>
      <c r="X876" s="722">
        <v>0.53</v>
      </c>
      <c r="Y876" s="722">
        <v>17.77</v>
      </c>
      <c r="Z876" s="382" t="s">
        <v>934</v>
      </c>
      <c r="AA876" s="372">
        <v>3146.4774650999998</v>
      </c>
      <c r="AB876" s="372">
        <v>2894.8237672</v>
      </c>
      <c r="AC876" s="372">
        <v>2662.8278028</v>
      </c>
      <c r="AD876" s="372">
        <v>3449.6413149</v>
      </c>
      <c r="AE876" s="372">
        <v>0</v>
      </c>
      <c r="AF876" s="372">
        <v>0</v>
      </c>
      <c r="AG876" s="372">
        <v>0</v>
      </c>
      <c r="AH876" s="372">
        <v>0</v>
      </c>
    </row>
    <row r="877" spans="1:34">
      <c r="A877" s="372" t="s">
        <v>6297</v>
      </c>
      <c r="B877" s="373" t="s">
        <v>6298</v>
      </c>
      <c r="C877" s="372" t="s">
        <v>6299</v>
      </c>
      <c r="D877" s="374">
        <v>1101110030528</v>
      </c>
      <c r="E877" s="372" t="s">
        <v>6300</v>
      </c>
      <c r="F877" s="375" t="s">
        <v>900</v>
      </c>
      <c r="G877" s="375" t="s">
        <v>901</v>
      </c>
      <c r="H877" s="375" t="s">
        <v>862</v>
      </c>
      <c r="I877" s="375" t="s">
        <v>755</v>
      </c>
      <c r="J877" s="375">
        <v>5894231.2821000004</v>
      </c>
      <c r="K877" s="375">
        <v>102926.77625</v>
      </c>
      <c r="L877" s="375">
        <v>24619.01728</v>
      </c>
      <c r="M877" s="375">
        <v>1310533.88111</v>
      </c>
      <c r="N877" s="372">
        <v>1.0840000000000001</v>
      </c>
      <c r="O877" s="703">
        <v>1100.121675452544</v>
      </c>
      <c r="P877" s="375" t="s">
        <v>623</v>
      </c>
      <c r="Q877" s="375" t="s">
        <v>623</v>
      </c>
      <c r="R877" s="695">
        <v>19750623</v>
      </c>
      <c r="S877" s="372" t="s">
        <v>861</v>
      </c>
      <c r="T877" s="696">
        <v>0.23100000000000001</v>
      </c>
      <c r="U877" s="372" t="s">
        <v>6301</v>
      </c>
      <c r="V877" s="722">
        <v>11.78</v>
      </c>
      <c r="W877" s="722">
        <v>0.22</v>
      </c>
      <c r="X877" s="722">
        <v>0.04</v>
      </c>
      <c r="Y877" s="722">
        <v>27.83</v>
      </c>
      <c r="Z877" s="382" t="s">
        <v>934</v>
      </c>
      <c r="AA877" s="372">
        <v>48901.505365700003</v>
      </c>
      <c r="AB877" s="372">
        <v>54104.149570000001</v>
      </c>
      <c r="AC877" s="372">
        <v>56599.223746900003</v>
      </c>
      <c r="AD877" s="372">
        <v>58942.312821</v>
      </c>
      <c r="AE877" s="372">
        <v>0</v>
      </c>
      <c r="AF877" s="372">
        <v>0</v>
      </c>
      <c r="AG877" s="372">
        <v>0</v>
      </c>
      <c r="AH877" s="372">
        <v>0</v>
      </c>
    </row>
    <row r="878" spans="1:34">
      <c r="A878" s="372" t="s">
        <v>6302</v>
      </c>
      <c r="B878" s="373" t="s">
        <v>6303</v>
      </c>
      <c r="C878" s="372" t="s">
        <v>6304</v>
      </c>
      <c r="D878" s="374">
        <v>1101110166903</v>
      </c>
      <c r="E878" s="372" t="s">
        <v>6305</v>
      </c>
      <c r="F878" s="375" t="s">
        <v>830</v>
      </c>
      <c r="G878" s="375" t="s">
        <v>1524</v>
      </c>
      <c r="H878" s="375" t="s">
        <v>832</v>
      </c>
      <c r="I878" s="375" t="s">
        <v>755</v>
      </c>
      <c r="J878" s="375">
        <v>911119.63506</v>
      </c>
      <c r="K878" s="375">
        <v>58387.011989999999</v>
      </c>
      <c r="L878" s="375">
        <v>84163.179889999999</v>
      </c>
      <c r="M878" s="375">
        <v>646572.70611999999</v>
      </c>
      <c r="N878" s="372">
        <v>0.54400000000000004</v>
      </c>
      <c r="O878" s="703">
        <v>32.942313518993842</v>
      </c>
      <c r="P878" s="375" t="s">
        <v>623</v>
      </c>
      <c r="Q878" s="375" t="s">
        <v>623</v>
      </c>
      <c r="R878" s="695">
        <v>19941227</v>
      </c>
      <c r="S878" s="375" t="s">
        <v>6306</v>
      </c>
      <c r="T878" s="696">
        <v>0.23100000000000001</v>
      </c>
      <c r="U878" s="372" t="s">
        <v>6307</v>
      </c>
      <c r="V878" s="722">
        <v>2.61</v>
      </c>
      <c r="W878" s="722">
        <v>0.33</v>
      </c>
      <c r="X878" s="722">
        <v>0.23</v>
      </c>
      <c r="Y878" s="722">
        <v>3.25</v>
      </c>
      <c r="Z878" s="382" t="s">
        <v>934</v>
      </c>
      <c r="AA878" s="372">
        <v>7466.6232323000004</v>
      </c>
      <c r="AB878" s="372">
        <v>10207.861007899999</v>
      </c>
      <c r="AC878" s="372">
        <v>9835.7955865999993</v>
      </c>
      <c r="AD878" s="372">
        <v>9111.1963505999993</v>
      </c>
      <c r="AE878" s="372">
        <v>10305</v>
      </c>
      <c r="AF878" s="372">
        <v>0</v>
      </c>
      <c r="AG878" s="372">
        <v>0</v>
      </c>
      <c r="AH878" s="372">
        <v>0</v>
      </c>
    </row>
    <row r="879" spans="1:34">
      <c r="A879" s="372" t="s">
        <v>6308</v>
      </c>
      <c r="B879" s="373" t="s">
        <v>6309</v>
      </c>
      <c r="C879" s="372" t="s">
        <v>6310</v>
      </c>
      <c r="D879" s="374">
        <v>0</v>
      </c>
      <c r="E879" s="372" t="s">
        <v>6311</v>
      </c>
      <c r="F879" s="375" t="s">
        <v>3899</v>
      </c>
      <c r="G879" s="375" t="s">
        <v>3899</v>
      </c>
      <c r="H879" s="375">
        <v>0</v>
      </c>
      <c r="I879" s="375" t="s">
        <v>869</v>
      </c>
      <c r="J879" s="375">
        <v>0</v>
      </c>
      <c r="K879" s="375">
        <v>0</v>
      </c>
      <c r="L879" s="375">
        <v>0</v>
      </c>
      <c r="M879" s="375">
        <v>0</v>
      </c>
      <c r="N879" s="372">
        <v>0.42899999999999999</v>
      </c>
      <c r="O879" s="703">
        <v>0</v>
      </c>
      <c r="P879" s="375" t="s">
        <v>623</v>
      </c>
      <c r="Q879" s="372" t="s">
        <v>16145</v>
      </c>
      <c r="R879" s="695">
        <v>20180406</v>
      </c>
      <c r="S879" s="372" t="s">
        <v>6312</v>
      </c>
      <c r="T879" s="696" t="s">
        <v>772</v>
      </c>
      <c r="U879" s="372" t="s">
        <v>6313</v>
      </c>
      <c r="V879" s="722">
        <v>0</v>
      </c>
      <c r="W879" s="722">
        <v>0</v>
      </c>
      <c r="X879" s="722">
        <v>0</v>
      </c>
      <c r="Y879" s="722">
        <v>0</v>
      </c>
      <c r="Z879" s="382" t="s">
        <v>774</v>
      </c>
      <c r="AA879" s="372">
        <v>181.71020999999999</v>
      </c>
      <c r="AB879" s="372">
        <v>139.69253</v>
      </c>
      <c r="AC879" s="372">
        <v>358.09965</v>
      </c>
      <c r="AD879" s="372">
        <v>0</v>
      </c>
      <c r="AE879" s="372">
        <v>0</v>
      </c>
      <c r="AF879" s="372">
        <v>0</v>
      </c>
      <c r="AG879" s="372">
        <v>0</v>
      </c>
      <c r="AH879" s="372">
        <v>0</v>
      </c>
    </row>
    <row r="880" spans="1:34">
      <c r="A880" s="372" t="s">
        <v>6314</v>
      </c>
      <c r="B880" s="373" t="s">
        <v>6315</v>
      </c>
      <c r="C880" s="372" t="s">
        <v>6316</v>
      </c>
      <c r="D880" s="374">
        <v>1301110010015</v>
      </c>
      <c r="E880" s="372" t="s">
        <v>6317</v>
      </c>
      <c r="F880" s="375" t="s">
        <v>6318</v>
      </c>
      <c r="G880" s="375" t="s">
        <v>6318</v>
      </c>
      <c r="H880" s="375" t="s">
        <v>3998</v>
      </c>
      <c r="I880" s="375" t="s">
        <v>755</v>
      </c>
      <c r="J880" s="375">
        <v>719597.76659000001</v>
      </c>
      <c r="K880" s="375">
        <v>22183.903890000001</v>
      </c>
      <c r="L880" s="375">
        <v>13914.595310000001</v>
      </c>
      <c r="M880" s="375">
        <v>365835.18377</v>
      </c>
      <c r="N880" s="372">
        <v>1.238</v>
      </c>
      <c r="O880" s="703">
        <v>110.09329371212931</v>
      </c>
      <c r="P880" s="375" t="s">
        <v>623</v>
      </c>
      <c r="Q880" s="375" t="s">
        <v>623</v>
      </c>
      <c r="R880" s="695">
        <v>19881220</v>
      </c>
      <c r="S880" s="375" t="s">
        <v>6319</v>
      </c>
      <c r="T880" s="696">
        <v>0.20900000000000002</v>
      </c>
      <c r="U880" s="372" t="s">
        <v>6320</v>
      </c>
      <c r="V880" s="722">
        <v>7.43</v>
      </c>
      <c r="W880" s="722">
        <v>0.49</v>
      </c>
      <c r="X880" s="722">
        <v>0.24</v>
      </c>
      <c r="Y880" s="722">
        <v>33.840000000000003</v>
      </c>
      <c r="Z880" s="382" t="s">
        <v>934</v>
      </c>
      <c r="AA880" s="372">
        <v>5620.1203355999996</v>
      </c>
      <c r="AB880" s="372">
        <v>7128.6712442999997</v>
      </c>
      <c r="AC880" s="372">
        <v>7840.2245598</v>
      </c>
      <c r="AD880" s="372">
        <v>7195.9776658999999</v>
      </c>
      <c r="AE880" s="372">
        <v>0</v>
      </c>
      <c r="AF880" s="372">
        <v>0</v>
      </c>
      <c r="AG880" s="372">
        <v>0</v>
      </c>
      <c r="AH880" s="372">
        <v>0</v>
      </c>
    </row>
    <row r="881" spans="1:34">
      <c r="A881" s="372" t="s">
        <v>6321</v>
      </c>
      <c r="B881" s="373" t="s">
        <v>6322</v>
      </c>
      <c r="C881" s="372" t="s">
        <v>6323</v>
      </c>
      <c r="D881" s="374">
        <v>1101110742406</v>
      </c>
      <c r="E881" s="372" t="s">
        <v>6324</v>
      </c>
      <c r="F881" s="375" t="s">
        <v>2147</v>
      </c>
      <c r="G881" s="375" t="s">
        <v>4509</v>
      </c>
      <c r="H881" s="375" t="s">
        <v>868</v>
      </c>
      <c r="I881" s="375" t="s">
        <v>869</v>
      </c>
      <c r="J881" s="375">
        <v>46387.389199999998</v>
      </c>
      <c r="K881" s="375">
        <v>14066.004269999999</v>
      </c>
      <c r="L881" s="375">
        <v>15322.304599999999</v>
      </c>
      <c r="M881" s="375">
        <v>92937.461079999994</v>
      </c>
      <c r="N881" s="372">
        <v>0.36899999999999999</v>
      </c>
      <c r="O881" s="703">
        <v>0.28112662726467785</v>
      </c>
      <c r="P881" s="375" t="s">
        <v>623</v>
      </c>
      <c r="Q881" s="372" t="s">
        <v>623</v>
      </c>
      <c r="R881" s="695">
        <v>20181129</v>
      </c>
      <c r="S881" s="375" t="s">
        <v>6325</v>
      </c>
      <c r="T881" s="696">
        <v>0.20900000000000002</v>
      </c>
      <c r="U881" s="372" t="s">
        <v>6326</v>
      </c>
      <c r="V881" s="722">
        <v>0</v>
      </c>
      <c r="W881" s="722">
        <v>2.35</v>
      </c>
      <c r="X881" s="722">
        <v>0</v>
      </c>
      <c r="Y881" s="722">
        <v>0</v>
      </c>
      <c r="Z881" s="382" t="s">
        <v>934</v>
      </c>
      <c r="AA881" s="372">
        <v>402.03173509999999</v>
      </c>
      <c r="AB881" s="372">
        <v>502.58893849999998</v>
      </c>
      <c r="AC881" s="372">
        <v>562.20138280000003</v>
      </c>
      <c r="AD881" s="372">
        <v>463.87389200000001</v>
      </c>
      <c r="AE881" s="372">
        <v>0</v>
      </c>
      <c r="AF881" s="372">
        <v>0</v>
      </c>
      <c r="AG881" s="372">
        <v>0</v>
      </c>
      <c r="AH881" s="372">
        <v>0</v>
      </c>
    </row>
    <row r="882" spans="1:34">
      <c r="A882" s="372" t="s">
        <v>6327</v>
      </c>
      <c r="B882" s="373" t="s">
        <v>6328</v>
      </c>
      <c r="C882" s="372" t="s">
        <v>6329</v>
      </c>
      <c r="D882" s="374">
        <v>1101111283657</v>
      </c>
      <c r="E882" s="372" t="s">
        <v>6330</v>
      </c>
      <c r="F882" s="375" t="s">
        <v>6331</v>
      </c>
      <c r="G882" s="375" t="s">
        <v>6332</v>
      </c>
      <c r="H882" s="375" t="s">
        <v>823</v>
      </c>
      <c r="I882" s="375" t="s">
        <v>755</v>
      </c>
      <c r="J882" s="375">
        <v>412914.97515999997</v>
      </c>
      <c r="K882" s="375">
        <v>29630.959030000002</v>
      </c>
      <c r="L882" s="375">
        <v>21534.150890000001</v>
      </c>
      <c r="M882" s="375">
        <v>202820.59112</v>
      </c>
      <c r="N882" s="372">
        <v>1.4</v>
      </c>
      <c r="O882" s="703">
        <v>66.902229096152254</v>
      </c>
      <c r="P882" s="375" t="s">
        <v>623</v>
      </c>
      <c r="Q882" s="375" t="s">
        <v>623</v>
      </c>
      <c r="R882" s="695">
        <v>20090623</v>
      </c>
      <c r="S882" s="375" t="s">
        <v>6333</v>
      </c>
      <c r="T882" s="696">
        <v>0.23100000000000001</v>
      </c>
      <c r="U882" s="375" t="s">
        <v>6334</v>
      </c>
      <c r="V882" s="722">
        <v>7.26</v>
      </c>
      <c r="W882" s="722">
        <v>1.17</v>
      </c>
      <c r="X882" s="722">
        <v>0.55000000000000004</v>
      </c>
      <c r="Y882" s="722">
        <v>15.81</v>
      </c>
      <c r="Z882" s="382">
        <v>2.4560694120397741E-2</v>
      </c>
      <c r="AA882" s="372">
        <v>2325.7311528</v>
      </c>
      <c r="AB882" s="372">
        <v>2700.9169479000002</v>
      </c>
      <c r="AC882" s="372">
        <v>3744.1432384</v>
      </c>
      <c r="AD882" s="372">
        <v>4129.1497515999999</v>
      </c>
      <c r="AE882" s="372">
        <v>4300</v>
      </c>
      <c r="AF882" s="372">
        <v>4500</v>
      </c>
      <c r="AG882" s="372">
        <v>4550</v>
      </c>
      <c r="AH882" s="372">
        <v>0</v>
      </c>
    </row>
    <row r="883" spans="1:34">
      <c r="A883" s="372" t="s">
        <v>6335</v>
      </c>
      <c r="B883" s="373" t="s">
        <v>6336</v>
      </c>
      <c r="C883" s="372" t="s">
        <v>6337</v>
      </c>
      <c r="D883" s="374">
        <v>1101114253681</v>
      </c>
      <c r="E883" s="372" t="s">
        <v>6338</v>
      </c>
      <c r="F883" s="375" t="s">
        <v>830</v>
      </c>
      <c r="G883" s="375" t="s">
        <v>1524</v>
      </c>
      <c r="H883" s="375" t="s">
        <v>1388</v>
      </c>
      <c r="I883" s="375" t="s">
        <v>869</v>
      </c>
      <c r="J883" s="375">
        <v>0</v>
      </c>
      <c r="K883" s="375">
        <v>0</v>
      </c>
      <c r="L883" s="375">
        <v>0</v>
      </c>
      <c r="M883" s="375">
        <v>83256.336429999996</v>
      </c>
      <c r="N883" s="372" t="s">
        <v>1033</v>
      </c>
      <c r="O883" s="703">
        <v>3.8349290505383706</v>
      </c>
      <c r="P883" s="375" t="s">
        <v>623</v>
      </c>
      <c r="Q883" s="372" t="s">
        <v>623</v>
      </c>
      <c r="R883" s="695">
        <v>20231018</v>
      </c>
      <c r="S883" s="372" t="s">
        <v>6339</v>
      </c>
      <c r="T883" s="696" t="s">
        <v>772</v>
      </c>
      <c r="U883" s="372" t="s">
        <v>6340</v>
      </c>
      <c r="V883" s="722">
        <v>0</v>
      </c>
      <c r="W883" s="722">
        <v>2.2000000000000002</v>
      </c>
      <c r="X883" s="722">
        <v>0</v>
      </c>
      <c r="Y883" s="722">
        <v>0</v>
      </c>
      <c r="Z883" s="382" t="s">
        <v>934</v>
      </c>
      <c r="AA883" s="372">
        <v>689.92741790000002</v>
      </c>
      <c r="AB883" s="372">
        <v>1066.6499573000001</v>
      </c>
      <c r="AC883" s="372">
        <v>1373.7295369000001</v>
      </c>
      <c r="AD883" s="372">
        <v>1204.5897219999999</v>
      </c>
      <c r="AE883" s="372">
        <v>0</v>
      </c>
      <c r="AF883" s="372">
        <v>0</v>
      </c>
      <c r="AG883" s="372">
        <v>0</v>
      </c>
      <c r="AH883" s="372">
        <v>0</v>
      </c>
    </row>
    <row r="884" spans="1:34">
      <c r="A884" s="372" t="s">
        <v>6341</v>
      </c>
      <c r="B884" s="373" t="s">
        <v>6342</v>
      </c>
      <c r="C884" s="372" t="s">
        <v>6343</v>
      </c>
      <c r="D884" s="374">
        <v>1101112085523</v>
      </c>
      <c r="E884" s="372" t="s">
        <v>6344</v>
      </c>
      <c r="F884" s="375" t="s">
        <v>3210</v>
      </c>
      <c r="G884" s="375" t="s">
        <v>3210</v>
      </c>
      <c r="H884" s="375" t="s">
        <v>1693</v>
      </c>
      <c r="I884" s="375" t="s">
        <v>869</v>
      </c>
      <c r="J884" s="375">
        <v>153076.0828</v>
      </c>
      <c r="K884" s="375">
        <v>12571.136500000001</v>
      </c>
      <c r="L884" s="375">
        <v>14586.201639999999</v>
      </c>
      <c r="M884" s="375">
        <v>145143.37033000001</v>
      </c>
      <c r="N884" s="372">
        <v>1.0920000000000001</v>
      </c>
      <c r="O884" s="703">
        <v>2.1132797424808709</v>
      </c>
      <c r="P884" s="375" t="s">
        <v>623</v>
      </c>
      <c r="Q884" s="375" t="s">
        <v>623</v>
      </c>
      <c r="R884" s="695">
        <v>20190712</v>
      </c>
      <c r="S884" s="375" t="s">
        <v>6345</v>
      </c>
      <c r="T884" s="696">
        <v>0.20900000000000002</v>
      </c>
      <c r="U884" s="372" t="s">
        <v>16032</v>
      </c>
      <c r="V884" s="722">
        <v>14.81</v>
      </c>
      <c r="W884" s="722">
        <v>1.53</v>
      </c>
      <c r="X884" s="722">
        <v>1.65</v>
      </c>
      <c r="Y884" s="722">
        <v>22.36</v>
      </c>
      <c r="Z884" s="382">
        <v>8.8636220790278886E-2</v>
      </c>
      <c r="AA884" s="372">
        <v>781.10259570000005</v>
      </c>
      <c r="AB884" s="372">
        <v>1103.7421105999999</v>
      </c>
      <c r="AC884" s="372">
        <v>1292.5055141</v>
      </c>
      <c r="AD884" s="372">
        <v>1530.7608279999999</v>
      </c>
      <c r="AE884" s="372">
        <v>1703.5</v>
      </c>
      <c r="AF884" s="372">
        <v>1940</v>
      </c>
      <c r="AG884" s="372">
        <v>2150</v>
      </c>
      <c r="AH884" s="372">
        <v>0</v>
      </c>
    </row>
    <row r="885" spans="1:34">
      <c r="A885" s="372" t="s">
        <v>6346</v>
      </c>
      <c r="B885" s="373" t="s">
        <v>6347</v>
      </c>
      <c r="C885" s="372" t="s">
        <v>6348</v>
      </c>
      <c r="D885" s="374">
        <v>1101113318387</v>
      </c>
      <c r="E885" s="372" t="s">
        <v>6349</v>
      </c>
      <c r="F885" s="375" t="s">
        <v>822</v>
      </c>
      <c r="G885" s="375" t="s">
        <v>822</v>
      </c>
      <c r="H885" s="375" t="s">
        <v>1693</v>
      </c>
      <c r="I885" s="375" t="s">
        <v>869</v>
      </c>
      <c r="J885" s="375">
        <v>131543.84348000001</v>
      </c>
      <c r="K885" s="375">
        <v>25264.49296</v>
      </c>
      <c r="L885" s="375">
        <v>23130.552970000001</v>
      </c>
      <c r="M885" s="375">
        <v>175056.06195999999</v>
      </c>
      <c r="N885" s="372">
        <v>0.68600000000000005</v>
      </c>
      <c r="O885" s="703">
        <v>1.9324148127596776</v>
      </c>
      <c r="P885" s="375" t="s">
        <v>623</v>
      </c>
      <c r="Q885" s="375" t="s">
        <v>623</v>
      </c>
      <c r="R885" s="695">
        <v>20120221</v>
      </c>
      <c r="S885" s="375" t="s">
        <v>6350</v>
      </c>
      <c r="T885" s="696">
        <v>0.23100000000000001</v>
      </c>
      <c r="U885" s="375" t="s">
        <v>16033</v>
      </c>
      <c r="V885" s="722">
        <v>6.95</v>
      </c>
      <c r="W885" s="722">
        <v>1.1000000000000001</v>
      </c>
      <c r="X885" s="722">
        <v>1.55</v>
      </c>
      <c r="Y885" s="722">
        <v>10.8</v>
      </c>
      <c r="Z885" s="382" t="s">
        <v>934</v>
      </c>
      <c r="AA885" s="372">
        <v>962.94900949999999</v>
      </c>
      <c r="AB885" s="372">
        <v>1290.1287835000001</v>
      </c>
      <c r="AC885" s="372">
        <v>1489.3486425000001</v>
      </c>
      <c r="AD885" s="372">
        <v>1315.4384348000001</v>
      </c>
      <c r="AE885" s="372">
        <v>1583</v>
      </c>
      <c r="AF885" s="372">
        <v>0</v>
      </c>
      <c r="AG885" s="372">
        <v>0</v>
      </c>
      <c r="AH885" s="372">
        <v>0</v>
      </c>
    </row>
    <row r="886" spans="1:34">
      <c r="A886" s="372" t="s">
        <v>6351</v>
      </c>
      <c r="B886" s="373" t="s">
        <v>6352</v>
      </c>
      <c r="C886" s="372" t="s">
        <v>6353</v>
      </c>
      <c r="D886" s="374">
        <v>1701110021006</v>
      </c>
      <c r="E886" s="372" t="s">
        <v>6354</v>
      </c>
      <c r="F886" s="375" t="s">
        <v>3020</v>
      </c>
      <c r="G886" s="375" t="s">
        <v>3020</v>
      </c>
      <c r="H886" s="375" t="s">
        <v>868</v>
      </c>
      <c r="I886" s="375" t="s">
        <v>869</v>
      </c>
      <c r="J886" s="375">
        <v>1134618.1526500001</v>
      </c>
      <c r="K886" s="375">
        <v>48293.293919999996</v>
      </c>
      <c r="L886" s="375">
        <v>69322.941470000005</v>
      </c>
      <c r="M886" s="375">
        <v>720990.06091999996</v>
      </c>
      <c r="N886" s="372">
        <v>1.091</v>
      </c>
      <c r="O886" s="703">
        <v>18.357292774000062</v>
      </c>
      <c r="P886" s="375" t="s">
        <v>623</v>
      </c>
      <c r="Q886" s="375" t="s">
        <v>623</v>
      </c>
      <c r="R886" s="695">
        <v>20011211</v>
      </c>
      <c r="S886" s="372" t="s">
        <v>6355</v>
      </c>
      <c r="T886" s="696">
        <v>0.23100000000000001</v>
      </c>
      <c r="U886" s="375" t="s">
        <v>6356</v>
      </c>
      <c r="V886" s="722">
        <v>2.42</v>
      </c>
      <c r="W886" s="722">
        <v>0.28999999999999998</v>
      </c>
      <c r="X886" s="722">
        <v>0.18</v>
      </c>
      <c r="Y886" s="722">
        <v>3.4</v>
      </c>
      <c r="Z886" s="382">
        <v>5.2987793316634058E-2</v>
      </c>
      <c r="AA886" s="372">
        <v>9490.5978209000004</v>
      </c>
      <c r="AB886" s="372">
        <v>9276.1373903000003</v>
      </c>
      <c r="AC886" s="372">
        <v>10244.3546713</v>
      </c>
      <c r="AD886" s="372">
        <v>11346.1815265</v>
      </c>
      <c r="AE886" s="372">
        <v>11928</v>
      </c>
      <c r="AF886" s="372">
        <v>13121</v>
      </c>
      <c r="AG886" s="372">
        <v>13949</v>
      </c>
      <c r="AH886" s="372">
        <v>0</v>
      </c>
    </row>
    <row r="887" spans="1:34">
      <c r="A887" s="372" t="s">
        <v>6357</v>
      </c>
      <c r="B887" s="373" t="s">
        <v>6358</v>
      </c>
      <c r="C887" s="372" t="s">
        <v>6359</v>
      </c>
      <c r="D887" s="374">
        <v>1311110033389</v>
      </c>
      <c r="E887" s="372" t="s">
        <v>6360</v>
      </c>
      <c r="F887" s="375" t="s">
        <v>3487</v>
      </c>
      <c r="G887" s="375" t="s">
        <v>3487</v>
      </c>
      <c r="H887" s="375" t="s">
        <v>3127</v>
      </c>
      <c r="I887" s="375" t="s">
        <v>869</v>
      </c>
      <c r="J887" s="375">
        <v>2022.5724299999999</v>
      </c>
      <c r="K887" s="375">
        <v>-10056.024950000001</v>
      </c>
      <c r="L887" s="375">
        <v>-17763.055690000001</v>
      </c>
      <c r="M887" s="375">
        <v>939.04233999999997</v>
      </c>
      <c r="N887" s="372" t="s">
        <v>1033</v>
      </c>
      <c r="O887" s="703">
        <v>0.21065686078392851</v>
      </c>
      <c r="P887" s="375" t="s">
        <v>16142</v>
      </c>
      <c r="Q887" s="372" t="s">
        <v>16145</v>
      </c>
      <c r="R887" s="695">
        <v>20031224</v>
      </c>
      <c r="S887" s="372" t="s">
        <v>3702</v>
      </c>
      <c r="T887" s="696" t="s">
        <v>772</v>
      </c>
      <c r="U887" s="372" t="s">
        <v>6361</v>
      </c>
      <c r="V887" s="722" t="s">
        <v>774</v>
      </c>
      <c r="W887" s="722">
        <v>42.6</v>
      </c>
      <c r="X887" s="722">
        <v>102.21</v>
      </c>
      <c r="Y887" s="722" t="s">
        <v>774</v>
      </c>
      <c r="Z887" s="382" t="s">
        <v>934</v>
      </c>
      <c r="AA887" s="372">
        <v>131.10394239999999</v>
      </c>
      <c r="AB887" s="372">
        <v>374.82738599999999</v>
      </c>
      <c r="AC887" s="372">
        <v>116.25004939999999</v>
      </c>
      <c r="AD887" s="372">
        <v>20.2257243</v>
      </c>
      <c r="AE887" s="372">
        <v>0</v>
      </c>
      <c r="AF887" s="372">
        <v>0</v>
      </c>
      <c r="AG887" s="372">
        <v>0</v>
      </c>
      <c r="AH887" s="372">
        <v>0</v>
      </c>
    </row>
    <row r="888" spans="1:34">
      <c r="A888" s="372" t="s">
        <v>6362</v>
      </c>
      <c r="B888" s="373" t="s">
        <v>6363</v>
      </c>
      <c r="C888" s="372" t="s">
        <v>6364</v>
      </c>
      <c r="D888" s="374">
        <v>1101114379213</v>
      </c>
      <c r="E888" s="372" t="s">
        <v>6365</v>
      </c>
      <c r="F888" s="375" t="s">
        <v>1062</v>
      </c>
      <c r="G888" s="375" t="s">
        <v>1062</v>
      </c>
      <c r="H888" s="375" t="s">
        <v>868</v>
      </c>
      <c r="I888" s="375" t="s">
        <v>869</v>
      </c>
      <c r="J888" s="375">
        <v>3082.80431</v>
      </c>
      <c r="K888" s="375">
        <v>-11506.273139999999</v>
      </c>
      <c r="L888" s="375">
        <v>-12754.68944</v>
      </c>
      <c r="M888" s="375">
        <v>27232.48259</v>
      </c>
      <c r="N888" s="372">
        <v>1.2170000000000001</v>
      </c>
      <c r="O888" s="703">
        <v>4.6472060082519553</v>
      </c>
      <c r="P888" s="375" t="s">
        <v>623</v>
      </c>
      <c r="Q888" s="375" t="s">
        <v>623</v>
      </c>
      <c r="R888" s="695">
        <v>20170918</v>
      </c>
      <c r="S888" s="375" t="s">
        <v>6366</v>
      </c>
      <c r="T888" s="696" t="s">
        <v>772</v>
      </c>
      <c r="U888" s="372" t="s">
        <v>6367</v>
      </c>
      <c r="V888" s="722">
        <v>0</v>
      </c>
      <c r="W888" s="722">
        <v>9.15</v>
      </c>
      <c r="X888" s="722">
        <v>0</v>
      </c>
      <c r="Y888" s="722">
        <v>0</v>
      </c>
      <c r="Z888" s="382" t="s">
        <v>934</v>
      </c>
      <c r="AA888" s="372">
        <v>27.711791900000001</v>
      </c>
      <c r="AB888" s="372">
        <v>30.1805412</v>
      </c>
      <c r="AC888" s="372">
        <v>34.064457300000001</v>
      </c>
      <c r="AD888" s="372">
        <v>30.828043099999999</v>
      </c>
      <c r="AE888" s="372">
        <v>0</v>
      </c>
      <c r="AF888" s="372">
        <v>0</v>
      </c>
      <c r="AG888" s="372">
        <v>0</v>
      </c>
      <c r="AH888" s="372">
        <v>0</v>
      </c>
    </row>
    <row r="889" spans="1:34">
      <c r="A889" s="372" t="s">
        <v>6368</v>
      </c>
      <c r="B889" s="373" t="s">
        <v>6369</v>
      </c>
      <c r="C889" s="372" t="s">
        <v>16159</v>
      </c>
      <c r="D889" s="374">
        <v>1101114391837</v>
      </c>
      <c r="E889" s="372" t="s">
        <v>16160</v>
      </c>
      <c r="F889" s="372" t="s">
        <v>1381</v>
      </c>
      <c r="G889" s="375" t="s">
        <v>1381</v>
      </c>
      <c r="H889" s="375" t="s">
        <v>868</v>
      </c>
      <c r="I889" s="375" t="s">
        <v>869</v>
      </c>
      <c r="J889" s="375">
        <v>21272.385999999999</v>
      </c>
      <c r="K889" s="375">
        <v>-3277.5902599999999</v>
      </c>
      <c r="L889" s="375">
        <v>-5074.0832899999996</v>
      </c>
      <c r="M889" s="375">
        <v>28505.48272</v>
      </c>
      <c r="N889" s="372">
        <v>1.3620000000000001</v>
      </c>
      <c r="O889" s="703">
        <v>9.9728444204006053</v>
      </c>
      <c r="P889" s="375" t="s">
        <v>623</v>
      </c>
      <c r="Q889" s="372" t="s">
        <v>623</v>
      </c>
      <c r="R889" s="695">
        <v>20210203</v>
      </c>
      <c r="S889" s="372" t="s">
        <v>6370</v>
      </c>
      <c r="T889" s="696" t="s">
        <v>772</v>
      </c>
      <c r="U889" s="372" t="s">
        <v>6371</v>
      </c>
      <c r="V889" s="722" t="s">
        <v>774</v>
      </c>
      <c r="W889" s="722">
        <v>9.43</v>
      </c>
      <c r="X889" s="722">
        <v>6.8</v>
      </c>
      <c r="Y889" s="722" t="s">
        <v>774</v>
      </c>
      <c r="Z889" s="382">
        <v>0.23069632648255567</v>
      </c>
      <c r="AA889" s="372">
        <v>290.1270897</v>
      </c>
      <c r="AB889" s="372">
        <v>354.2094894</v>
      </c>
      <c r="AC889" s="372">
        <v>301.10649999999998</v>
      </c>
      <c r="AD889" s="372">
        <v>212.72386</v>
      </c>
      <c r="AE889" s="372">
        <v>406</v>
      </c>
      <c r="AF889" s="372">
        <v>447</v>
      </c>
      <c r="AG889" s="372">
        <v>488</v>
      </c>
      <c r="AH889" s="372">
        <v>529</v>
      </c>
    </row>
    <row r="890" spans="1:34">
      <c r="A890" s="372" t="s">
        <v>6372</v>
      </c>
      <c r="B890" s="373" t="s">
        <v>6373</v>
      </c>
      <c r="C890" s="372" t="s">
        <v>6374</v>
      </c>
      <c r="D890" s="374">
        <v>1301110064351</v>
      </c>
      <c r="E890" s="372" t="s">
        <v>6375</v>
      </c>
      <c r="F890" s="375" t="s">
        <v>1592</v>
      </c>
      <c r="G890" s="375" t="s">
        <v>6376</v>
      </c>
      <c r="H890" s="375" t="s">
        <v>868</v>
      </c>
      <c r="I890" s="375" t="s">
        <v>869</v>
      </c>
      <c r="J890" s="375">
        <v>553670.14879999997</v>
      </c>
      <c r="K890" s="375">
        <v>13557.446900000001</v>
      </c>
      <c r="L890" s="375">
        <v>-3695.6667299999999</v>
      </c>
      <c r="M890" s="375">
        <v>195741.98191</v>
      </c>
      <c r="N890" s="372">
        <v>0.84799999999999998</v>
      </c>
      <c r="O890" s="703">
        <v>62.358817220042852</v>
      </c>
      <c r="P890" s="375" t="s">
        <v>623</v>
      </c>
      <c r="Q890" s="375" t="s">
        <v>623</v>
      </c>
      <c r="R890" s="695">
        <v>20151229</v>
      </c>
      <c r="S890" s="375" t="s">
        <v>6377</v>
      </c>
      <c r="T890" s="696" t="s">
        <v>772</v>
      </c>
      <c r="U890" s="372" t="s">
        <v>6378</v>
      </c>
      <c r="V890" s="722">
        <v>13.04</v>
      </c>
      <c r="W890" s="722">
        <v>1.29</v>
      </c>
      <c r="X890" s="722">
        <v>0.42</v>
      </c>
      <c r="Y890" s="722" t="s">
        <v>774</v>
      </c>
      <c r="Z890" s="382" t="s">
        <v>934</v>
      </c>
      <c r="AA890" s="372">
        <v>3100.7256839000001</v>
      </c>
      <c r="AB890" s="372">
        <v>4240.9780025</v>
      </c>
      <c r="AC890" s="372">
        <v>5372.0245902999995</v>
      </c>
      <c r="AD890" s="372">
        <v>5536.7014879999997</v>
      </c>
      <c r="AE890" s="372">
        <v>0</v>
      </c>
      <c r="AF890" s="372">
        <v>0</v>
      </c>
      <c r="AG890" s="372">
        <v>0</v>
      </c>
      <c r="AH890" s="372">
        <v>0</v>
      </c>
    </row>
    <row r="891" spans="1:34">
      <c r="A891" s="372" t="s">
        <v>6379</v>
      </c>
      <c r="B891" s="373" t="s">
        <v>6380</v>
      </c>
      <c r="C891" s="372" t="s">
        <v>6381</v>
      </c>
      <c r="D891" s="374">
        <v>1101110290778</v>
      </c>
      <c r="E891" s="372" t="s">
        <v>6382</v>
      </c>
      <c r="F891" s="375" t="s">
        <v>2649</v>
      </c>
      <c r="G891" s="375" t="s">
        <v>2650</v>
      </c>
      <c r="H891" s="375" t="s">
        <v>823</v>
      </c>
      <c r="I891" s="375" t="s">
        <v>755</v>
      </c>
      <c r="J891" s="375">
        <v>1430505.844</v>
      </c>
      <c r="K891" s="375">
        <v>56717.273000000001</v>
      </c>
      <c r="L891" s="375">
        <v>52887.396999999997</v>
      </c>
      <c r="M891" s="375">
        <v>503009.25300000003</v>
      </c>
      <c r="N891" s="372">
        <v>0.45800000000000002</v>
      </c>
      <c r="O891" s="703">
        <v>151.58782130020981</v>
      </c>
      <c r="P891" s="375" t="s">
        <v>623</v>
      </c>
      <c r="Q891" s="375" t="s">
        <v>623</v>
      </c>
      <c r="R891" s="695">
        <v>19961224</v>
      </c>
      <c r="S891" s="375" t="s">
        <v>2662</v>
      </c>
      <c r="T891" s="696">
        <v>0.23100000000000001</v>
      </c>
      <c r="U891" s="372" t="s">
        <v>6383</v>
      </c>
      <c r="V891" s="722">
        <v>3.51</v>
      </c>
      <c r="W891" s="722">
        <v>0.38</v>
      </c>
      <c r="X891" s="722">
        <v>0.14000000000000001</v>
      </c>
      <c r="Y891" s="722">
        <v>8.3800000000000008</v>
      </c>
      <c r="Z891" s="382" t="s">
        <v>934</v>
      </c>
      <c r="AA891" s="372">
        <v>11014.250770000001</v>
      </c>
      <c r="AB891" s="372">
        <v>12900.055619999999</v>
      </c>
      <c r="AC891" s="372">
        <v>14701.670109999999</v>
      </c>
      <c r="AD891" s="372">
        <v>14305.058440000001</v>
      </c>
      <c r="AE891" s="372">
        <v>0</v>
      </c>
      <c r="AF891" s="372">
        <v>0</v>
      </c>
      <c r="AG891" s="372">
        <v>0</v>
      </c>
      <c r="AH891" s="372">
        <v>0</v>
      </c>
    </row>
    <row r="892" spans="1:34">
      <c r="A892" s="372" t="s">
        <v>6384</v>
      </c>
      <c r="B892" s="373" t="s">
        <v>6385</v>
      </c>
      <c r="C892" s="372" t="s">
        <v>6386</v>
      </c>
      <c r="D892" s="374">
        <v>1101110939326</v>
      </c>
      <c r="E892" s="372" t="s">
        <v>6387</v>
      </c>
      <c r="F892" s="375" t="s">
        <v>5328</v>
      </c>
      <c r="G892" s="375" t="s">
        <v>5328</v>
      </c>
      <c r="H892" s="375" t="s">
        <v>868</v>
      </c>
      <c r="I892" s="375" t="s">
        <v>869</v>
      </c>
      <c r="J892" s="375">
        <v>82568.061619999993</v>
      </c>
      <c r="K892" s="375">
        <v>1288.3969500000001</v>
      </c>
      <c r="L892" s="375">
        <v>2825.41264</v>
      </c>
      <c r="M892" s="375">
        <v>56305.235670000002</v>
      </c>
      <c r="N892" s="372" t="s">
        <v>1033</v>
      </c>
      <c r="O892" s="703">
        <v>5.9936359007206192</v>
      </c>
      <c r="P892" s="375" t="s">
        <v>16142</v>
      </c>
      <c r="Q892" s="372" t="s">
        <v>16145</v>
      </c>
      <c r="R892" s="695">
        <v>19971103</v>
      </c>
      <c r="S892" s="372" t="s">
        <v>6388</v>
      </c>
      <c r="T892" s="696">
        <v>0.20900000000000002</v>
      </c>
      <c r="U892" s="372" t="s">
        <v>6389</v>
      </c>
      <c r="V892" s="722">
        <v>87.89</v>
      </c>
      <c r="W892" s="722">
        <v>3.63</v>
      </c>
      <c r="X892" s="722">
        <v>2.48</v>
      </c>
      <c r="Y892" s="722">
        <v>73.59</v>
      </c>
      <c r="Z892" s="382" t="s">
        <v>934</v>
      </c>
      <c r="AA892" s="372">
        <v>1120.2902876000001</v>
      </c>
      <c r="AB892" s="372">
        <v>943.82871909999994</v>
      </c>
      <c r="AC892" s="372">
        <v>804.70105660000002</v>
      </c>
      <c r="AD892" s="372">
        <v>825.68061620000003</v>
      </c>
      <c r="AE892" s="372">
        <v>0</v>
      </c>
      <c r="AF892" s="372">
        <v>0</v>
      </c>
      <c r="AG892" s="372">
        <v>0</v>
      </c>
      <c r="AH892" s="372">
        <v>0</v>
      </c>
    </row>
    <row r="893" spans="1:34">
      <c r="A893" s="372" t="s">
        <v>6390</v>
      </c>
      <c r="B893" s="373" t="s">
        <v>6391</v>
      </c>
      <c r="C893" s="372" t="s">
        <v>6392</v>
      </c>
      <c r="D893" s="374">
        <v>1101115535038</v>
      </c>
      <c r="E893" s="372" t="s">
        <v>6393</v>
      </c>
      <c r="F893" s="375" t="s">
        <v>3210</v>
      </c>
      <c r="G893" s="375" t="s">
        <v>3211</v>
      </c>
      <c r="H893" s="375" t="s">
        <v>1693</v>
      </c>
      <c r="I893" s="375" t="s">
        <v>869</v>
      </c>
      <c r="J893" s="375">
        <v>74126.065820000003</v>
      </c>
      <c r="K893" s="375">
        <v>694.65994000000001</v>
      </c>
      <c r="L893" s="375">
        <v>-9896.9822899999999</v>
      </c>
      <c r="M893" s="375">
        <v>55616.161379999998</v>
      </c>
      <c r="N893" s="372">
        <v>0.96</v>
      </c>
      <c r="O893" s="703">
        <v>12.538535502178089</v>
      </c>
      <c r="P893" s="375" t="s">
        <v>623</v>
      </c>
      <c r="Q893" s="372" t="s">
        <v>623</v>
      </c>
      <c r="R893" s="695">
        <v>20141212</v>
      </c>
      <c r="S893" s="372" t="s">
        <v>6394</v>
      </c>
      <c r="T893" s="696" t="s">
        <v>772</v>
      </c>
      <c r="U893" s="372" t="s">
        <v>6395</v>
      </c>
      <c r="V893" s="722">
        <v>26.23</v>
      </c>
      <c r="W893" s="722">
        <v>2.4700000000000002</v>
      </c>
      <c r="X893" s="722">
        <v>1.88</v>
      </c>
      <c r="Y893" s="722" t="s">
        <v>774</v>
      </c>
      <c r="Z893" s="382" t="s">
        <v>934</v>
      </c>
      <c r="AA893" s="372">
        <v>806.87721439999996</v>
      </c>
      <c r="AB893" s="372">
        <v>614.54693989999998</v>
      </c>
      <c r="AC893" s="372">
        <v>771.5740131</v>
      </c>
      <c r="AD893" s="372">
        <v>741.26065819999997</v>
      </c>
      <c r="AE893" s="372">
        <v>976</v>
      </c>
      <c r="AF893" s="372">
        <v>0</v>
      </c>
      <c r="AG893" s="372">
        <v>0</v>
      </c>
      <c r="AH893" s="372">
        <v>0</v>
      </c>
    </row>
    <row r="894" spans="1:34">
      <c r="A894" s="372" t="s">
        <v>6396</v>
      </c>
      <c r="B894" s="373" t="s">
        <v>6397</v>
      </c>
      <c r="C894" s="372" t="s">
        <v>6398</v>
      </c>
      <c r="D894" s="374">
        <v>1311110030335</v>
      </c>
      <c r="E894" s="372" t="s">
        <v>6399</v>
      </c>
      <c r="F894" s="375" t="s">
        <v>1195</v>
      </c>
      <c r="G894" s="375" t="s">
        <v>3144</v>
      </c>
      <c r="H894" s="375" t="s">
        <v>868</v>
      </c>
      <c r="I894" s="375" t="s">
        <v>869</v>
      </c>
      <c r="J894" s="375">
        <v>111647.44474000001</v>
      </c>
      <c r="K894" s="375">
        <v>-22063.146789999999</v>
      </c>
      <c r="L894" s="375">
        <v>97048.510389999996</v>
      </c>
      <c r="M894" s="375">
        <v>311282.17087999999</v>
      </c>
      <c r="N894" s="372">
        <v>0.98599999999999999</v>
      </c>
      <c r="O894" s="703">
        <v>7.7048749202988969</v>
      </c>
      <c r="P894" s="375" t="s">
        <v>623</v>
      </c>
      <c r="Q894" s="375" t="s">
        <v>623</v>
      </c>
      <c r="R894" s="695">
        <v>20041206</v>
      </c>
      <c r="S894" s="375" t="s">
        <v>6400</v>
      </c>
      <c r="T894" s="696">
        <v>0.23100000000000001</v>
      </c>
      <c r="U894" s="375" t="s">
        <v>6401</v>
      </c>
      <c r="V894" s="722" t="s">
        <v>774</v>
      </c>
      <c r="W894" s="722">
        <v>0.7</v>
      </c>
      <c r="X894" s="722">
        <v>1.99</v>
      </c>
      <c r="Y894" s="722">
        <v>2.81</v>
      </c>
      <c r="Z894" s="382" t="s">
        <v>934</v>
      </c>
      <c r="AA894" s="372">
        <v>2742.4808779</v>
      </c>
      <c r="AB894" s="372">
        <v>1588.9116323999999</v>
      </c>
      <c r="AC894" s="372">
        <v>1480.5451425000001</v>
      </c>
      <c r="AD894" s="372">
        <v>1116.4744473999999</v>
      </c>
      <c r="AE894" s="372">
        <v>1966</v>
      </c>
      <c r="AF894" s="372">
        <v>2348</v>
      </c>
      <c r="AG894" s="372">
        <v>0</v>
      </c>
      <c r="AH894" s="372">
        <v>0</v>
      </c>
    </row>
    <row r="895" spans="1:34">
      <c r="A895" s="372" t="s">
        <v>6402</v>
      </c>
      <c r="B895" s="373" t="s">
        <v>6403</v>
      </c>
      <c r="C895" s="372" t="s">
        <v>6404</v>
      </c>
      <c r="D895" s="374">
        <v>1501110120399</v>
      </c>
      <c r="E895" s="372" t="s">
        <v>6405</v>
      </c>
      <c r="F895" s="375" t="s">
        <v>3941</v>
      </c>
      <c r="G895" s="375" t="s">
        <v>6406</v>
      </c>
      <c r="H895" s="375" t="s">
        <v>868</v>
      </c>
      <c r="I895" s="375" t="s">
        <v>869</v>
      </c>
      <c r="J895" s="375">
        <v>302167.30401999998</v>
      </c>
      <c r="K895" s="375">
        <v>25499.956010000002</v>
      </c>
      <c r="L895" s="375">
        <v>26142.43562</v>
      </c>
      <c r="M895" s="375">
        <v>200418.09491000001</v>
      </c>
      <c r="N895" s="372">
        <v>0.624</v>
      </c>
      <c r="O895" s="703">
        <v>12.86218318900362</v>
      </c>
      <c r="P895" s="375" t="s">
        <v>623</v>
      </c>
      <c r="Q895" s="375" t="s">
        <v>623</v>
      </c>
      <c r="R895" s="695">
        <v>20181114</v>
      </c>
      <c r="S895" s="375" t="s">
        <v>6407</v>
      </c>
      <c r="T895" s="696">
        <v>0.23100000000000001</v>
      </c>
      <c r="U895" s="375" t="s">
        <v>6408</v>
      </c>
      <c r="V895" s="722">
        <v>6.71</v>
      </c>
      <c r="W895" s="722">
        <v>1.1399999999999999</v>
      </c>
      <c r="X895" s="722">
        <v>0.75</v>
      </c>
      <c r="Y895" s="722">
        <v>10.33</v>
      </c>
      <c r="Z895" s="382" t="s">
        <v>934</v>
      </c>
      <c r="AA895" s="372">
        <v>2228.3174963000001</v>
      </c>
      <c r="AB895" s="372">
        <v>2787.8961144</v>
      </c>
      <c r="AC895" s="372">
        <v>2816.7520132999998</v>
      </c>
      <c r="AD895" s="372">
        <v>3021.6730401999998</v>
      </c>
      <c r="AE895" s="372">
        <v>3404.5</v>
      </c>
      <c r="AF895" s="372">
        <v>3730</v>
      </c>
      <c r="AG895" s="372">
        <v>0</v>
      </c>
      <c r="AH895" s="372">
        <v>0</v>
      </c>
    </row>
    <row r="896" spans="1:34">
      <c r="A896" s="372" t="s">
        <v>6409</v>
      </c>
      <c r="B896" s="373" t="s">
        <v>6410</v>
      </c>
      <c r="C896" s="372" t="s">
        <v>6411</v>
      </c>
      <c r="D896" s="374">
        <v>1201110397241</v>
      </c>
      <c r="E896" s="372" t="s">
        <v>6412</v>
      </c>
      <c r="F896" s="372" t="s">
        <v>2858</v>
      </c>
      <c r="G896" s="375" t="s">
        <v>2858</v>
      </c>
      <c r="H896" s="375" t="s">
        <v>1388</v>
      </c>
      <c r="I896" s="375" t="s">
        <v>869</v>
      </c>
      <c r="J896" s="375">
        <v>140047.44308999999</v>
      </c>
      <c r="K896" s="375">
        <v>-62290.644670000001</v>
      </c>
      <c r="L896" s="375">
        <v>-79744.427530000001</v>
      </c>
      <c r="M896" s="375">
        <v>21579.981329999999</v>
      </c>
      <c r="N896" s="372">
        <v>1.01</v>
      </c>
      <c r="O896" s="703">
        <v>102.69908431017349</v>
      </c>
      <c r="P896" s="375" t="s">
        <v>623</v>
      </c>
      <c r="Q896" s="375" t="s">
        <v>623</v>
      </c>
      <c r="R896" s="695">
        <v>20060327</v>
      </c>
      <c r="S896" s="375" t="s">
        <v>6413</v>
      </c>
      <c r="T896" s="696" t="s">
        <v>772</v>
      </c>
      <c r="U896" s="372" t="s">
        <v>6414</v>
      </c>
      <c r="V896" s="722" t="s">
        <v>774</v>
      </c>
      <c r="W896" s="722">
        <v>6.16</v>
      </c>
      <c r="X896" s="722">
        <v>0.97</v>
      </c>
      <c r="Y896" s="722" t="s">
        <v>774</v>
      </c>
      <c r="Z896" s="382" t="s">
        <v>934</v>
      </c>
      <c r="AA896" s="372">
        <v>2107.5509757999998</v>
      </c>
      <c r="AB896" s="372">
        <v>2327.7881821000001</v>
      </c>
      <c r="AC896" s="372">
        <v>2404.0546608999998</v>
      </c>
      <c r="AD896" s="372">
        <v>1400.4744309</v>
      </c>
      <c r="AE896" s="372">
        <v>4587</v>
      </c>
      <c r="AF896" s="372">
        <v>0</v>
      </c>
      <c r="AG896" s="372">
        <v>0</v>
      </c>
      <c r="AH896" s="372">
        <v>0</v>
      </c>
    </row>
    <row r="897" spans="1:34">
      <c r="A897" s="372" t="s">
        <v>6415</v>
      </c>
      <c r="B897" s="373" t="s">
        <v>6416</v>
      </c>
      <c r="C897" s="372" t="s">
        <v>6417</v>
      </c>
      <c r="D897" s="374">
        <v>1545110029242</v>
      </c>
      <c r="E897" s="372" t="s">
        <v>6418</v>
      </c>
      <c r="F897" s="372" t="s">
        <v>1368</v>
      </c>
      <c r="G897" s="375" t="s">
        <v>1368</v>
      </c>
      <c r="H897" s="375" t="s">
        <v>832</v>
      </c>
      <c r="I897" s="375" t="s">
        <v>755</v>
      </c>
      <c r="J897" s="375">
        <v>154457.87049</v>
      </c>
      <c r="K897" s="375">
        <v>-4369.7313199999999</v>
      </c>
      <c r="L897" s="375">
        <v>9630.0123800000001</v>
      </c>
      <c r="M897" s="375">
        <v>531849.50763999997</v>
      </c>
      <c r="N897" s="372">
        <v>1.39</v>
      </c>
      <c r="O897" s="703">
        <v>8.376635241024676</v>
      </c>
      <c r="P897" s="375" t="s">
        <v>623</v>
      </c>
      <c r="Q897" s="372" t="s">
        <v>623</v>
      </c>
      <c r="R897" s="695">
        <v>20041222</v>
      </c>
      <c r="S897" s="372" t="s">
        <v>6419</v>
      </c>
      <c r="T897" s="696">
        <v>0.20900000000000002</v>
      </c>
      <c r="U897" s="372" t="s">
        <v>6420</v>
      </c>
      <c r="V897" s="722">
        <v>57.49</v>
      </c>
      <c r="W897" s="722">
        <v>0.51</v>
      </c>
      <c r="X897" s="722">
        <v>1.35</v>
      </c>
      <c r="Y897" s="722">
        <v>20.79</v>
      </c>
      <c r="Z897" s="382" t="s">
        <v>934</v>
      </c>
      <c r="AA897" s="372">
        <v>1686.5678598</v>
      </c>
      <c r="AB897" s="372">
        <v>1876.6397595999999</v>
      </c>
      <c r="AC897" s="372">
        <v>1868.3681403000001</v>
      </c>
      <c r="AD897" s="372">
        <v>1544.5787049</v>
      </c>
      <c r="AE897" s="372">
        <v>4855</v>
      </c>
      <c r="AF897" s="372">
        <v>0</v>
      </c>
      <c r="AG897" s="372">
        <v>0</v>
      </c>
      <c r="AH897" s="372">
        <v>0</v>
      </c>
    </row>
    <row r="898" spans="1:34">
      <c r="A898" s="372" t="s">
        <v>6421</v>
      </c>
      <c r="B898" s="373" t="s">
        <v>6422</v>
      </c>
      <c r="C898" s="372" t="s">
        <v>6423</v>
      </c>
      <c r="D898" s="374">
        <v>1101112559411</v>
      </c>
      <c r="E898" s="372" t="s">
        <v>6424</v>
      </c>
      <c r="F898" s="375" t="s">
        <v>6425</v>
      </c>
      <c r="G898" s="375" t="s">
        <v>6425</v>
      </c>
      <c r="H898" s="375" t="s">
        <v>823</v>
      </c>
      <c r="I898" s="375" t="s">
        <v>755</v>
      </c>
      <c r="J898" s="375">
        <v>41805.582640000001</v>
      </c>
      <c r="K898" s="375">
        <v>-1311.94488</v>
      </c>
      <c r="L898" s="375">
        <v>10408.29286</v>
      </c>
      <c r="M898" s="375">
        <v>166128.26282999999</v>
      </c>
      <c r="N898" s="372">
        <v>0.96099999999999997</v>
      </c>
      <c r="O898" s="703">
        <v>9.4296906825568794E-2</v>
      </c>
      <c r="P898" s="375" t="s">
        <v>623</v>
      </c>
      <c r="Q898" s="375" t="s">
        <v>623</v>
      </c>
      <c r="R898" s="695">
        <v>20020805</v>
      </c>
      <c r="S898" s="375" t="s">
        <v>6426</v>
      </c>
      <c r="T898" s="696">
        <v>0.20900000000000002</v>
      </c>
      <c r="U898" s="372" t="s">
        <v>6427</v>
      </c>
      <c r="V898" s="722">
        <v>0</v>
      </c>
      <c r="W898" s="722">
        <v>1.2</v>
      </c>
      <c r="X898" s="722">
        <v>0</v>
      </c>
      <c r="Y898" s="722">
        <v>0</v>
      </c>
      <c r="Z898" s="382" t="s">
        <v>934</v>
      </c>
      <c r="AA898" s="372">
        <v>1671.0617597999999</v>
      </c>
      <c r="AB898" s="372">
        <v>1874.7954015</v>
      </c>
      <c r="AC898" s="372">
        <v>449.23919260000002</v>
      </c>
      <c r="AD898" s="372">
        <v>418.0558264</v>
      </c>
      <c r="AE898" s="372">
        <v>0</v>
      </c>
      <c r="AF898" s="372">
        <v>0</v>
      </c>
      <c r="AG898" s="372">
        <v>0</v>
      </c>
      <c r="AH898" s="372">
        <v>0</v>
      </c>
    </row>
    <row r="899" spans="1:34">
      <c r="A899" s="372" t="s">
        <v>6428</v>
      </c>
      <c r="B899" s="373" t="s">
        <v>6429</v>
      </c>
      <c r="C899" s="372" t="s">
        <v>6430</v>
      </c>
      <c r="D899" s="374">
        <v>1101114045848</v>
      </c>
      <c r="E899" s="372" t="s">
        <v>6431</v>
      </c>
      <c r="F899" s="375" t="s">
        <v>5569</v>
      </c>
      <c r="G899" s="375" t="s">
        <v>5569</v>
      </c>
      <c r="H899" s="375" t="s">
        <v>1388</v>
      </c>
      <c r="I899" s="375" t="s">
        <v>869</v>
      </c>
      <c r="J899" s="375">
        <v>447398.85943999997</v>
      </c>
      <c r="K899" s="375">
        <v>35316.02736</v>
      </c>
      <c r="L899" s="375">
        <v>52300.801979999997</v>
      </c>
      <c r="M899" s="375">
        <v>469592.71163999999</v>
      </c>
      <c r="N899" s="372">
        <v>0.76</v>
      </c>
      <c r="O899" s="703">
        <v>2.2487158486164684</v>
      </c>
      <c r="P899" s="375" t="s">
        <v>623</v>
      </c>
      <c r="Q899" s="372" t="s">
        <v>623</v>
      </c>
      <c r="R899" s="695">
        <v>20141105</v>
      </c>
      <c r="S899" s="372" t="s">
        <v>6432</v>
      </c>
      <c r="T899" s="696">
        <v>0.23100000000000001</v>
      </c>
      <c r="U899" s="372" t="s">
        <v>6433</v>
      </c>
      <c r="V899" s="722">
        <v>4.71</v>
      </c>
      <c r="W899" s="722">
        <v>0.43</v>
      </c>
      <c r="X899" s="722">
        <v>0.46</v>
      </c>
      <c r="Y899" s="722">
        <v>4.8099999999999996</v>
      </c>
      <c r="Z899" s="382" t="s">
        <v>934</v>
      </c>
      <c r="AA899" s="372">
        <v>4033.1902624999998</v>
      </c>
      <c r="AB899" s="372">
        <v>3857.5121066000002</v>
      </c>
      <c r="AC899" s="372">
        <v>4458.9642629999998</v>
      </c>
      <c r="AD899" s="372">
        <v>4473.9885943999998</v>
      </c>
      <c r="AE899" s="372">
        <v>5450</v>
      </c>
      <c r="AF899" s="372">
        <v>6050</v>
      </c>
      <c r="AG899" s="372">
        <v>0</v>
      </c>
      <c r="AH899" s="372">
        <v>0</v>
      </c>
    </row>
    <row r="900" spans="1:34">
      <c r="A900" s="372" t="s">
        <v>6434</v>
      </c>
      <c r="B900" s="373" t="s">
        <v>6435</v>
      </c>
      <c r="C900" s="372" t="s">
        <v>6436</v>
      </c>
      <c r="D900" s="374">
        <v>1101110191562</v>
      </c>
      <c r="E900" s="372" t="s">
        <v>6437</v>
      </c>
      <c r="F900" s="372" t="s">
        <v>1259</v>
      </c>
      <c r="G900" s="375" t="s">
        <v>1259</v>
      </c>
      <c r="H900" s="375" t="s">
        <v>788</v>
      </c>
      <c r="I900" s="375" t="s">
        <v>755</v>
      </c>
      <c r="J900" s="375">
        <v>40202.911099999998</v>
      </c>
      <c r="K900" s="375">
        <v>-48368.031080000001</v>
      </c>
      <c r="L900" s="375">
        <v>-77654.595109999995</v>
      </c>
      <c r="M900" s="375">
        <v>111489.20755000001</v>
      </c>
      <c r="N900" s="372">
        <v>0.75900000000000001</v>
      </c>
      <c r="O900" s="703">
        <v>8.7379174876380663</v>
      </c>
      <c r="P900" s="375" t="s">
        <v>623</v>
      </c>
      <c r="Q900" s="375" t="s">
        <v>623</v>
      </c>
      <c r="R900" s="695">
        <v>19871116</v>
      </c>
      <c r="S900" s="375" t="s">
        <v>6438</v>
      </c>
      <c r="T900" s="696" t="s">
        <v>772</v>
      </c>
      <c r="U900" s="375" t="s">
        <v>6439</v>
      </c>
      <c r="V900" s="722" t="s">
        <v>774</v>
      </c>
      <c r="W900" s="722">
        <v>1.95</v>
      </c>
      <c r="X900" s="722">
        <v>5.51</v>
      </c>
      <c r="Y900" s="722" t="s">
        <v>774</v>
      </c>
      <c r="Z900" s="382" t="s">
        <v>934</v>
      </c>
      <c r="AA900" s="372">
        <v>415.02728969999998</v>
      </c>
      <c r="AB900" s="372">
        <v>387.00355309999998</v>
      </c>
      <c r="AC900" s="372">
        <v>487.18300169999998</v>
      </c>
      <c r="AD900" s="372">
        <v>402.029111</v>
      </c>
      <c r="AE900" s="372">
        <v>0</v>
      </c>
      <c r="AF900" s="372">
        <v>0</v>
      </c>
      <c r="AG900" s="372">
        <v>0</v>
      </c>
      <c r="AH900" s="372">
        <v>0</v>
      </c>
    </row>
    <row r="901" spans="1:34">
      <c r="A901" s="372" t="s">
        <v>6440</v>
      </c>
      <c r="B901" s="373" t="s">
        <v>6441</v>
      </c>
      <c r="C901" s="372" t="s">
        <v>6442</v>
      </c>
      <c r="D901" s="374">
        <v>1101116250940</v>
      </c>
      <c r="E901" s="372" t="s">
        <v>6443</v>
      </c>
      <c r="F901" s="375" t="s">
        <v>1124</v>
      </c>
      <c r="G901" s="375" t="s">
        <v>1347</v>
      </c>
      <c r="H901" s="375" t="s">
        <v>1348</v>
      </c>
      <c r="I901" s="375" t="s">
        <v>869</v>
      </c>
      <c r="J901" s="375">
        <v>4898.7751900000003</v>
      </c>
      <c r="K901" s="375">
        <v>-27832.080129999998</v>
      </c>
      <c r="L901" s="375">
        <v>-19037.667369999999</v>
      </c>
      <c r="M901" s="375">
        <v>70374.188750000001</v>
      </c>
      <c r="N901" s="372">
        <v>0.79200000000000004</v>
      </c>
      <c r="O901" s="703">
        <v>20.869609210399371</v>
      </c>
      <c r="P901" s="375" t="s">
        <v>623</v>
      </c>
      <c r="Q901" s="375" t="s">
        <v>623</v>
      </c>
      <c r="R901" s="695">
        <v>20191122</v>
      </c>
      <c r="S901" s="375" t="s">
        <v>6444</v>
      </c>
      <c r="T901" s="696" t="s">
        <v>772</v>
      </c>
      <c r="U901" s="372" t="s">
        <v>6445</v>
      </c>
      <c r="V901" s="722" t="s">
        <v>774</v>
      </c>
      <c r="W901" s="722">
        <v>3.91</v>
      </c>
      <c r="X901" s="722">
        <v>50.82</v>
      </c>
      <c r="Y901" s="722" t="s">
        <v>774</v>
      </c>
      <c r="Z901" s="382" t="s">
        <v>934</v>
      </c>
      <c r="AA901" s="372">
        <v>10.4895</v>
      </c>
      <c r="AB901" s="372">
        <v>0.56797540000000002</v>
      </c>
      <c r="AC901" s="372">
        <v>91.175698100000005</v>
      </c>
      <c r="AD901" s="372">
        <v>48.987751899999999</v>
      </c>
      <c r="AE901" s="372">
        <v>11</v>
      </c>
      <c r="AF901" s="372">
        <v>0</v>
      </c>
      <c r="AG901" s="372">
        <v>0</v>
      </c>
      <c r="AH901" s="372">
        <v>0</v>
      </c>
    </row>
    <row r="902" spans="1:34">
      <c r="A902" s="372" t="s">
        <v>6446</v>
      </c>
      <c r="B902" s="373" t="s">
        <v>6447</v>
      </c>
      <c r="C902" s="372" t="s">
        <v>6448</v>
      </c>
      <c r="D902" s="374">
        <v>1101117608502</v>
      </c>
      <c r="E902" s="372" t="s">
        <v>6449</v>
      </c>
      <c r="F902" s="375" t="s">
        <v>900</v>
      </c>
      <c r="G902" s="375" t="s">
        <v>901</v>
      </c>
      <c r="H902" s="375" t="s">
        <v>862</v>
      </c>
      <c r="I902" s="375" t="s">
        <v>755</v>
      </c>
      <c r="J902" s="375">
        <v>325391.95244000002</v>
      </c>
      <c r="K902" s="375">
        <v>-572860.93223999999</v>
      </c>
      <c r="L902" s="375">
        <v>-828008.87438000005</v>
      </c>
      <c r="M902" s="375">
        <v>734455.67483999999</v>
      </c>
      <c r="N902" s="372">
        <v>1</v>
      </c>
      <c r="O902" s="703">
        <v>467.11238675276724</v>
      </c>
      <c r="P902" s="375" t="s">
        <v>623</v>
      </c>
      <c r="Q902" s="372" t="s">
        <v>16145</v>
      </c>
      <c r="R902" s="695">
        <v>20200922</v>
      </c>
      <c r="S902" s="372" t="s">
        <v>2662</v>
      </c>
      <c r="T902" s="696" t="s">
        <v>772</v>
      </c>
      <c r="U902" s="372" t="s">
        <v>6450</v>
      </c>
      <c r="V902" s="722" t="s">
        <v>774</v>
      </c>
      <c r="W902" s="722">
        <v>0.28000000000000003</v>
      </c>
      <c r="X902" s="722">
        <v>0.67</v>
      </c>
      <c r="Y902" s="722" t="s">
        <v>774</v>
      </c>
      <c r="Z902" s="382" t="s">
        <v>934</v>
      </c>
      <c r="AA902" s="372">
        <v>928.98822800000005</v>
      </c>
      <c r="AB902" s="372">
        <v>2952.1001848000001</v>
      </c>
      <c r="AC902" s="372">
        <v>3326.2410558000001</v>
      </c>
      <c r="AD902" s="372">
        <v>3253.9195243999998</v>
      </c>
      <c r="AE902" s="372">
        <v>3800</v>
      </c>
      <c r="AF902" s="372">
        <v>3588</v>
      </c>
      <c r="AG902" s="372">
        <v>0</v>
      </c>
      <c r="AH902" s="372">
        <v>0</v>
      </c>
    </row>
    <row r="903" spans="1:34">
      <c r="A903" s="372" t="s">
        <v>6451</v>
      </c>
      <c r="B903" s="373" t="s">
        <v>6452</v>
      </c>
      <c r="C903" s="372" t="s">
        <v>6453</v>
      </c>
      <c r="D903" s="374">
        <v>1741110000618</v>
      </c>
      <c r="E903" s="372" t="s">
        <v>6454</v>
      </c>
      <c r="F903" s="375" t="s">
        <v>5414</v>
      </c>
      <c r="G903" s="375" t="s">
        <v>6455</v>
      </c>
      <c r="H903" s="375" t="s">
        <v>3998</v>
      </c>
      <c r="I903" s="375" t="s">
        <v>755</v>
      </c>
      <c r="J903" s="375">
        <v>0</v>
      </c>
      <c r="K903" s="375">
        <v>0</v>
      </c>
      <c r="L903" s="375">
        <v>0</v>
      </c>
      <c r="M903" s="375">
        <v>438476.37727</v>
      </c>
      <c r="N903" s="372">
        <v>0.84199999999999997</v>
      </c>
      <c r="O903" s="703">
        <v>94.366295808858567</v>
      </c>
      <c r="P903" s="375" t="s">
        <v>623</v>
      </c>
      <c r="Q903" s="372" t="s">
        <v>623</v>
      </c>
      <c r="R903" s="695">
        <v>19960703</v>
      </c>
      <c r="S903" s="372" t="s">
        <v>6456</v>
      </c>
      <c r="T903" s="696" t="s">
        <v>772</v>
      </c>
      <c r="U903" s="375" t="s">
        <v>6457</v>
      </c>
      <c r="V903" s="722">
        <v>0</v>
      </c>
      <c r="W903" s="722">
        <v>0.49</v>
      </c>
      <c r="X903" s="722">
        <v>0</v>
      </c>
      <c r="Y903" s="722">
        <v>0</v>
      </c>
      <c r="Z903" s="382" t="s">
        <v>934</v>
      </c>
      <c r="AA903" s="372">
        <v>1895.1684716</v>
      </c>
      <c r="AB903" s="372">
        <v>2044.3456325</v>
      </c>
      <c r="AC903" s="372">
        <v>6847.8284600999996</v>
      </c>
      <c r="AD903" s="372">
        <v>7120.2709484999996</v>
      </c>
      <c r="AE903" s="372">
        <v>0</v>
      </c>
      <c r="AF903" s="372">
        <v>0</v>
      </c>
      <c r="AG903" s="372">
        <v>0</v>
      </c>
      <c r="AH903" s="372">
        <v>0</v>
      </c>
    </row>
    <row r="904" spans="1:34">
      <c r="A904" s="372" t="s">
        <v>6458</v>
      </c>
      <c r="B904" s="373" t="s">
        <v>6459</v>
      </c>
      <c r="C904" s="372" t="s">
        <v>6460</v>
      </c>
      <c r="D904" s="374">
        <v>1311110237931</v>
      </c>
      <c r="E904" s="372" t="s">
        <v>6461</v>
      </c>
      <c r="F904" s="375" t="s">
        <v>830</v>
      </c>
      <c r="G904" s="375" t="s">
        <v>1524</v>
      </c>
      <c r="H904" s="375" t="s">
        <v>868</v>
      </c>
      <c r="I904" s="375" t="s">
        <v>869</v>
      </c>
      <c r="J904" s="375">
        <v>40181.180330000003</v>
      </c>
      <c r="K904" s="375">
        <v>6506.4881699999996</v>
      </c>
      <c r="L904" s="375">
        <v>3148.7716</v>
      </c>
      <c r="M904" s="375">
        <v>49895.104299999999</v>
      </c>
      <c r="N904" s="372">
        <v>0.99099999999999999</v>
      </c>
      <c r="O904" s="703">
        <v>7.8500550656259023</v>
      </c>
      <c r="P904" s="375" t="s">
        <v>623</v>
      </c>
      <c r="Q904" s="375" t="s">
        <v>623</v>
      </c>
      <c r="R904" s="695">
        <v>20160816</v>
      </c>
      <c r="S904" s="375" t="s">
        <v>6462</v>
      </c>
      <c r="T904" s="696">
        <v>0.20900000000000002</v>
      </c>
      <c r="U904" s="372" t="s">
        <v>6463</v>
      </c>
      <c r="V904" s="722">
        <v>0</v>
      </c>
      <c r="W904" s="722">
        <v>4.84</v>
      </c>
      <c r="X904" s="722">
        <v>0</v>
      </c>
      <c r="Y904" s="722">
        <v>0</v>
      </c>
      <c r="Z904" s="382" t="s">
        <v>934</v>
      </c>
      <c r="AA904" s="372">
        <v>85.398042700000005</v>
      </c>
      <c r="AB904" s="372">
        <v>240.58981</v>
      </c>
      <c r="AC904" s="372">
        <v>350.43741540000002</v>
      </c>
      <c r="AD904" s="372">
        <v>401.81180330000001</v>
      </c>
      <c r="AE904" s="372">
        <v>0</v>
      </c>
      <c r="AF904" s="372">
        <v>64</v>
      </c>
      <c r="AG904" s="372">
        <v>0</v>
      </c>
      <c r="AH904" s="372">
        <v>0</v>
      </c>
    </row>
    <row r="905" spans="1:34">
      <c r="A905" s="372" t="s">
        <v>6464</v>
      </c>
      <c r="B905" s="373" t="s">
        <v>6465</v>
      </c>
      <c r="C905" s="372" t="s">
        <v>6466</v>
      </c>
      <c r="D905" s="374">
        <v>1101111911050</v>
      </c>
      <c r="E905" s="372" t="s">
        <v>6467</v>
      </c>
      <c r="F905" s="375" t="s">
        <v>1381</v>
      </c>
      <c r="G905" s="375" t="s">
        <v>1381</v>
      </c>
      <c r="H905" s="375" t="s">
        <v>1693</v>
      </c>
      <c r="I905" s="375" t="s">
        <v>869</v>
      </c>
      <c r="J905" s="375">
        <v>279579.83142</v>
      </c>
      <c r="K905" s="375">
        <v>32980.60312</v>
      </c>
      <c r="L905" s="375">
        <v>56974.015039999998</v>
      </c>
      <c r="M905" s="375">
        <v>349724.77146999998</v>
      </c>
      <c r="N905" s="372">
        <v>1.022</v>
      </c>
      <c r="O905" s="703">
        <v>44.626076764105264</v>
      </c>
      <c r="P905" s="375" t="s">
        <v>623</v>
      </c>
      <c r="Q905" s="372" t="s">
        <v>623</v>
      </c>
      <c r="R905" s="695">
        <v>20041210</v>
      </c>
      <c r="S905" s="372" t="s">
        <v>6468</v>
      </c>
      <c r="T905" s="696">
        <v>0.23100000000000001</v>
      </c>
      <c r="U905" s="372" t="s">
        <v>6469</v>
      </c>
      <c r="V905" s="722">
        <v>5.68</v>
      </c>
      <c r="W905" s="722">
        <v>0.59</v>
      </c>
      <c r="X905" s="722">
        <v>0.76</v>
      </c>
      <c r="Y905" s="722">
        <v>4.8600000000000003</v>
      </c>
      <c r="Z905" s="382">
        <v>4.5857634165543226E-2</v>
      </c>
      <c r="AA905" s="372">
        <v>2690.4301034999999</v>
      </c>
      <c r="AB905" s="372">
        <v>3064.6382924</v>
      </c>
      <c r="AC905" s="372">
        <v>2761.1684215999999</v>
      </c>
      <c r="AD905" s="372">
        <v>2795.7983141999998</v>
      </c>
      <c r="AE905" s="372">
        <v>2828</v>
      </c>
      <c r="AF905" s="372">
        <v>3074</v>
      </c>
      <c r="AG905" s="372">
        <v>3345</v>
      </c>
      <c r="AH905" s="372">
        <v>0</v>
      </c>
    </row>
    <row r="906" spans="1:34">
      <c r="A906" s="372" t="s">
        <v>6470</v>
      </c>
      <c r="B906" s="373" t="s">
        <v>6471</v>
      </c>
      <c r="C906" s="372" t="s">
        <v>6472</v>
      </c>
      <c r="D906" s="374">
        <v>1701110179623</v>
      </c>
      <c r="E906" s="372" t="s">
        <v>6473</v>
      </c>
      <c r="F906" s="375" t="s">
        <v>1187</v>
      </c>
      <c r="G906" s="375" t="s">
        <v>1188</v>
      </c>
      <c r="H906" s="375" t="s">
        <v>1388</v>
      </c>
      <c r="I906" s="375" t="s">
        <v>869</v>
      </c>
      <c r="J906" s="375">
        <v>75771.249549999993</v>
      </c>
      <c r="K906" s="375">
        <v>2199.9787000000001</v>
      </c>
      <c r="L906" s="375">
        <v>5463.3197799999998</v>
      </c>
      <c r="M906" s="375">
        <v>142394.56486000001</v>
      </c>
      <c r="N906" s="372">
        <v>0.77700000000000002</v>
      </c>
      <c r="O906" s="703">
        <v>0</v>
      </c>
      <c r="P906" s="375" t="s">
        <v>623</v>
      </c>
      <c r="Q906" s="375" t="s">
        <v>623</v>
      </c>
      <c r="R906" s="695">
        <v>20121106</v>
      </c>
      <c r="S906" s="372" t="s">
        <v>6474</v>
      </c>
      <c r="T906" s="696">
        <v>0.20900000000000002</v>
      </c>
      <c r="U906" s="372" t="s">
        <v>6475</v>
      </c>
      <c r="V906" s="722">
        <v>0</v>
      </c>
      <c r="W906" s="722">
        <v>1.46</v>
      </c>
      <c r="X906" s="722">
        <v>0</v>
      </c>
      <c r="Y906" s="722">
        <v>0</v>
      </c>
      <c r="Z906" s="382" t="s">
        <v>934</v>
      </c>
      <c r="AA906" s="372">
        <v>757.26669319999996</v>
      </c>
      <c r="AB906" s="372">
        <v>807.47035229999994</v>
      </c>
      <c r="AC906" s="372">
        <v>731.83893390000003</v>
      </c>
      <c r="AD906" s="372">
        <v>757.71249550000005</v>
      </c>
      <c r="AE906" s="372">
        <v>0</v>
      </c>
      <c r="AF906" s="372">
        <v>0</v>
      </c>
      <c r="AG906" s="372">
        <v>0</v>
      </c>
      <c r="AH906" s="372">
        <v>0</v>
      </c>
    </row>
    <row r="907" spans="1:34">
      <c r="A907" s="372" t="s">
        <v>6476</v>
      </c>
      <c r="B907" s="373" t="s">
        <v>6477</v>
      </c>
      <c r="C907" s="372" t="s">
        <v>6478</v>
      </c>
      <c r="D907" s="374">
        <v>1101110086169</v>
      </c>
      <c r="E907" s="372" t="s">
        <v>6479</v>
      </c>
      <c r="F907" s="375" t="s">
        <v>900</v>
      </c>
      <c r="G907" s="375" t="s">
        <v>901</v>
      </c>
      <c r="H907" s="375" t="s">
        <v>902</v>
      </c>
      <c r="I907" s="375" t="s">
        <v>869</v>
      </c>
      <c r="J907" s="375">
        <v>352892.50906000001</v>
      </c>
      <c r="K907" s="375">
        <v>28836.09231</v>
      </c>
      <c r="L907" s="375">
        <v>35222.803659999998</v>
      </c>
      <c r="M907" s="375">
        <v>364480.48680000001</v>
      </c>
      <c r="N907" s="372">
        <v>0.8</v>
      </c>
      <c r="O907" s="703">
        <v>17.305486439913466</v>
      </c>
      <c r="P907" s="375" t="s">
        <v>623</v>
      </c>
      <c r="Q907" s="375" t="s">
        <v>623</v>
      </c>
      <c r="R907" s="695">
        <v>20000801</v>
      </c>
      <c r="S907" s="375" t="s">
        <v>6480</v>
      </c>
      <c r="T907" s="696">
        <v>0.23100000000000001</v>
      </c>
      <c r="U907" s="372" t="s">
        <v>6481</v>
      </c>
      <c r="V907" s="722">
        <v>7.57</v>
      </c>
      <c r="W907" s="722">
        <v>0.95</v>
      </c>
      <c r="X907" s="722">
        <v>0.56999999999999995</v>
      </c>
      <c r="Y907" s="722" t="s">
        <v>774</v>
      </c>
      <c r="Z907" s="382" t="s">
        <v>934</v>
      </c>
      <c r="AA907" s="372">
        <v>3075.9221421000002</v>
      </c>
      <c r="AB907" s="372">
        <v>3238.0258130000002</v>
      </c>
      <c r="AC907" s="372">
        <v>3476.8937261999999</v>
      </c>
      <c r="AD907" s="372">
        <v>3528.9250906000002</v>
      </c>
      <c r="AE907" s="372">
        <v>0</v>
      </c>
      <c r="AF907" s="372">
        <v>0</v>
      </c>
      <c r="AG907" s="372">
        <v>0</v>
      </c>
      <c r="AH907" s="372">
        <v>0</v>
      </c>
    </row>
    <row r="908" spans="1:34">
      <c r="A908" s="372" t="s">
        <v>6482</v>
      </c>
      <c r="B908" s="373" t="s">
        <v>6483</v>
      </c>
      <c r="C908" s="372" t="s">
        <v>6484</v>
      </c>
      <c r="D908" s="374">
        <v>1201110038639</v>
      </c>
      <c r="E908" s="372" t="s">
        <v>6485</v>
      </c>
      <c r="F908" s="375" t="s">
        <v>6486</v>
      </c>
      <c r="G908" s="375" t="s">
        <v>6487</v>
      </c>
      <c r="H908" s="375" t="s">
        <v>868</v>
      </c>
      <c r="I908" s="375" t="s">
        <v>869</v>
      </c>
      <c r="J908" s="375">
        <v>553181.69585000002</v>
      </c>
      <c r="K908" s="375">
        <v>54685.648379999999</v>
      </c>
      <c r="L908" s="375">
        <v>30912.814200000001</v>
      </c>
      <c r="M908" s="375">
        <v>355727.70178</v>
      </c>
      <c r="N908" s="372">
        <v>1.1739999999999999</v>
      </c>
      <c r="O908" s="703">
        <v>266.77764767263733</v>
      </c>
      <c r="P908" s="375" t="s">
        <v>623</v>
      </c>
      <c r="Q908" s="375" t="s">
        <v>623</v>
      </c>
      <c r="R908" s="695">
        <v>19970806</v>
      </c>
      <c r="S908" s="375" t="s">
        <v>6488</v>
      </c>
      <c r="T908" s="696">
        <v>0.23100000000000001</v>
      </c>
      <c r="U908" s="372" t="s">
        <v>6489</v>
      </c>
      <c r="V908" s="722">
        <v>6.81</v>
      </c>
      <c r="W908" s="722">
        <v>0.56000000000000005</v>
      </c>
      <c r="X908" s="722">
        <v>0.36</v>
      </c>
      <c r="Y908" s="722">
        <v>8.39</v>
      </c>
      <c r="Z908" s="382" t="s">
        <v>934</v>
      </c>
      <c r="AA908" s="372">
        <v>3742.0967006000001</v>
      </c>
      <c r="AB908" s="372">
        <v>4578.1319413000001</v>
      </c>
      <c r="AC908" s="372">
        <v>5498.0069006000003</v>
      </c>
      <c r="AD908" s="372">
        <v>5531.8169584999996</v>
      </c>
      <c r="AE908" s="372">
        <v>0</v>
      </c>
      <c r="AF908" s="372">
        <v>0</v>
      </c>
      <c r="AG908" s="372">
        <v>0</v>
      </c>
      <c r="AH908" s="372">
        <v>0</v>
      </c>
    </row>
    <row r="909" spans="1:34">
      <c r="A909" s="372" t="s">
        <v>6490</v>
      </c>
      <c r="B909" s="373" t="s">
        <v>6491</v>
      </c>
      <c r="C909" s="372" t="s">
        <v>6492</v>
      </c>
      <c r="D909" s="374">
        <v>1812110000443</v>
      </c>
      <c r="E909" s="372" t="s">
        <v>6493</v>
      </c>
      <c r="F909" s="375" t="s">
        <v>2030</v>
      </c>
      <c r="G909" s="375" t="s">
        <v>2030</v>
      </c>
      <c r="H909" s="375" t="s">
        <v>797</v>
      </c>
      <c r="I909" s="375" t="s">
        <v>755</v>
      </c>
      <c r="J909" s="375">
        <v>1510805.8666000001</v>
      </c>
      <c r="K909" s="375">
        <v>59337.787779999999</v>
      </c>
      <c r="L909" s="375">
        <v>75104.714380000005</v>
      </c>
      <c r="M909" s="375">
        <v>341180.62433999998</v>
      </c>
      <c r="N909" s="372">
        <v>0.97299999999999998</v>
      </c>
      <c r="O909" s="703">
        <v>89.183810122769941</v>
      </c>
      <c r="P909" s="375" t="s">
        <v>623</v>
      </c>
      <c r="Q909" s="375" t="s">
        <v>623</v>
      </c>
      <c r="R909" s="695">
        <v>19871002</v>
      </c>
      <c r="S909" s="375" t="s">
        <v>6494</v>
      </c>
      <c r="T909" s="696">
        <v>0.23100000000000001</v>
      </c>
      <c r="U909" s="372" t="s">
        <v>6495</v>
      </c>
      <c r="V909" s="722">
        <v>3.92</v>
      </c>
      <c r="W909" s="722">
        <v>0.86</v>
      </c>
      <c r="X909" s="722">
        <v>0.19</v>
      </c>
      <c r="Y909" s="722">
        <v>5.98</v>
      </c>
      <c r="Z909" s="382" t="s">
        <v>934</v>
      </c>
      <c r="AA909" s="372">
        <v>8815.6828590999994</v>
      </c>
      <c r="AB909" s="372">
        <v>10039.278308499999</v>
      </c>
      <c r="AC909" s="372">
        <v>13713.538480200001</v>
      </c>
      <c r="AD909" s="372">
        <v>15108.058666000001</v>
      </c>
      <c r="AE909" s="372">
        <v>0</v>
      </c>
      <c r="AF909" s="372">
        <v>0</v>
      </c>
      <c r="AG909" s="372">
        <v>0</v>
      </c>
      <c r="AH909" s="372">
        <v>0</v>
      </c>
    </row>
    <row r="910" spans="1:34">
      <c r="A910" s="372" t="s">
        <v>6496</v>
      </c>
      <c r="B910" s="373" t="s">
        <v>6497</v>
      </c>
      <c r="C910" s="372" t="s">
        <v>6498</v>
      </c>
      <c r="D910" s="374">
        <v>1101110072928</v>
      </c>
      <c r="E910" s="372" t="s">
        <v>6499</v>
      </c>
      <c r="F910" s="372" t="s">
        <v>1479</v>
      </c>
      <c r="G910" s="375" t="s">
        <v>1480</v>
      </c>
      <c r="H910" s="375" t="s">
        <v>1481</v>
      </c>
      <c r="I910" s="375" t="s">
        <v>755</v>
      </c>
      <c r="J910" s="375">
        <v>1113282.18453</v>
      </c>
      <c r="K910" s="375">
        <v>73331.934250000006</v>
      </c>
      <c r="L910" s="375">
        <v>60198.105389999997</v>
      </c>
      <c r="M910" s="375">
        <v>538023.24806999997</v>
      </c>
      <c r="N910" s="372">
        <v>1.2549999999999999</v>
      </c>
      <c r="O910" s="703">
        <v>218.09738167987231</v>
      </c>
      <c r="P910" s="375" t="s">
        <v>623</v>
      </c>
      <c r="Q910" s="372" t="s">
        <v>623</v>
      </c>
      <c r="R910" s="695">
        <v>19760630</v>
      </c>
      <c r="S910" s="372" t="s">
        <v>6500</v>
      </c>
      <c r="T910" s="696">
        <v>0.23100000000000001</v>
      </c>
      <c r="U910" s="372" t="s">
        <v>6501</v>
      </c>
      <c r="V910" s="722">
        <v>5.55</v>
      </c>
      <c r="W910" s="722">
        <v>0.4</v>
      </c>
      <c r="X910" s="722">
        <v>0.19</v>
      </c>
      <c r="Y910" s="722">
        <v>3.22</v>
      </c>
      <c r="Z910" s="382">
        <v>2.4612915269601077E-2</v>
      </c>
      <c r="AA910" s="372">
        <v>7223.0559585999999</v>
      </c>
      <c r="AB910" s="372">
        <v>8335.4356384000002</v>
      </c>
      <c r="AC910" s="372">
        <v>10304.143299400001</v>
      </c>
      <c r="AD910" s="372">
        <v>11132.821845300001</v>
      </c>
      <c r="AE910" s="372">
        <v>11270</v>
      </c>
      <c r="AF910" s="372">
        <v>11610</v>
      </c>
      <c r="AG910" s="372">
        <v>12270</v>
      </c>
      <c r="AH910" s="372">
        <v>0</v>
      </c>
    </row>
    <row r="911" spans="1:34">
      <c r="A911" s="372" t="s">
        <v>6502</v>
      </c>
      <c r="B911" s="373" t="s">
        <v>6503</v>
      </c>
      <c r="C911" s="372" t="s">
        <v>6504</v>
      </c>
      <c r="D911" s="374">
        <v>1101114179457</v>
      </c>
      <c r="E911" s="372" t="s">
        <v>6505</v>
      </c>
      <c r="F911" s="375" t="s">
        <v>1381</v>
      </c>
      <c r="G911" s="375" t="s">
        <v>1381</v>
      </c>
      <c r="H911" s="375" t="s">
        <v>868</v>
      </c>
      <c r="I911" s="375" t="s">
        <v>869</v>
      </c>
      <c r="J911" s="375">
        <v>123.4058</v>
      </c>
      <c r="K911" s="375">
        <v>-12276.297769999999</v>
      </c>
      <c r="L911" s="375">
        <v>-11397.64474</v>
      </c>
      <c r="M911" s="375">
        <v>31228.289970000002</v>
      </c>
      <c r="N911" s="372">
        <v>1.042</v>
      </c>
      <c r="O911" s="703">
        <v>1.3454914110894782</v>
      </c>
      <c r="P911" s="375" t="s">
        <v>623</v>
      </c>
      <c r="Q911" s="375" t="s">
        <v>623</v>
      </c>
      <c r="R911" s="695">
        <v>20191217</v>
      </c>
      <c r="S911" s="375" t="s">
        <v>6506</v>
      </c>
      <c r="T911" s="696" t="s">
        <v>772</v>
      </c>
      <c r="U911" s="375" t="s">
        <v>6507</v>
      </c>
      <c r="V911" s="722" t="s">
        <v>774</v>
      </c>
      <c r="W911" s="722">
        <v>6.95</v>
      </c>
      <c r="X911" s="722">
        <v>1757.4</v>
      </c>
      <c r="Y911" s="722" t="s">
        <v>774</v>
      </c>
      <c r="Z911" s="382" t="s">
        <v>934</v>
      </c>
      <c r="AA911" s="372">
        <v>6.0967668000000002</v>
      </c>
      <c r="AB911" s="372">
        <v>3.1665855999999999</v>
      </c>
      <c r="AC911" s="372">
        <v>2.4399156</v>
      </c>
      <c r="AD911" s="372">
        <v>1.2340580000000001</v>
      </c>
      <c r="AE911" s="372">
        <v>0</v>
      </c>
      <c r="AF911" s="372">
        <v>0</v>
      </c>
      <c r="AG911" s="372">
        <v>0</v>
      </c>
      <c r="AH911" s="372">
        <v>0</v>
      </c>
    </row>
    <row r="912" spans="1:34">
      <c r="A912" s="372" t="s">
        <v>6508</v>
      </c>
      <c r="B912" s="373" t="s">
        <v>6509</v>
      </c>
      <c r="C912" s="372" t="s">
        <v>6510</v>
      </c>
      <c r="D912" s="374">
        <v>1311110000205</v>
      </c>
      <c r="E912" s="372" t="s">
        <v>6511</v>
      </c>
      <c r="F912" s="375" t="s">
        <v>1286</v>
      </c>
      <c r="G912" s="375" t="s">
        <v>1736</v>
      </c>
      <c r="H912" s="375" t="s">
        <v>754</v>
      </c>
      <c r="I912" s="375" t="s">
        <v>755</v>
      </c>
      <c r="J912" s="375">
        <v>177289.64241</v>
      </c>
      <c r="K912" s="375">
        <v>6457.4479700000002</v>
      </c>
      <c r="L912" s="375">
        <v>18397.408729999999</v>
      </c>
      <c r="M912" s="375">
        <v>529626.20467000001</v>
      </c>
      <c r="N912" s="372">
        <v>0.72199999999999998</v>
      </c>
      <c r="O912" s="703">
        <v>6.406346678798908E-3</v>
      </c>
      <c r="P912" s="375" t="s">
        <v>623</v>
      </c>
      <c r="Q912" s="375" t="s">
        <v>623</v>
      </c>
      <c r="R912" s="695">
        <v>19761228</v>
      </c>
      <c r="S912" s="375" t="s">
        <v>6512</v>
      </c>
      <c r="T912" s="696">
        <v>0.20900000000000002</v>
      </c>
      <c r="U912" s="372" t="s">
        <v>6513</v>
      </c>
      <c r="V912" s="722">
        <v>12.54</v>
      </c>
      <c r="W912" s="722">
        <v>0.32</v>
      </c>
      <c r="X912" s="722">
        <v>0.97</v>
      </c>
      <c r="Y912" s="722">
        <v>12.39</v>
      </c>
      <c r="Z912" s="382">
        <v>5.5083115843668207E-2</v>
      </c>
      <c r="AA912" s="372">
        <v>2005.6803030999999</v>
      </c>
      <c r="AB912" s="372">
        <v>2388.7779497000001</v>
      </c>
      <c r="AC912" s="372">
        <v>2278.0650995000001</v>
      </c>
      <c r="AD912" s="372">
        <v>1772.8964241000001</v>
      </c>
      <c r="AE912" s="372">
        <v>1870</v>
      </c>
      <c r="AF912" s="372">
        <v>2036</v>
      </c>
      <c r="AG912" s="372">
        <v>2197</v>
      </c>
      <c r="AH912" s="372">
        <v>2357</v>
      </c>
    </row>
    <row r="913" spans="1:34">
      <c r="A913" s="372" t="s">
        <v>6514</v>
      </c>
      <c r="B913" s="373" t="s">
        <v>6515</v>
      </c>
      <c r="C913" s="372" t="s">
        <v>6516</v>
      </c>
      <c r="D913" s="374">
        <v>1301110026228</v>
      </c>
      <c r="E913" s="372" t="s">
        <v>6517</v>
      </c>
      <c r="F913" s="372" t="s">
        <v>1728</v>
      </c>
      <c r="G913" s="375" t="s">
        <v>1729</v>
      </c>
      <c r="H913" s="375" t="s">
        <v>868</v>
      </c>
      <c r="I913" s="375" t="s">
        <v>869</v>
      </c>
      <c r="J913" s="375">
        <v>147540.86934</v>
      </c>
      <c r="K913" s="375">
        <v>-1237.80358</v>
      </c>
      <c r="L913" s="375">
        <v>1161.6624300000001</v>
      </c>
      <c r="M913" s="375">
        <v>102984.37276</v>
      </c>
      <c r="N913" s="372">
        <v>0.69699999999999995</v>
      </c>
      <c r="O913" s="703">
        <v>5.4681149070418753</v>
      </c>
      <c r="P913" s="375" t="s">
        <v>623</v>
      </c>
      <c r="Q913" s="372" t="s">
        <v>623</v>
      </c>
      <c r="R913" s="695">
        <v>19991229</v>
      </c>
      <c r="S913" s="372" t="s">
        <v>6518</v>
      </c>
      <c r="T913" s="696">
        <v>0.20900000000000002</v>
      </c>
      <c r="U913" s="372" t="s">
        <v>6519</v>
      </c>
      <c r="V913" s="722">
        <v>0</v>
      </c>
      <c r="W913" s="722">
        <v>1.94</v>
      </c>
      <c r="X913" s="722">
        <v>0</v>
      </c>
      <c r="Y913" s="722">
        <v>0</v>
      </c>
      <c r="Z913" s="382" t="s">
        <v>934</v>
      </c>
      <c r="AA913" s="372">
        <v>1981.0992747</v>
      </c>
      <c r="AB913" s="372">
        <v>2271.8494764000002</v>
      </c>
      <c r="AC913" s="372">
        <v>2004.7525316000001</v>
      </c>
      <c r="AD913" s="372">
        <v>1475.4086933999999</v>
      </c>
      <c r="AE913" s="372">
        <v>0</v>
      </c>
      <c r="AF913" s="372">
        <v>0</v>
      </c>
      <c r="AG913" s="372">
        <v>0</v>
      </c>
      <c r="AH913" s="372">
        <v>0</v>
      </c>
    </row>
    <row r="914" spans="1:34">
      <c r="A914" s="372" t="s">
        <v>6520</v>
      </c>
      <c r="B914" s="373" t="s">
        <v>6521</v>
      </c>
      <c r="C914" s="372" t="s">
        <v>6522</v>
      </c>
      <c r="D914" s="374">
        <v>1351110074800</v>
      </c>
      <c r="E914" s="372" t="s">
        <v>6523</v>
      </c>
      <c r="F914" s="375" t="s">
        <v>1782</v>
      </c>
      <c r="G914" s="375" t="s">
        <v>2261</v>
      </c>
      <c r="H914" s="375" t="s">
        <v>868</v>
      </c>
      <c r="I914" s="375" t="s">
        <v>869</v>
      </c>
      <c r="J914" s="375">
        <v>0</v>
      </c>
      <c r="K914" s="375">
        <v>0</v>
      </c>
      <c r="L914" s="375">
        <v>0</v>
      </c>
      <c r="M914" s="375">
        <v>46800.270949999998</v>
      </c>
      <c r="N914" s="372" t="s">
        <v>1033</v>
      </c>
      <c r="O914" s="703">
        <v>9.9275563851365476</v>
      </c>
      <c r="P914" s="375" t="s">
        <v>623</v>
      </c>
      <c r="Q914" s="372" t="s">
        <v>623</v>
      </c>
      <c r="R914" s="695">
        <v>20231128</v>
      </c>
      <c r="S914" s="372" t="s">
        <v>6524</v>
      </c>
      <c r="T914" s="696" t="s">
        <v>772</v>
      </c>
      <c r="U914" s="372" t="s">
        <v>6525</v>
      </c>
      <c r="V914" s="722">
        <v>0</v>
      </c>
      <c r="W914" s="722">
        <v>4.2300000000000004</v>
      </c>
      <c r="X914" s="722">
        <v>0</v>
      </c>
      <c r="Y914" s="722">
        <v>0</v>
      </c>
      <c r="Z914" s="382" t="s">
        <v>934</v>
      </c>
      <c r="AA914" s="372">
        <v>89.505197499999994</v>
      </c>
      <c r="AB914" s="372">
        <v>146.45597559999999</v>
      </c>
      <c r="AC914" s="372">
        <v>321.63647980000002</v>
      </c>
      <c r="AD914" s="372">
        <v>473.39369979999998</v>
      </c>
      <c r="AE914" s="372">
        <v>0</v>
      </c>
      <c r="AF914" s="372">
        <v>0</v>
      </c>
      <c r="AG914" s="372">
        <v>0</v>
      </c>
      <c r="AH914" s="372">
        <v>0</v>
      </c>
    </row>
    <row r="915" spans="1:34">
      <c r="A915" s="372" t="s">
        <v>6526</v>
      </c>
      <c r="B915" s="373" t="s">
        <v>6527</v>
      </c>
      <c r="C915" s="372" t="s">
        <v>6528</v>
      </c>
      <c r="D915" s="374">
        <v>1101118651659</v>
      </c>
      <c r="E915" s="372" t="s">
        <v>6529</v>
      </c>
      <c r="F915" s="375" t="s">
        <v>2771</v>
      </c>
      <c r="G915" s="375" t="s">
        <v>2772</v>
      </c>
      <c r="H915" s="375" t="s">
        <v>817</v>
      </c>
      <c r="I915" s="375" t="s">
        <v>755</v>
      </c>
      <c r="J915" s="375">
        <v>0</v>
      </c>
      <c r="K915" s="375">
        <v>0</v>
      </c>
      <c r="L915" s="375">
        <v>0</v>
      </c>
      <c r="M915" s="375">
        <v>961632.60927000002</v>
      </c>
      <c r="N915" s="372" t="s">
        <v>1033</v>
      </c>
      <c r="O915" s="703">
        <v>217.10632297254463</v>
      </c>
      <c r="P915" s="375" t="s">
        <v>623</v>
      </c>
      <c r="Q915" s="375" t="s">
        <v>623</v>
      </c>
      <c r="R915" s="695">
        <v>20230616</v>
      </c>
      <c r="S915" s="375" t="s">
        <v>6530</v>
      </c>
      <c r="T915" s="696" t="s">
        <v>772</v>
      </c>
      <c r="U915" s="375">
        <v>0</v>
      </c>
      <c r="V915" s="722">
        <v>0</v>
      </c>
      <c r="W915" s="722">
        <v>0.22</v>
      </c>
      <c r="X915" s="722">
        <v>0</v>
      </c>
      <c r="Y915" s="722">
        <v>0</v>
      </c>
      <c r="Z915" s="382" t="s">
        <v>934</v>
      </c>
      <c r="AA915" s="372">
        <v>0</v>
      </c>
      <c r="AB915" s="372">
        <v>0</v>
      </c>
      <c r="AC915" s="372">
        <v>0</v>
      </c>
      <c r="AD915" s="372">
        <v>12661.4907028</v>
      </c>
      <c r="AE915" s="372">
        <v>0</v>
      </c>
      <c r="AF915" s="372">
        <v>0</v>
      </c>
      <c r="AG915" s="372">
        <v>0</v>
      </c>
      <c r="AH915" s="372">
        <v>0</v>
      </c>
    </row>
    <row r="916" spans="1:34">
      <c r="A916" s="372" t="s">
        <v>6531</v>
      </c>
      <c r="B916" s="373" t="s">
        <v>6532</v>
      </c>
      <c r="C916" s="372" t="s">
        <v>6533</v>
      </c>
      <c r="D916" s="374">
        <v>1101110013766</v>
      </c>
      <c r="E916" s="372" t="s">
        <v>6534</v>
      </c>
      <c r="F916" s="375" t="s">
        <v>900</v>
      </c>
      <c r="G916" s="375" t="s">
        <v>901</v>
      </c>
      <c r="H916" s="375" t="s">
        <v>862</v>
      </c>
      <c r="I916" s="375" t="s">
        <v>755</v>
      </c>
      <c r="J916" s="375">
        <v>2506869.28199</v>
      </c>
      <c r="K916" s="375">
        <v>138073.29065000001</v>
      </c>
      <c r="L916" s="375">
        <v>54168.757089999999</v>
      </c>
      <c r="M916" s="375">
        <v>1105136.5183699999</v>
      </c>
      <c r="N916" s="372">
        <v>0.81100000000000005</v>
      </c>
      <c r="O916" s="703">
        <v>872.70612104114866</v>
      </c>
      <c r="P916" s="375" t="s">
        <v>623</v>
      </c>
      <c r="Q916" s="372" t="s">
        <v>623</v>
      </c>
      <c r="R916" s="695">
        <v>19730919</v>
      </c>
      <c r="S916" s="372" t="s">
        <v>861</v>
      </c>
      <c r="T916" s="696">
        <v>0.23100000000000001</v>
      </c>
      <c r="U916" s="372" t="s">
        <v>6535</v>
      </c>
      <c r="V916" s="722">
        <v>7.58</v>
      </c>
      <c r="W916" s="722">
        <v>0.33</v>
      </c>
      <c r="X916" s="722">
        <v>0.08</v>
      </c>
      <c r="Y916" s="722">
        <v>230.21</v>
      </c>
      <c r="Z916" s="382" t="s">
        <v>934</v>
      </c>
      <c r="AA916" s="372">
        <v>22470.059698699999</v>
      </c>
      <c r="AB916" s="372">
        <v>21920.075046800001</v>
      </c>
      <c r="AC916" s="372">
        <v>24842.7705437</v>
      </c>
      <c r="AD916" s="372">
        <v>25068.692819899999</v>
      </c>
      <c r="AE916" s="372">
        <v>0</v>
      </c>
      <c r="AF916" s="372">
        <v>0</v>
      </c>
      <c r="AG916" s="372">
        <v>0</v>
      </c>
      <c r="AH916" s="372">
        <v>0</v>
      </c>
    </row>
    <row r="917" spans="1:34">
      <c r="A917" s="372" t="s">
        <v>6536</v>
      </c>
      <c r="B917" s="373" t="s">
        <v>6537</v>
      </c>
      <c r="C917" s="372" t="s">
        <v>6538</v>
      </c>
      <c r="D917" s="374">
        <v>1101110342496</v>
      </c>
      <c r="E917" s="372" t="s">
        <v>6539</v>
      </c>
      <c r="F917" s="372" t="s">
        <v>6540</v>
      </c>
      <c r="G917" s="375" t="s">
        <v>6540</v>
      </c>
      <c r="H917" s="375" t="s">
        <v>868</v>
      </c>
      <c r="I917" s="375" t="s">
        <v>869</v>
      </c>
      <c r="J917" s="375">
        <v>138702.14485000001</v>
      </c>
      <c r="K917" s="375">
        <v>20810.009389999999</v>
      </c>
      <c r="L917" s="375">
        <v>34473.594409999998</v>
      </c>
      <c r="M917" s="375">
        <v>336447.68744000001</v>
      </c>
      <c r="N917" s="372">
        <v>0.83</v>
      </c>
      <c r="O917" s="703">
        <v>0.46444083452779106</v>
      </c>
      <c r="P917" s="375" t="s">
        <v>623</v>
      </c>
      <c r="Q917" s="372" t="s">
        <v>623</v>
      </c>
      <c r="R917" s="695">
        <v>19991224</v>
      </c>
      <c r="S917" s="372" t="s">
        <v>6541</v>
      </c>
      <c r="T917" s="696">
        <v>0.23100000000000001</v>
      </c>
      <c r="U917" s="372" t="s">
        <v>6542</v>
      </c>
      <c r="V917" s="722">
        <v>0</v>
      </c>
      <c r="W917" s="722">
        <v>0.6</v>
      </c>
      <c r="X917" s="722">
        <v>0</v>
      </c>
      <c r="Y917" s="722">
        <v>0</v>
      </c>
      <c r="Z917" s="382" t="s">
        <v>934</v>
      </c>
      <c r="AA917" s="372">
        <v>908.4101197</v>
      </c>
      <c r="AB917" s="372">
        <v>787.42909150000003</v>
      </c>
      <c r="AC917" s="372">
        <v>890.66055500000004</v>
      </c>
      <c r="AD917" s="372">
        <v>1387.0214484999999</v>
      </c>
      <c r="AE917" s="372">
        <v>0</v>
      </c>
      <c r="AF917" s="372">
        <v>0</v>
      </c>
      <c r="AG917" s="372">
        <v>0</v>
      </c>
      <c r="AH917" s="372">
        <v>0</v>
      </c>
    </row>
    <row r="918" spans="1:34">
      <c r="A918" s="372" t="s">
        <v>6543</v>
      </c>
      <c r="B918" s="373" t="s">
        <v>6544</v>
      </c>
      <c r="C918" s="372" t="s">
        <v>6545</v>
      </c>
      <c r="D918" s="374">
        <v>1101111775365</v>
      </c>
      <c r="E918" s="372" t="s">
        <v>6546</v>
      </c>
      <c r="F918" s="375" t="s">
        <v>1957</v>
      </c>
      <c r="G918" s="375" t="s">
        <v>6547</v>
      </c>
      <c r="H918" s="375" t="s">
        <v>1397</v>
      </c>
      <c r="I918" s="375" t="s">
        <v>755</v>
      </c>
      <c r="J918" s="375">
        <v>606281.88928999996</v>
      </c>
      <c r="K918" s="375">
        <v>10513.214250000001</v>
      </c>
      <c r="L918" s="375">
        <v>17122.084579999999</v>
      </c>
      <c r="M918" s="375">
        <v>258521.10248999999</v>
      </c>
      <c r="N918" s="372">
        <v>0.76600000000000001</v>
      </c>
      <c r="O918" s="703">
        <v>4.8683066797303738</v>
      </c>
      <c r="P918" s="375" t="s">
        <v>623</v>
      </c>
      <c r="Q918" s="372" t="s">
        <v>623</v>
      </c>
      <c r="R918" s="695">
        <v>20150924</v>
      </c>
      <c r="S918" s="372" t="s">
        <v>6548</v>
      </c>
      <c r="T918" s="696">
        <v>0.20900000000000002</v>
      </c>
      <c r="U918" s="372" t="s">
        <v>6549</v>
      </c>
      <c r="V918" s="722">
        <v>10.75</v>
      </c>
      <c r="W918" s="722">
        <v>0.67</v>
      </c>
      <c r="X918" s="722">
        <v>0.32</v>
      </c>
      <c r="Y918" s="722">
        <v>14.69</v>
      </c>
      <c r="Z918" s="382" t="s">
        <v>934</v>
      </c>
      <c r="AA918" s="372">
        <v>2604.1743393000002</v>
      </c>
      <c r="AB918" s="372">
        <v>2745.7952825000002</v>
      </c>
      <c r="AC918" s="372">
        <v>6107.3107704000004</v>
      </c>
      <c r="AD918" s="372">
        <v>6062.8188928999998</v>
      </c>
      <c r="AE918" s="372">
        <v>0</v>
      </c>
      <c r="AF918" s="372">
        <v>0</v>
      </c>
      <c r="AG918" s="372">
        <v>0</v>
      </c>
      <c r="AH918" s="372">
        <v>0</v>
      </c>
    </row>
    <row r="919" spans="1:34">
      <c r="A919" s="372" t="s">
        <v>6550</v>
      </c>
      <c r="B919" s="373" t="s">
        <v>6551</v>
      </c>
      <c r="C919" s="372" t="s">
        <v>6552</v>
      </c>
      <c r="D919" s="374">
        <v>1812110002548</v>
      </c>
      <c r="E919" s="372" t="s">
        <v>6553</v>
      </c>
      <c r="F919" s="375" t="s">
        <v>6554</v>
      </c>
      <c r="G919" s="375" t="s">
        <v>6554</v>
      </c>
      <c r="H919" s="375" t="s">
        <v>3998</v>
      </c>
      <c r="I919" s="375" t="s">
        <v>755</v>
      </c>
      <c r="J919" s="375">
        <v>768920.15934000001</v>
      </c>
      <c r="K919" s="375">
        <v>11609.909610000001</v>
      </c>
      <c r="L919" s="375">
        <v>-31550.556499999999</v>
      </c>
      <c r="M919" s="375">
        <v>630374.03397999995</v>
      </c>
      <c r="N919" s="372">
        <v>0.92200000000000004</v>
      </c>
      <c r="O919" s="703">
        <v>406.87385773745331</v>
      </c>
      <c r="P919" s="375" t="s">
        <v>623</v>
      </c>
      <c r="Q919" s="372" t="s">
        <v>623</v>
      </c>
      <c r="R919" s="695">
        <v>19890620</v>
      </c>
      <c r="S919" s="372" t="s">
        <v>6555</v>
      </c>
      <c r="T919" s="696" t="s">
        <v>772</v>
      </c>
      <c r="U919" s="372" t="s">
        <v>6556</v>
      </c>
      <c r="V919" s="722">
        <v>10.78</v>
      </c>
      <c r="W919" s="722">
        <v>0.32</v>
      </c>
      <c r="X919" s="722">
        <v>0.26</v>
      </c>
      <c r="Y919" s="722" t="s">
        <v>774</v>
      </c>
      <c r="Z919" s="382" t="s">
        <v>934</v>
      </c>
      <c r="AA919" s="372">
        <v>5279.0765578999999</v>
      </c>
      <c r="AB919" s="372">
        <v>6136.9910582000002</v>
      </c>
      <c r="AC919" s="372">
        <v>7741.0360123</v>
      </c>
      <c r="AD919" s="372">
        <v>7689.2015934000001</v>
      </c>
      <c r="AE919" s="372">
        <v>7935</v>
      </c>
      <c r="AF919" s="372">
        <v>8060</v>
      </c>
      <c r="AG919" s="372">
        <v>0</v>
      </c>
      <c r="AH919" s="372">
        <v>0</v>
      </c>
    </row>
    <row r="920" spans="1:34">
      <c r="A920" s="372" t="s">
        <v>6557</v>
      </c>
      <c r="B920" s="373" t="s">
        <v>6558</v>
      </c>
      <c r="C920" s="372" t="s">
        <v>6559</v>
      </c>
      <c r="D920" s="374">
        <v>1101111118656</v>
      </c>
      <c r="E920" s="372" t="s">
        <v>6560</v>
      </c>
      <c r="F920" s="375" t="s">
        <v>1774</v>
      </c>
      <c r="G920" s="375" t="s">
        <v>6561</v>
      </c>
      <c r="H920" s="375" t="s">
        <v>868</v>
      </c>
      <c r="I920" s="375" t="s">
        <v>869</v>
      </c>
      <c r="J920" s="375">
        <v>63166.127540000001</v>
      </c>
      <c r="K920" s="375">
        <v>6678.8538099999996</v>
      </c>
      <c r="L920" s="375">
        <v>4515.2125299999998</v>
      </c>
      <c r="M920" s="375">
        <v>103420.27863</v>
      </c>
      <c r="N920" s="372">
        <v>1.044</v>
      </c>
      <c r="O920" s="703">
        <v>24.896164176066957</v>
      </c>
      <c r="P920" s="375" t="s">
        <v>623</v>
      </c>
      <c r="Q920" s="372" t="s">
        <v>623</v>
      </c>
      <c r="R920" s="695">
        <v>20000620</v>
      </c>
      <c r="S920" s="372" t="s">
        <v>6562</v>
      </c>
      <c r="T920" s="696">
        <v>0.20900000000000002</v>
      </c>
      <c r="U920" s="372" t="s">
        <v>6563</v>
      </c>
      <c r="V920" s="722">
        <v>21.73</v>
      </c>
      <c r="W920" s="722">
        <v>1.91</v>
      </c>
      <c r="X920" s="722">
        <v>3.13</v>
      </c>
      <c r="Y920" s="722">
        <v>39.270000000000003</v>
      </c>
      <c r="Z920" s="382" t="s">
        <v>934</v>
      </c>
      <c r="AA920" s="372">
        <v>499.11171539999998</v>
      </c>
      <c r="AB920" s="372">
        <v>521.41052239999999</v>
      </c>
      <c r="AC920" s="372">
        <v>494.94570479999999</v>
      </c>
      <c r="AD920" s="372">
        <v>631.66127540000002</v>
      </c>
      <c r="AE920" s="372">
        <v>845</v>
      </c>
      <c r="AF920" s="372">
        <v>0</v>
      </c>
      <c r="AG920" s="372">
        <v>0</v>
      </c>
      <c r="AH920" s="372">
        <v>0</v>
      </c>
    </row>
    <row r="921" spans="1:34">
      <c r="A921" s="372" t="s">
        <v>6564</v>
      </c>
      <c r="B921" s="373" t="s">
        <v>6565</v>
      </c>
      <c r="C921" s="372" t="s">
        <v>6566</v>
      </c>
      <c r="D921" s="374">
        <v>1101113108465</v>
      </c>
      <c r="E921" s="372" t="s">
        <v>6567</v>
      </c>
      <c r="F921" s="372" t="s">
        <v>1381</v>
      </c>
      <c r="G921" s="375" t="s">
        <v>1381</v>
      </c>
      <c r="H921" s="375" t="s">
        <v>1693</v>
      </c>
      <c r="I921" s="375" t="s">
        <v>869</v>
      </c>
      <c r="J921" s="375">
        <v>11721.91403</v>
      </c>
      <c r="K921" s="375">
        <v>-883.67872999999997</v>
      </c>
      <c r="L921" s="375">
        <v>13.043939999999999</v>
      </c>
      <c r="M921" s="375">
        <v>40619.230669999997</v>
      </c>
      <c r="N921" s="372" t="s">
        <v>1033</v>
      </c>
      <c r="O921" s="703">
        <v>3.3540500186090852E-2</v>
      </c>
      <c r="P921" s="375" t="s">
        <v>623</v>
      </c>
      <c r="Q921" s="375" t="s">
        <v>623</v>
      </c>
      <c r="R921" s="695">
        <v>20230215</v>
      </c>
      <c r="S921" s="375" t="s">
        <v>6568</v>
      </c>
      <c r="T921" s="696">
        <v>9.9000000000000005E-2</v>
      </c>
      <c r="U921" s="372" t="s">
        <v>6569</v>
      </c>
      <c r="V921" s="722">
        <v>0</v>
      </c>
      <c r="W921" s="722">
        <v>2.91</v>
      </c>
      <c r="X921" s="722">
        <v>0</v>
      </c>
      <c r="Y921" s="722">
        <v>0</v>
      </c>
      <c r="Z921" s="382" t="s">
        <v>934</v>
      </c>
      <c r="AA921" s="372">
        <v>52.468959699999999</v>
      </c>
      <c r="AB921" s="372">
        <v>54.1384726</v>
      </c>
      <c r="AC921" s="372">
        <v>92.995381600000002</v>
      </c>
      <c r="AD921" s="372">
        <v>117.21914030000001</v>
      </c>
      <c r="AE921" s="372">
        <v>0</v>
      </c>
      <c r="AF921" s="372">
        <v>0</v>
      </c>
      <c r="AG921" s="372">
        <v>0</v>
      </c>
      <c r="AH921" s="372">
        <v>0</v>
      </c>
    </row>
    <row r="922" spans="1:34">
      <c r="A922" s="372" t="s">
        <v>6570</v>
      </c>
      <c r="B922" s="373" t="s">
        <v>6571</v>
      </c>
      <c r="C922" s="372" t="s">
        <v>6572</v>
      </c>
      <c r="D922" s="374">
        <v>1801110054659</v>
      </c>
      <c r="E922" s="372" t="s">
        <v>6573</v>
      </c>
      <c r="F922" s="375" t="s">
        <v>2771</v>
      </c>
      <c r="G922" s="375" t="s">
        <v>6574</v>
      </c>
      <c r="H922" s="375" t="s">
        <v>817</v>
      </c>
      <c r="I922" s="375" t="s">
        <v>755</v>
      </c>
      <c r="J922" s="375">
        <v>213296.30840000001</v>
      </c>
      <c r="K922" s="375">
        <v>-7441.4184999999998</v>
      </c>
      <c r="L922" s="375">
        <v>6878.0272000000004</v>
      </c>
      <c r="M922" s="375">
        <v>257656.26452999999</v>
      </c>
      <c r="N922" s="372">
        <v>0.95599999999999996</v>
      </c>
      <c r="O922" s="703">
        <v>0.45355188503589799</v>
      </c>
      <c r="P922" s="375" t="s">
        <v>16142</v>
      </c>
      <c r="Q922" s="372" t="s">
        <v>16145</v>
      </c>
      <c r="R922" s="695">
        <v>19770618</v>
      </c>
      <c r="S922" s="375" t="s">
        <v>6575</v>
      </c>
      <c r="T922" s="696">
        <v>0.20900000000000002</v>
      </c>
      <c r="U922" s="372" t="s">
        <v>6576</v>
      </c>
      <c r="V922" s="722">
        <v>0</v>
      </c>
      <c r="W922" s="722">
        <v>0.71</v>
      </c>
      <c r="X922" s="722">
        <v>0</v>
      </c>
      <c r="Y922" s="722">
        <v>0</v>
      </c>
      <c r="Z922" s="382" t="s">
        <v>934</v>
      </c>
      <c r="AA922" s="372">
        <v>1964.1961673999999</v>
      </c>
      <c r="AB922" s="372">
        <v>1961.2392331000001</v>
      </c>
      <c r="AC922" s="372">
        <v>2537.0501736000001</v>
      </c>
      <c r="AD922" s="372">
        <v>2132.963084</v>
      </c>
      <c r="AE922" s="372">
        <v>0</v>
      </c>
      <c r="AF922" s="372">
        <v>0</v>
      </c>
      <c r="AG922" s="372">
        <v>0</v>
      </c>
      <c r="AH922" s="372">
        <v>0</v>
      </c>
    </row>
    <row r="923" spans="1:34">
      <c r="A923" s="372" t="s">
        <v>6577</v>
      </c>
      <c r="B923" s="373" t="s">
        <v>6578</v>
      </c>
      <c r="C923" s="372" t="s">
        <v>6579</v>
      </c>
      <c r="D923" s="374">
        <v>1601110024284</v>
      </c>
      <c r="E923" s="372" t="s">
        <v>6580</v>
      </c>
      <c r="F923" s="375" t="s">
        <v>2542</v>
      </c>
      <c r="G923" s="375" t="s">
        <v>2542</v>
      </c>
      <c r="H923" s="375" t="s">
        <v>1693</v>
      </c>
      <c r="I923" s="375" t="s">
        <v>869</v>
      </c>
      <c r="J923" s="375">
        <v>307040.86523</v>
      </c>
      <c r="K923" s="375">
        <v>15360.7556</v>
      </c>
      <c r="L923" s="375">
        <v>20468.76539</v>
      </c>
      <c r="M923" s="375">
        <v>237826.2366</v>
      </c>
      <c r="N923" s="372">
        <v>1.012</v>
      </c>
      <c r="O923" s="703">
        <v>19.120593373006756</v>
      </c>
      <c r="P923" s="375" t="s">
        <v>623</v>
      </c>
      <c r="Q923" s="372" t="s">
        <v>623</v>
      </c>
      <c r="R923" s="695">
        <v>20000718</v>
      </c>
      <c r="S923" s="372" t="s">
        <v>6581</v>
      </c>
      <c r="T923" s="696">
        <v>0.23100000000000001</v>
      </c>
      <c r="U923" s="372" t="s">
        <v>6582</v>
      </c>
      <c r="V923" s="722">
        <v>11.28</v>
      </c>
      <c r="W923" s="722">
        <v>1.1100000000000001</v>
      </c>
      <c r="X923" s="722">
        <v>0.65</v>
      </c>
      <c r="Y923" s="722">
        <v>14.43</v>
      </c>
      <c r="Z923" s="382" t="s">
        <v>934</v>
      </c>
      <c r="AA923" s="372">
        <v>2469.6753216000002</v>
      </c>
      <c r="AB923" s="372">
        <v>2520.0695003000001</v>
      </c>
      <c r="AC923" s="372">
        <v>2861.0615201000001</v>
      </c>
      <c r="AD923" s="372">
        <v>3070.4086523000001</v>
      </c>
      <c r="AE923" s="372">
        <v>3461</v>
      </c>
      <c r="AF923" s="372">
        <v>3808</v>
      </c>
      <c r="AG923" s="372">
        <v>0</v>
      </c>
      <c r="AH923" s="372">
        <v>0</v>
      </c>
    </row>
    <row r="924" spans="1:34">
      <c r="A924" s="372" t="s">
        <v>6583</v>
      </c>
      <c r="B924" s="373" t="s">
        <v>6584</v>
      </c>
      <c r="C924" s="372" t="s">
        <v>6585</v>
      </c>
      <c r="D924" s="374">
        <v>1350110057395</v>
      </c>
      <c r="E924" s="372" t="s">
        <v>6586</v>
      </c>
      <c r="F924" s="375" t="s">
        <v>1334</v>
      </c>
      <c r="G924" s="375" t="s">
        <v>1334</v>
      </c>
      <c r="H924" s="375" t="s">
        <v>788</v>
      </c>
      <c r="I924" s="375" t="s">
        <v>755</v>
      </c>
      <c r="J924" s="375">
        <v>206860.37179</v>
      </c>
      <c r="K924" s="375">
        <v>30861.91562</v>
      </c>
      <c r="L924" s="375">
        <v>33708.268580000004</v>
      </c>
      <c r="M924" s="375">
        <v>159393.12164999999</v>
      </c>
      <c r="N924" s="372">
        <v>0.77600000000000002</v>
      </c>
      <c r="O924" s="703">
        <v>24.023331236998935</v>
      </c>
      <c r="P924" s="375" t="s">
        <v>623</v>
      </c>
      <c r="Q924" s="372" t="s">
        <v>623</v>
      </c>
      <c r="R924" s="695">
        <v>20161027</v>
      </c>
      <c r="S924" s="372" t="s">
        <v>6587</v>
      </c>
      <c r="T924" s="696">
        <v>0.23100000000000001</v>
      </c>
      <c r="U924" s="372" t="s">
        <v>6588</v>
      </c>
      <c r="V924" s="722">
        <v>4.7699999999999996</v>
      </c>
      <c r="W924" s="722">
        <v>1.23</v>
      </c>
      <c r="X924" s="722">
        <v>0.99</v>
      </c>
      <c r="Y924" s="722">
        <v>7.24</v>
      </c>
      <c r="Z924" s="382" t="s">
        <v>934</v>
      </c>
      <c r="AA924" s="372">
        <v>1835.2104508</v>
      </c>
      <c r="AB924" s="372">
        <v>1698.1695001000001</v>
      </c>
      <c r="AC924" s="372">
        <v>1889.3116524</v>
      </c>
      <c r="AD924" s="372">
        <v>2068.6037179</v>
      </c>
      <c r="AE924" s="372">
        <v>2237</v>
      </c>
      <c r="AF924" s="372">
        <v>2425</v>
      </c>
      <c r="AG924" s="372">
        <v>0</v>
      </c>
      <c r="AH924" s="372">
        <v>0</v>
      </c>
    </row>
    <row r="925" spans="1:34">
      <c r="A925" s="372" t="s">
        <v>6589</v>
      </c>
      <c r="B925" s="373" t="s">
        <v>6590</v>
      </c>
      <c r="C925" s="372" t="s">
        <v>6591</v>
      </c>
      <c r="D925" s="374">
        <v>1348110105579</v>
      </c>
      <c r="E925" s="372" t="s">
        <v>6592</v>
      </c>
      <c r="F925" s="375" t="s">
        <v>1195</v>
      </c>
      <c r="G925" s="375" t="s">
        <v>1196</v>
      </c>
      <c r="H925" s="375" t="s">
        <v>868</v>
      </c>
      <c r="I925" s="375" t="s">
        <v>869</v>
      </c>
      <c r="J925" s="375">
        <v>89320.182339999999</v>
      </c>
      <c r="K925" s="375">
        <v>18290.38033</v>
      </c>
      <c r="L925" s="375">
        <v>21035.36246</v>
      </c>
      <c r="M925" s="375">
        <v>91566.126109999997</v>
      </c>
      <c r="N925" s="372">
        <v>0.878</v>
      </c>
      <c r="O925" s="703">
        <v>6.5844601643922083</v>
      </c>
      <c r="P925" s="375" t="s">
        <v>623</v>
      </c>
      <c r="Q925" s="375" t="s">
        <v>623</v>
      </c>
      <c r="R925" s="695">
        <v>20211029</v>
      </c>
      <c r="S925" s="375" t="s">
        <v>6593</v>
      </c>
      <c r="T925" s="696">
        <v>0.23100000000000001</v>
      </c>
      <c r="U925" s="372" t="s">
        <v>6594</v>
      </c>
      <c r="V925" s="722">
        <v>0</v>
      </c>
      <c r="W925" s="722">
        <v>1.85</v>
      </c>
      <c r="X925" s="722">
        <v>0</v>
      </c>
      <c r="Y925" s="722">
        <v>0</v>
      </c>
      <c r="Z925" s="382" t="s">
        <v>934</v>
      </c>
      <c r="AA925" s="372">
        <v>423.9168846</v>
      </c>
      <c r="AB925" s="372">
        <v>521.12857340000005</v>
      </c>
      <c r="AC925" s="372">
        <v>655.92093139999997</v>
      </c>
      <c r="AD925" s="372">
        <v>893.20182339999997</v>
      </c>
      <c r="AE925" s="372">
        <v>0</v>
      </c>
      <c r="AF925" s="372">
        <v>0</v>
      </c>
      <c r="AG925" s="372">
        <v>0</v>
      </c>
      <c r="AH925" s="372">
        <v>0</v>
      </c>
    </row>
    <row r="926" spans="1:34">
      <c r="A926" s="372" t="s">
        <v>6595</v>
      </c>
      <c r="B926" s="373" t="s">
        <v>6596</v>
      </c>
      <c r="C926" s="372" t="s">
        <v>6597</v>
      </c>
      <c r="D926" s="374">
        <v>1701110262452</v>
      </c>
      <c r="E926" s="372" t="s">
        <v>6598</v>
      </c>
      <c r="F926" s="375" t="s">
        <v>1005</v>
      </c>
      <c r="G926" s="375" t="s">
        <v>1006</v>
      </c>
      <c r="H926" s="375" t="s">
        <v>1388</v>
      </c>
      <c r="I926" s="375" t="s">
        <v>869</v>
      </c>
      <c r="J926" s="375">
        <v>62797.170559999999</v>
      </c>
      <c r="K926" s="375">
        <v>-5770.2120100000002</v>
      </c>
      <c r="L926" s="375">
        <v>-693.15957000000003</v>
      </c>
      <c r="M926" s="375">
        <v>120428.98493000001</v>
      </c>
      <c r="N926" s="372">
        <v>1.23</v>
      </c>
      <c r="O926" s="703">
        <v>0.36756039695400916</v>
      </c>
      <c r="P926" s="375" t="s">
        <v>623</v>
      </c>
      <c r="Q926" s="375" t="s">
        <v>623</v>
      </c>
      <c r="R926" s="695">
        <v>20101227</v>
      </c>
      <c r="S926" s="375" t="s">
        <v>6599</v>
      </c>
      <c r="T926" s="696" t="s">
        <v>772</v>
      </c>
      <c r="U926" s="372" t="s">
        <v>16034</v>
      </c>
      <c r="V926" s="722" t="s">
        <v>774</v>
      </c>
      <c r="W926" s="722">
        <v>1.84</v>
      </c>
      <c r="X926" s="722">
        <v>3.37</v>
      </c>
      <c r="Y926" s="722">
        <v>135.55000000000001</v>
      </c>
      <c r="Z926" s="382" t="s">
        <v>934</v>
      </c>
      <c r="AA926" s="372">
        <v>458.02738590000001</v>
      </c>
      <c r="AB926" s="372">
        <v>635.07396500000004</v>
      </c>
      <c r="AC926" s="372">
        <v>580.70355119999999</v>
      </c>
      <c r="AD926" s="372">
        <v>627.97170559999995</v>
      </c>
      <c r="AE926" s="372">
        <v>0</v>
      </c>
      <c r="AF926" s="372">
        <v>0</v>
      </c>
      <c r="AG926" s="372">
        <v>0</v>
      </c>
      <c r="AH926" s="372">
        <v>0</v>
      </c>
    </row>
    <row r="927" spans="1:34">
      <c r="A927" s="372" t="s">
        <v>6600</v>
      </c>
      <c r="B927" s="373" t="s">
        <v>6601</v>
      </c>
      <c r="C927" s="372" t="s">
        <v>6602</v>
      </c>
      <c r="D927" s="374">
        <v>1101110089395</v>
      </c>
      <c r="E927" s="372" t="s">
        <v>6603</v>
      </c>
      <c r="F927" s="375" t="s">
        <v>6604</v>
      </c>
      <c r="G927" s="375" t="s">
        <v>6604</v>
      </c>
      <c r="H927" s="375" t="s">
        <v>832</v>
      </c>
      <c r="I927" s="375" t="s">
        <v>755</v>
      </c>
      <c r="J927" s="375">
        <v>347407.78894</v>
      </c>
      <c r="K927" s="375">
        <v>25209.88838</v>
      </c>
      <c r="L927" s="375">
        <v>23483.559799999999</v>
      </c>
      <c r="M927" s="375">
        <v>268461.03207999998</v>
      </c>
      <c r="N927" s="372">
        <v>0.91400000000000003</v>
      </c>
      <c r="O927" s="703">
        <v>51.546364613961451</v>
      </c>
      <c r="P927" s="375" t="s">
        <v>623</v>
      </c>
      <c r="Q927" s="372" t="s">
        <v>623</v>
      </c>
      <c r="R927" s="695">
        <v>19770630</v>
      </c>
      <c r="S927" s="372" t="s">
        <v>6605</v>
      </c>
      <c r="T927" s="696">
        <v>0.23100000000000001</v>
      </c>
      <c r="U927" s="375" t="s">
        <v>6606</v>
      </c>
      <c r="V927" s="722">
        <v>8.52</v>
      </c>
      <c r="W927" s="722">
        <v>0.81</v>
      </c>
      <c r="X927" s="722">
        <v>0.56999999999999995</v>
      </c>
      <c r="Y927" s="722">
        <v>10.5</v>
      </c>
      <c r="Z927" s="382" t="s">
        <v>934</v>
      </c>
      <c r="AA927" s="372">
        <v>2482.955238</v>
      </c>
      <c r="AB927" s="372">
        <v>2702.6944963999999</v>
      </c>
      <c r="AC927" s="372">
        <v>3616.0457308</v>
      </c>
      <c r="AD927" s="372">
        <v>3474.0778894</v>
      </c>
      <c r="AE927" s="372">
        <v>0</v>
      </c>
      <c r="AF927" s="372">
        <v>0</v>
      </c>
      <c r="AG927" s="372">
        <v>0</v>
      </c>
      <c r="AH927" s="372">
        <v>0</v>
      </c>
    </row>
    <row r="928" spans="1:34">
      <c r="A928" s="372" t="s">
        <v>6607</v>
      </c>
      <c r="B928" s="373" t="s">
        <v>6608</v>
      </c>
      <c r="C928" s="372" t="s">
        <v>6609</v>
      </c>
      <c r="D928" s="374">
        <v>1301110011807</v>
      </c>
      <c r="E928" s="372" t="s">
        <v>6610</v>
      </c>
      <c r="F928" s="372" t="s">
        <v>4341</v>
      </c>
      <c r="G928" s="375" t="s">
        <v>4341</v>
      </c>
      <c r="H928" s="375" t="s">
        <v>975</v>
      </c>
      <c r="I928" s="375" t="s">
        <v>755</v>
      </c>
      <c r="J928" s="375">
        <v>108288.13679999999</v>
      </c>
      <c r="K928" s="375">
        <v>4743.6696499999998</v>
      </c>
      <c r="L928" s="375">
        <v>899.33414000000005</v>
      </c>
      <c r="M928" s="375">
        <v>145588.74093</v>
      </c>
      <c r="N928" s="372">
        <v>0.79200000000000004</v>
      </c>
      <c r="O928" s="703">
        <v>38.737995809075322</v>
      </c>
      <c r="P928" s="375" t="s">
        <v>623</v>
      </c>
      <c r="Q928" s="375" t="s">
        <v>623</v>
      </c>
      <c r="R928" s="695">
        <v>19891214</v>
      </c>
      <c r="S928" s="375" t="s">
        <v>6611</v>
      </c>
      <c r="T928" s="696">
        <v>0.20900000000000002</v>
      </c>
      <c r="U928" s="375" t="s">
        <v>6612</v>
      </c>
      <c r="V928" s="722">
        <v>19.54</v>
      </c>
      <c r="W928" s="722">
        <v>1.4</v>
      </c>
      <c r="X928" s="722">
        <v>1.77</v>
      </c>
      <c r="Y928" s="722" t="s">
        <v>774</v>
      </c>
      <c r="Z928" s="382" t="s">
        <v>934</v>
      </c>
      <c r="AA928" s="372">
        <v>1262.4878174</v>
      </c>
      <c r="AB928" s="372">
        <v>1233.4336976</v>
      </c>
      <c r="AC928" s="372">
        <v>1204.4464556999999</v>
      </c>
      <c r="AD928" s="372">
        <v>1082.8813680000001</v>
      </c>
      <c r="AE928" s="372">
        <v>0</v>
      </c>
      <c r="AF928" s="372">
        <v>0</v>
      </c>
      <c r="AG928" s="372">
        <v>0</v>
      </c>
      <c r="AH928" s="372">
        <v>0</v>
      </c>
    </row>
    <row r="929" spans="1:34">
      <c r="A929" s="372" t="s">
        <v>6613</v>
      </c>
      <c r="B929" s="373" t="s">
        <v>6614</v>
      </c>
      <c r="C929" s="372" t="s">
        <v>6615</v>
      </c>
      <c r="D929" s="374">
        <v>1101110032568</v>
      </c>
      <c r="E929" s="372" t="s">
        <v>6616</v>
      </c>
      <c r="F929" s="375" t="s">
        <v>1334</v>
      </c>
      <c r="G929" s="375" t="s">
        <v>1334</v>
      </c>
      <c r="H929" s="375" t="s">
        <v>788</v>
      </c>
      <c r="I929" s="375" t="s">
        <v>755</v>
      </c>
      <c r="J929" s="375">
        <v>51955.037960000001</v>
      </c>
      <c r="K929" s="375">
        <v>-18037.0697</v>
      </c>
      <c r="L929" s="375">
        <v>-23674.91705</v>
      </c>
      <c r="M929" s="375">
        <v>77584.546530000007</v>
      </c>
      <c r="N929" s="372">
        <v>0.875</v>
      </c>
      <c r="O929" s="703">
        <v>0.36826882708492104</v>
      </c>
      <c r="P929" s="375" t="s">
        <v>623</v>
      </c>
      <c r="Q929" s="372" t="s">
        <v>623</v>
      </c>
      <c r="R929" s="695">
        <v>19750704</v>
      </c>
      <c r="S929" s="372" t="s">
        <v>6617</v>
      </c>
      <c r="T929" s="696" t="s">
        <v>772</v>
      </c>
      <c r="U929" s="372" t="s">
        <v>6618</v>
      </c>
      <c r="V929" s="722">
        <v>0</v>
      </c>
      <c r="W929" s="722">
        <v>1.88</v>
      </c>
      <c r="X929" s="722">
        <v>0</v>
      </c>
      <c r="Y929" s="722">
        <v>0</v>
      </c>
      <c r="Z929" s="382" t="s">
        <v>934</v>
      </c>
      <c r="AA929" s="372">
        <v>482.6917224</v>
      </c>
      <c r="AB929" s="372">
        <v>549.01130220000005</v>
      </c>
      <c r="AC929" s="372">
        <v>518.3223385</v>
      </c>
      <c r="AD929" s="372">
        <v>519.55037960000004</v>
      </c>
      <c r="AE929" s="372">
        <v>0</v>
      </c>
      <c r="AF929" s="372">
        <v>0</v>
      </c>
      <c r="AG929" s="372">
        <v>0</v>
      </c>
      <c r="AH929" s="372">
        <v>0</v>
      </c>
    </row>
    <row r="930" spans="1:34">
      <c r="A930" s="372" t="s">
        <v>6619</v>
      </c>
      <c r="B930" s="373" t="s">
        <v>6620</v>
      </c>
      <c r="C930" s="372" t="s">
        <v>6621</v>
      </c>
      <c r="D930" s="374">
        <v>1101112203951</v>
      </c>
      <c r="E930" s="372" t="s">
        <v>6622</v>
      </c>
      <c r="F930" s="375" t="s">
        <v>1062</v>
      </c>
      <c r="G930" s="375" t="s">
        <v>1062</v>
      </c>
      <c r="H930" s="375" t="s">
        <v>868</v>
      </c>
      <c r="I930" s="375" t="s">
        <v>869</v>
      </c>
      <c r="J930" s="375">
        <v>54305.557869999997</v>
      </c>
      <c r="K930" s="375">
        <v>3886.0851299999999</v>
      </c>
      <c r="L930" s="375">
        <v>3711.6619000000001</v>
      </c>
      <c r="M930" s="375">
        <v>77187.6823</v>
      </c>
      <c r="N930" s="372">
        <v>0.73299999999999998</v>
      </c>
      <c r="O930" s="703">
        <v>26.933307435602867</v>
      </c>
      <c r="P930" s="375" t="s">
        <v>623</v>
      </c>
      <c r="Q930" s="372" t="s">
        <v>623</v>
      </c>
      <c r="R930" s="695">
        <v>20090203</v>
      </c>
      <c r="S930" s="375" t="s">
        <v>6623</v>
      </c>
      <c r="T930" s="696">
        <v>0.20900000000000002</v>
      </c>
      <c r="U930" s="375" t="s">
        <v>6624</v>
      </c>
      <c r="V930" s="722">
        <v>0</v>
      </c>
      <c r="W930" s="722">
        <v>2.71</v>
      </c>
      <c r="X930" s="722">
        <v>0</v>
      </c>
      <c r="Y930" s="722">
        <v>0</v>
      </c>
      <c r="Z930" s="382" t="s">
        <v>934</v>
      </c>
      <c r="AA930" s="372">
        <v>256.07265319999999</v>
      </c>
      <c r="AB930" s="372">
        <v>280.18475230000001</v>
      </c>
      <c r="AC930" s="372">
        <v>411.69946640000001</v>
      </c>
      <c r="AD930" s="372">
        <v>543.05557869999996</v>
      </c>
      <c r="AE930" s="372">
        <v>0</v>
      </c>
      <c r="AF930" s="372">
        <v>0</v>
      </c>
      <c r="AG930" s="372">
        <v>0</v>
      </c>
      <c r="AH930" s="372">
        <v>0</v>
      </c>
    </row>
    <row r="931" spans="1:34">
      <c r="A931" s="372" t="s">
        <v>6625</v>
      </c>
      <c r="B931" s="373" t="s">
        <v>6626</v>
      </c>
      <c r="C931" s="372" t="s">
        <v>6627</v>
      </c>
      <c r="D931" s="374">
        <v>1101110037005</v>
      </c>
      <c r="E931" s="372" t="s">
        <v>6628</v>
      </c>
      <c r="F931" s="375" t="s">
        <v>1334</v>
      </c>
      <c r="G931" s="375" t="s">
        <v>1334</v>
      </c>
      <c r="H931" s="375" t="s">
        <v>788</v>
      </c>
      <c r="I931" s="375" t="s">
        <v>755</v>
      </c>
      <c r="J931" s="375">
        <v>522741.07952999999</v>
      </c>
      <c r="K931" s="375">
        <v>12578.83202</v>
      </c>
      <c r="L931" s="375">
        <v>-33507.87111</v>
      </c>
      <c r="M931" s="375">
        <v>340633.13274999999</v>
      </c>
      <c r="N931" s="372">
        <v>0.995</v>
      </c>
      <c r="O931" s="703">
        <v>157.61038333833415</v>
      </c>
      <c r="P931" s="375" t="s">
        <v>623</v>
      </c>
      <c r="Q931" s="372" t="s">
        <v>623</v>
      </c>
      <c r="R931" s="695">
        <v>19760630</v>
      </c>
      <c r="S931" s="372" t="s">
        <v>6629</v>
      </c>
      <c r="T931" s="696" t="s">
        <v>772</v>
      </c>
      <c r="U931" s="372" t="s">
        <v>6630</v>
      </c>
      <c r="V931" s="722">
        <v>13.62</v>
      </c>
      <c r="W931" s="722">
        <v>0.57999999999999996</v>
      </c>
      <c r="X931" s="722">
        <v>0.38</v>
      </c>
      <c r="Y931" s="722" t="s">
        <v>774</v>
      </c>
      <c r="Z931" s="382" t="s">
        <v>934</v>
      </c>
      <c r="AA931" s="372">
        <v>5036.1187969000002</v>
      </c>
      <c r="AB931" s="372">
        <v>5176.4106942999997</v>
      </c>
      <c r="AC931" s="372">
        <v>5437.5915191000004</v>
      </c>
      <c r="AD931" s="372">
        <v>5227.4107953000002</v>
      </c>
      <c r="AE931" s="372">
        <v>0</v>
      </c>
      <c r="AF931" s="372">
        <v>0</v>
      </c>
      <c r="AG931" s="372">
        <v>0</v>
      </c>
      <c r="AH931" s="372">
        <v>0</v>
      </c>
    </row>
    <row r="932" spans="1:34">
      <c r="A932" s="372" t="s">
        <v>6631</v>
      </c>
      <c r="B932" s="373" t="s">
        <v>6632</v>
      </c>
      <c r="C932" s="372" t="s">
        <v>6633</v>
      </c>
      <c r="D932" s="374">
        <v>1752110009005</v>
      </c>
      <c r="E932" s="372" t="s">
        <v>6634</v>
      </c>
      <c r="F932" s="375" t="s">
        <v>6635</v>
      </c>
      <c r="G932" s="375" t="s">
        <v>6636</v>
      </c>
      <c r="H932" s="375" t="s">
        <v>853</v>
      </c>
      <c r="I932" s="375" t="s">
        <v>755</v>
      </c>
      <c r="J932" s="375">
        <v>444950.94050999999</v>
      </c>
      <c r="K932" s="375">
        <v>24838.126049999999</v>
      </c>
      <c r="L932" s="375">
        <v>17580.987359999999</v>
      </c>
      <c r="M932" s="375">
        <v>185573.86345</v>
      </c>
      <c r="N932" s="372">
        <v>0.83799999999999997</v>
      </c>
      <c r="O932" s="703">
        <v>48.285030075714715</v>
      </c>
      <c r="P932" s="375" t="s">
        <v>623</v>
      </c>
      <c r="Q932" s="375" t="s">
        <v>623</v>
      </c>
      <c r="R932" s="695">
        <v>20201112</v>
      </c>
      <c r="S932" s="375" t="s">
        <v>6637</v>
      </c>
      <c r="T932" s="696">
        <v>0.20900000000000002</v>
      </c>
      <c r="U932" s="372" t="s">
        <v>6638</v>
      </c>
      <c r="V932" s="722">
        <v>5.98</v>
      </c>
      <c r="W932" s="722">
        <v>0.99</v>
      </c>
      <c r="X932" s="722">
        <v>0.42</v>
      </c>
      <c r="Y932" s="722">
        <v>12.94</v>
      </c>
      <c r="Z932" s="382">
        <v>5.580475894228476E-2</v>
      </c>
      <c r="AA932" s="372">
        <v>4476.2819890999999</v>
      </c>
      <c r="AB932" s="372">
        <v>5076.2821543999999</v>
      </c>
      <c r="AC932" s="372">
        <v>5174.5745788000004</v>
      </c>
      <c r="AD932" s="372">
        <v>4449.5094050999996</v>
      </c>
      <c r="AE932" s="372">
        <v>4744.45</v>
      </c>
      <c r="AF932" s="372">
        <v>4983.3500000000004</v>
      </c>
      <c r="AG932" s="372">
        <v>5529</v>
      </c>
      <c r="AH932" s="372">
        <v>0</v>
      </c>
    </row>
    <row r="933" spans="1:34">
      <c r="A933" s="372" t="s">
        <v>6639</v>
      </c>
      <c r="B933" s="373" t="s">
        <v>6640</v>
      </c>
      <c r="C933" s="372" t="s">
        <v>6641</v>
      </c>
      <c r="D933" s="374">
        <v>1101110134877</v>
      </c>
      <c r="E933" s="372" t="s">
        <v>6642</v>
      </c>
      <c r="F933" s="375" t="s">
        <v>1867</v>
      </c>
      <c r="G933" s="375" t="s">
        <v>1868</v>
      </c>
      <c r="H933" s="375" t="s">
        <v>1397</v>
      </c>
      <c r="I933" s="375" t="s">
        <v>755</v>
      </c>
      <c r="J933" s="375">
        <v>2217626.0155699998</v>
      </c>
      <c r="K933" s="375">
        <v>21804.19371</v>
      </c>
      <c r="L933" s="375">
        <v>-1554.84267</v>
      </c>
      <c r="M933" s="375">
        <v>469814.43848000001</v>
      </c>
      <c r="N933" s="372">
        <v>0.85499999999999998</v>
      </c>
      <c r="O933" s="703">
        <v>208.63135032946087</v>
      </c>
      <c r="P933" s="375" t="s">
        <v>623</v>
      </c>
      <c r="Q933" s="375" t="s">
        <v>623</v>
      </c>
      <c r="R933" s="695">
        <v>19760626</v>
      </c>
      <c r="S933" s="375" t="s">
        <v>6643</v>
      </c>
      <c r="T933" s="696" t="s">
        <v>772</v>
      </c>
      <c r="U933" s="372" t="s">
        <v>6644</v>
      </c>
      <c r="V933" s="722">
        <v>8.67</v>
      </c>
      <c r="W933" s="722">
        <v>0.4</v>
      </c>
      <c r="X933" s="722">
        <v>0.09</v>
      </c>
      <c r="Y933" s="722">
        <v>174.44</v>
      </c>
      <c r="Z933" s="382">
        <v>-4.097718289094332E-3</v>
      </c>
      <c r="AA933" s="372">
        <v>18295.790649300001</v>
      </c>
      <c r="AB933" s="372">
        <v>20650.762153899999</v>
      </c>
      <c r="AC933" s="372">
        <v>20485.071748400002</v>
      </c>
      <c r="AD933" s="372">
        <v>22176.260155700002</v>
      </c>
      <c r="AE933" s="372">
        <v>20579.8</v>
      </c>
      <c r="AF933" s="372">
        <v>21383.8</v>
      </c>
      <c r="AG933" s="372">
        <v>21815</v>
      </c>
      <c r="AH933" s="372">
        <v>23210</v>
      </c>
    </row>
    <row r="934" spans="1:34">
      <c r="A934" s="372" t="s">
        <v>6645</v>
      </c>
      <c r="B934" s="373" t="s">
        <v>6646</v>
      </c>
      <c r="C934" s="372" t="s">
        <v>6647</v>
      </c>
      <c r="D934" s="374">
        <v>1345110044939</v>
      </c>
      <c r="E934" s="372" t="s">
        <v>6648</v>
      </c>
      <c r="F934" s="375" t="s">
        <v>2450</v>
      </c>
      <c r="G934" s="375" t="s">
        <v>2451</v>
      </c>
      <c r="H934" s="375" t="s">
        <v>868</v>
      </c>
      <c r="I934" s="375" t="s">
        <v>869</v>
      </c>
      <c r="J934" s="375">
        <v>0</v>
      </c>
      <c r="K934" s="375">
        <v>0</v>
      </c>
      <c r="L934" s="375">
        <v>0</v>
      </c>
      <c r="M934" s="375">
        <v>26555.55861</v>
      </c>
      <c r="N934" s="372" t="s">
        <v>1033</v>
      </c>
      <c r="O934" s="703">
        <v>0.15227941381893906</v>
      </c>
      <c r="P934" s="375" t="s">
        <v>623</v>
      </c>
      <c r="Q934" s="372" t="s">
        <v>623</v>
      </c>
      <c r="R934" s="695">
        <v>20231010</v>
      </c>
      <c r="S934" s="372" t="s">
        <v>6649</v>
      </c>
      <c r="T934" s="696" t="s">
        <v>772</v>
      </c>
      <c r="U934" s="372" t="s">
        <v>6650</v>
      </c>
      <c r="V934" s="722">
        <v>0</v>
      </c>
      <c r="W934" s="722">
        <v>5.26</v>
      </c>
      <c r="X934" s="722">
        <v>0</v>
      </c>
      <c r="Y934" s="722">
        <v>0</v>
      </c>
      <c r="Z934" s="382" t="s">
        <v>934</v>
      </c>
      <c r="AA934" s="372">
        <v>57.65</v>
      </c>
      <c r="AB934" s="372">
        <v>73.278784200000004</v>
      </c>
      <c r="AC934" s="372">
        <v>107.567177</v>
      </c>
      <c r="AD934" s="372">
        <v>64.698052200000006</v>
      </c>
      <c r="AE934" s="372">
        <v>0</v>
      </c>
      <c r="AF934" s="372">
        <v>0</v>
      </c>
      <c r="AG934" s="372">
        <v>0</v>
      </c>
      <c r="AH934" s="372">
        <v>0</v>
      </c>
    </row>
    <row r="935" spans="1:34">
      <c r="A935" s="372" t="s">
        <v>6651</v>
      </c>
      <c r="B935" s="373" t="s">
        <v>6652</v>
      </c>
      <c r="C935" s="372" t="s">
        <v>6653</v>
      </c>
      <c r="D935" s="374">
        <v>1246110260311</v>
      </c>
      <c r="E935" s="372" t="s">
        <v>6654</v>
      </c>
      <c r="F935" s="375" t="s">
        <v>1259</v>
      </c>
      <c r="G935" s="375" t="s">
        <v>1259</v>
      </c>
      <c r="H935" s="375" t="s">
        <v>868</v>
      </c>
      <c r="I935" s="375" t="s">
        <v>869</v>
      </c>
      <c r="J935" s="375">
        <v>13968.01647</v>
      </c>
      <c r="K935" s="375">
        <v>-8411.5010600000005</v>
      </c>
      <c r="L935" s="375">
        <v>-6700.5023899999997</v>
      </c>
      <c r="M935" s="375">
        <v>63914.372130000003</v>
      </c>
      <c r="N935" s="372">
        <v>0.47199999999999998</v>
      </c>
      <c r="O935" s="703">
        <v>1.2644385700351024</v>
      </c>
      <c r="P935" s="375" t="s">
        <v>623</v>
      </c>
      <c r="Q935" s="375" t="s">
        <v>623</v>
      </c>
      <c r="R935" s="695">
        <v>20150813</v>
      </c>
      <c r="S935" s="375" t="s">
        <v>6655</v>
      </c>
      <c r="T935" s="696" t="s">
        <v>772</v>
      </c>
      <c r="U935" s="375" t="s">
        <v>6656</v>
      </c>
      <c r="V935" s="722" t="s">
        <v>774</v>
      </c>
      <c r="W935" s="722">
        <v>3.65</v>
      </c>
      <c r="X935" s="722">
        <v>16.690000000000001</v>
      </c>
      <c r="Y935" s="722" t="s">
        <v>774</v>
      </c>
      <c r="Z935" s="382" t="s">
        <v>934</v>
      </c>
      <c r="AA935" s="372">
        <v>110.1329775</v>
      </c>
      <c r="AB935" s="372">
        <v>118.18366829999999</v>
      </c>
      <c r="AC935" s="372">
        <v>125.73624100000001</v>
      </c>
      <c r="AD935" s="372">
        <v>139.68016470000001</v>
      </c>
      <c r="AE935" s="372">
        <v>0</v>
      </c>
      <c r="AF935" s="372">
        <v>0</v>
      </c>
      <c r="AG935" s="372">
        <v>0</v>
      </c>
      <c r="AH935" s="372">
        <v>0</v>
      </c>
    </row>
    <row r="936" spans="1:34">
      <c r="A936" s="372" t="s">
        <v>6657</v>
      </c>
      <c r="B936" s="373" t="s">
        <v>6658</v>
      </c>
      <c r="C936" s="372" t="s">
        <v>6659</v>
      </c>
      <c r="D936" s="374">
        <v>1201110003765</v>
      </c>
      <c r="E936" s="372" t="s">
        <v>6660</v>
      </c>
      <c r="F936" s="375" t="s">
        <v>1334</v>
      </c>
      <c r="G936" s="375" t="s">
        <v>1334</v>
      </c>
      <c r="H936" s="375" t="s">
        <v>868</v>
      </c>
      <c r="I936" s="375" t="s">
        <v>869</v>
      </c>
      <c r="J936" s="375">
        <v>162674.09895000001</v>
      </c>
      <c r="K936" s="375">
        <v>-24954.556700000001</v>
      </c>
      <c r="L936" s="375">
        <v>-18503.488239999999</v>
      </c>
      <c r="M936" s="375">
        <v>228477.04212</v>
      </c>
      <c r="N936" s="372">
        <v>0.74099999999999999</v>
      </c>
      <c r="O936" s="703">
        <v>9.0833654470421568</v>
      </c>
      <c r="P936" s="375" t="s">
        <v>623</v>
      </c>
      <c r="Q936" s="375" t="s">
        <v>623</v>
      </c>
      <c r="R936" s="695">
        <v>19921211</v>
      </c>
      <c r="S936" s="375" t="s">
        <v>6661</v>
      </c>
      <c r="T936" s="696" t="s">
        <v>772</v>
      </c>
      <c r="U936" s="375" t="s">
        <v>6662</v>
      </c>
      <c r="V936" s="722" t="s">
        <v>774</v>
      </c>
      <c r="W936" s="722">
        <v>0.79</v>
      </c>
      <c r="X936" s="722">
        <v>1.25</v>
      </c>
      <c r="Y936" s="722" t="s">
        <v>774</v>
      </c>
      <c r="Z936" s="382" t="s">
        <v>934</v>
      </c>
      <c r="AA936" s="372">
        <v>1738.2765999999999</v>
      </c>
      <c r="AB936" s="372">
        <v>1776.1083001</v>
      </c>
      <c r="AC936" s="372">
        <v>1827.1815721999999</v>
      </c>
      <c r="AD936" s="372">
        <v>1626.7409895000001</v>
      </c>
      <c r="AE936" s="372">
        <v>0</v>
      </c>
      <c r="AF936" s="372">
        <v>0</v>
      </c>
      <c r="AG936" s="372">
        <v>0</v>
      </c>
      <c r="AH936" s="372">
        <v>0</v>
      </c>
    </row>
    <row r="937" spans="1:34">
      <c r="A937" s="372" t="s">
        <v>6663</v>
      </c>
      <c r="B937" s="373" t="s">
        <v>6664</v>
      </c>
      <c r="C937" s="372" t="s">
        <v>6665</v>
      </c>
      <c r="D937" s="374">
        <v>1101111627011</v>
      </c>
      <c r="E937" s="372" t="s">
        <v>6666</v>
      </c>
      <c r="F937" s="375" t="s">
        <v>1076</v>
      </c>
      <c r="G937" s="375" t="s">
        <v>2355</v>
      </c>
      <c r="H937" s="375" t="s">
        <v>3127</v>
      </c>
      <c r="I937" s="375" t="s">
        <v>869</v>
      </c>
      <c r="J937" s="375">
        <v>44965.8678</v>
      </c>
      <c r="K937" s="375">
        <v>-3547.80593</v>
      </c>
      <c r="L937" s="375">
        <v>-6901.1164799999997</v>
      </c>
      <c r="M937" s="375">
        <v>116763.18307</v>
      </c>
      <c r="N937" s="372">
        <v>0.92800000000000005</v>
      </c>
      <c r="O937" s="703">
        <v>43.905044898271242</v>
      </c>
      <c r="P937" s="375" t="s">
        <v>623</v>
      </c>
      <c r="Q937" s="375" t="s">
        <v>623</v>
      </c>
      <c r="R937" s="695">
        <v>20080701</v>
      </c>
      <c r="S937" s="375" t="s">
        <v>6667</v>
      </c>
      <c r="T937" s="696" t="s">
        <v>772</v>
      </c>
      <c r="U937" s="375" t="s">
        <v>6668</v>
      </c>
      <c r="V937" s="722" t="s">
        <v>774</v>
      </c>
      <c r="W937" s="722">
        <v>1.83</v>
      </c>
      <c r="X937" s="722">
        <v>4.95</v>
      </c>
      <c r="Y937" s="722" t="s">
        <v>774</v>
      </c>
      <c r="Z937" s="382" t="s">
        <v>934</v>
      </c>
      <c r="AA937" s="372">
        <v>288.50755679999997</v>
      </c>
      <c r="AB937" s="372">
        <v>790.20050509999999</v>
      </c>
      <c r="AC937" s="372">
        <v>551.37015980000001</v>
      </c>
      <c r="AD937" s="372">
        <v>449.65867800000001</v>
      </c>
      <c r="AE937" s="372">
        <v>1120</v>
      </c>
      <c r="AF937" s="372">
        <v>0</v>
      </c>
      <c r="AG937" s="372">
        <v>0</v>
      </c>
      <c r="AH937" s="372">
        <v>0</v>
      </c>
    </row>
    <row r="938" spans="1:34">
      <c r="A938" s="372" t="s">
        <v>6669</v>
      </c>
      <c r="B938" s="373" t="s">
        <v>6670</v>
      </c>
      <c r="C938" s="372" t="s">
        <v>6671</v>
      </c>
      <c r="D938" s="374">
        <v>1311110433589</v>
      </c>
      <c r="E938" s="372" t="s">
        <v>6672</v>
      </c>
      <c r="F938" s="375" t="s">
        <v>6673</v>
      </c>
      <c r="G938" s="375" t="s">
        <v>6673</v>
      </c>
      <c r="H938" s="375" t="s">
        <v>868</v>
      </c>
      <c r="I938" s="375" t="s">
        <v>869</v>
      </c>
      <c r="J938" s="375">
        <v>94630.270170000003</v>
      </c>
      <c r="K938" s="375">
        <v>16661.341799999998</v>
      </c>
      <c r="L938" s="375">
        <v>24625.37602</v>
      </c>
      <c r="M938" s="375">
        <v>204104.61449000001</v>
      </c>
      <c r="N938" s="372">
        <v>0.78100000000000003</v>
      </c>
      <c r="O938" s="703">
        <v>8.8234416943233168E-2</v>
      </c>
      <c r="P938" s="375" t="s">
        <v>623</v>
      </c>
      <c r="Q938" s="375" t="s">
        <v>623</v>
      </c>
      <c r="R938" s="695">
        <v>20160205</v>
      </c>
      <c r="S938" s="375" t="s">
        <v>6674</v>
      </c>
      <c r="T938" s="696">
        <v>0.23100000000000001</v>
      </c>
      <c r="U938" s="375" t="s">
        <v>6675</v>
      </c>
      <c r="V938" s="722">
        <v>7.43</v>
      </c>
      <c r="W938" s="722">
        <v>0.71</v>
      </c>
      <c r="X938" s="722">
        <v>1.58</v>
      </c>
      <c r="Y938" s="722">
        <v>6.53</v>
      </c>
      <c r="Z938" s="382" t="s">
        <v>934</v>
      </c>
      <c r="AA938" s="372">
        <v>577.69865909999999</v>
      </c>
      <c r="AB938" s="372">
        <v>725.72220100000004</v>
      </c>
      <c r="AC938" s="372">
        <v>893.97131100000001</v>
      </c>
      <c r="AD938" s="372">
        <v>946.30270169999994</v>
      </c>
      <c r="AE938" s="372">
        <v>1086</v>
      </c>
      <c r="AF938" s="372">
        <v>1236.5</v>
      </c>
      <c r="AG938" s="372">
        <v>0</v>
      </c>
      <c r="AH938" s="372">
        <v>0</v>
      </c>
    </row>
    <row r="939" spans="1:34">
      <c r="A939" s="372" t="s">
        <v>6676</v>
      </c>
      <c r="B939" s="373" t="s">
        <v>6677</v>
      </c>
      <c r="C939" s="372" t="s">
        <v>6678</v>
      </c>
      <c r="D939" s="374">
        <v>1101111468093</v>
      </c>
      <c r="E939" s="372" t="s">
        <v>6679</v>
      </c>
      <c r="F939" s="375" t="s">
        <v>6680</v>
      </c>
      <c r="G939" s="375" t="s">
        <v>6680</v>
      </c>
      <c r="H939" s="375" t="s">
        <v>3127</v>
      </c>
      <c r="I939" s="375" t="s">
        <v>869</v>
      </c>
      <c r="J939" s="375">
        <v>3423866.5803999999</v>
      </c>
      <c r="K939" s="375">
        <v>2909.6406099999999</v>
      </c>
      <c r="L939" s="375">
        <v>-6545.2372699999996</v>
      </c>
      <c r="M939" s="375">
        <v>833929.94955999998</v>
      </c>
      <c r="N939" s="372">
        <v>1.2490000000000001</v>
      </c>
      <c r="O939" s="703">
        <v>72.875225849155896</v>
      </c>
      <c r="P939" s="375" t="s">
        <v>623</v>
      </c>
      <c r="Q939" s="372" t="s">
        <v>623</v>
      </c>
      <c r="R939" s="695">
        <v>19990701</v>
      </c>
      <c r="S939" s="372" t="s">
        <v>6681</v>
      </c>
      <c r="T939" s="696" t="s">
        <v>772</v>
      </c>
      <c r="U939" s="372" t="s">
        <v>6682</v>
      </c>
      <c r="V939" s="722">
        <v>10.14</v>
      </c>
      <c r="W939" s="722">
        <v>0.34</v>
      </c>
      <c r="X939" s="722">
        <v>0.06</v>
      </c>
      <c r="Y939" s="722" t="s">
        <v>774</v>
      </c>
      <c r="Z939" s="382" t="s">
        <v>934</v>
      </c>
      <c r="AA939" s="372">
        <v>28365.474869999998</v>
      </c>
      <c r="AB939" s="372">
        <v>31157.784964300001</v>
      </c>
      <c r="AC939" s="372">
        <v>35848.457931299999</v>
      </c>
      <c r="AD939" s="372">
        <v>34238.665803999997</v>
      </c>
      <c r="AE939" s="372">
        <v>0</v>
      </c>
      <c r="AF939" s="372">
        <v>0</v>
      </c>
      <c r="AG939" s="372">
        <v>0</v>
      </c>
      <c r="AH939" s="372">
        <v>0</v>
      </c>
    </row>
    <row r="940" spans="1:34">
      <c r="A940" s="372" t="s">
        <v>6683</v>
      </c>
      <c r="B940" s="373" t="s">
        <v>6684</v>
      </c>
      <c r="C940" s="372" t="s">
        <v>6685</v>
      </c>
      <c r="D940" s="374">
        <v>1101110244965</v>
      </c>
      <c r="E940" s="372" t="s">
        <v>6686</v>
      </c>
      <c r="F940" s="375" t="s">
        <v>6687</v>
      </c>
      <c r="G940" s="375" t="s">
        <v>6688</v>
      </c>
      <c r="H940" s="375" t="s">
        <v>868</v>
      </c>
      <c r="I940" s="375" t="s">
        <v>869</v>
      </c>
      <c r="J940" s="375">
        <v>62134.749170000003</v>
      </c>
      <c r="K940" s="375">
        <v>-6918.7024600000004</v>
      </c>
      <c r="L940" s="375">
        <v>1641.6209899999999</v>
      </c>
      <c r="M940" s="375">
        <v>185477.21505999999</v>
      </c>
      <c r="N940" s="372">
        <v>0.96599999999999997</v>
      </c>
      <c r="O940" s="703">
        <v>0.38761437301185847</v>
      </c>
      <c r="P940" s="375" t="s">
        <v>623</v>
      </c>
      <c r="Q940" s="372" t="s">
        <v>623</v>
      </c>
      <c r="R940" s="695">
        <v>19961024</v>
      </c>
      <c r="S940" s="372" t="s">
        <v>6689</v>
      </c>
      <c r="T940" s="696">
        <v>0.20900000000000002</v>
      </c>
      <c r="U940" s="372" t="s">
        <v>6690</v>
      </c>
      <c r="V940" s="722">
        <v>0</v>
      </c>
      <c r="W940" s="722">
        <v>1.5</v>
      </c>
      <c r="X940" s="722">
        <v>0</v>
      </c>
      <c r="Y940" s="722">
        <v>0</v>
      </c>
      <c r="Z940" s="382" t="s">
        <v>934</v>
      </c>
      <c r="AA940" s="372">
        <v>488.50783130000002</v>
      </c>
      <c r="AB940" s="372">
        <v>443.9850879</v>
      </c>
      <c r="AC940" s="372">
        <v>448.97819850000002</v>
      </c>
      <c r="AD940" s="372">
        <v>621.34749169999998</v>
      </c>
      <c r="AE940" s="372">
        <v>0</v>
      </c>
      <c r="AF940" s="372">
        <v>0</v>
      </c>
      <c r="AG940" s="372">
        <v>0</v>
      </c>
      <c r="AH940" s="372">
        <v>0</v>
      </c>
    </row>
    <row r="941" spans="1:34">
      <c r="A941" s="372" t="s">
        <v>6691</v>
      </c>
      <c r="B941" s="373" t="s">
        <v>6692</v>
      </c>
      <c r="C941" s="372" t="s">
        <v>6693</v>
      </c>
      <c r="D941" s="374">
        <v>1358110266776</v>
      </c>
      <c r="E941" s="372" t="s">
        <v>6694</v>
      </c>
      <c r="F941" s="375" t="s">
        <v>852</v>
      </c>
      <c r="G941" s="375" t="s">
        <v>852</v>
      </c>
      <c r="H941" s="375" t="s">
        <v>3127</v>
      </c>
      <c r="I941" s="375" t="s">
        <v>869</v>
      </c>
      <c r="J941" s="375">
        <v>0</v>
      </c>
      <c r="K941" s="375">
        <v>0</v>
      </c>
      <c r="L941" s="375">
        <v>0</v>
      </c>
      <c r="M941" s="375">
        <v>45414.636870000002</v>
      </c>
      <c r="N941" s="372" t="s">
        <v>1033</v>
      </c>
      <c r="O941" s="703">
        <v>21.057465660956382</v>
      </c>
      <c r="P941" s="375" t="s">
        <v>623</v>
      </c>
      <c r="Q941" s="375" t="s">
        <v>623</v>
      </c>
      <c r="R941" s="695">
        <v>20231213</v>
      </c>
      <c r="S941" s="375" t="s">
        <v>6695</v>
      </c>
      <c r="T941" s="696" t="s">
        <v>772</v>
      </c>
      <c r="U941" s="375" t="s">
        <v>6696</v>
      </c>
      <c r="V941" s="722">
        <v>0</v>
      </c>
      <c r="W941" s="722">
        <v>6.37</v>
      </c>
      <c r="X941" s="722">
        <v>0</v>
      </c>
      <c r="Y941" s="722">
        <v>0</v>
      </c>
      <c r="Z941" s="382" t="s">
        <v>934</v>
      </c>
      <c r="AA941" s="372">
        <v>299.51107860000002</v>
      </c>
      <c r="AB941" s="372">
        <v>518.72728189999998</v>
      </c>
      <c r="AC941" s="372">
        <v>771.4675191</v>
      </c>
      <c r="AD941" s="372">
        <v>1138.5274913999999</v>
      </c>
      <c r="AE941" s="372">
        <v>0</v>
      </c>
      <c r="AF941" s="372">
        <v>0</v>
      </c>
      <c r="AG941" s="372">
        <v>0</v>
      </c>
      <c r="AH941" s="372">
        <v>0</v>
      </c>
    </row>
    <row r="942" spans="1:34">
      <c r="A942" s="372" t="s">
        <v>6697</v>
      </c>
      <c r="B942" s="373" t="s">
        <v>6698</v>
      </c>
      <c r="C942" s="372" t="s">
        <v>6699</v>
      </c>
      <c r="D942" s="374">
        <v>1101110529747</v>
      </c>
      <c r="E942" s="372" t="s">
        <v>6700</v>
      </c>
      <c r="F942" s="375" t="s">
        <v>6701</v>
      </c>
      <c r="G942" s="375" t="s">
        <v>6701</v>
      </c>
      <c r="H942" s="375" t="s">
        <v>868</v>
      </c>
      <c r="I942" s="375" t="s">
        <v>869</v>
      </c>
      <c r="J942" s="375">
        <v>19341.372500000001</v>
      </c>
      <c r="K942" s="375">
        <v>370.39620000000002</v>
      </c>
      <c r="L942" s="375">
        <v>-10459.741969999999</v>
      </c>
      <c r="M942" s="375">
        <v>39444.749280000004</v>
      </c>
      <c r="N942" s="372" t="s">
        <v>1033</v>
      </c>
      <c r="O942" s="703">
        <v>2.0870870320004906</v>
      </c>
      <c r="P942" s="375" t="s">
        <v>16142</v>
      </c>
      <c r="Q942" s="372" t="s">
        <v>16145</v>
      </c>
      <c r="R942" s="695">
        <v>20030627</v>
      </c>
      <c r="S942" s="372" t="s">
        <v>6702</v>
      </c>
      <c r="T942" s="696" t="s">
        <v>772</v>
      </c>
      <c r="U942" s="372" t="s">
        <v>6703</v>
      </c>
      <c r="V942" s="722">
        <v>46.7</v>
      </c>
      <c r="W942" s="722">
        <v>4.7699999999999996</v>
      </c>
      <c r="X942" s="722">
        <v>9.0299999999999994</v>
      </c>
      <c r="Y942" s="722" t="s">
        <v>774</v>
      </c>
      <c r="Z942" s="382" t="s">
        <v>934</v>
      </c>
      <c r="AA942" s="372">
        <v>191.76815819999999</v>
      </c>
      <c r="AB942" s="372">
        <v>154.47914</v>
      </c>
      <c r="AC942" s="372">
        <v>141.50229590000001</v>
      </c>
      <c r="AD942" s="372">
        <v>193.413725</v>
      </c>
      <c r="AE942" s="372">
        <v>0</v>
      </c>
      <c r="AF942" s="372">
        <v>0</v>
      </c>
      <c r="AG942" s="372">
        <v>0</v>
      </c>
      <c r="AH942" s="372">
        <v>0</v>
      </c>
    </row>
    <row r="943" spans="1:34">
      <c r="A943" s="372" t="s">
        <v>6704</v>
      </c>
      <c r="B943" s="373" t="s">
        <v>6705</v>
      </c>
      <c r="C943" s="372" t="s">
        <v>6706</v>
      </c>
      <c r="D943" s="374">
        <v>1701110166737</v>
      </c>
      <c r="E943" s="372" t="s">
        <v>6707</v>
      </c>
      <c r="F943" s="375" t="s">
        <v>1195</v>
      </c>
      <c r="G943" s="375" t="s">
        <v>3144</v>
      </c>
      <c r="H943" s="375" t="s">
        <v>868</v>
      </c>
      <c r="I943" s="375" t="s">
        <v>869</v>
      </c>
      <c r="J943" s="375">
        <v>186852.14926000001</v>
      </c>
      <c r="K943" s="375">
        <v>4408.4604499999996</v>
      </c>
      <c r="L943" s="375">
        <v>5525.8972599999997</v>
      </c>
      <c r="M943" s="375">
        <v>184176.56847</v>
      </c>
      <c r="N943" s="372">
        <v>1.1100000000000001</v>
      </c>
      <c r="O943" s="703">
        <v>1.1435164192488345</v>
      </c>
      <c r="P943" s="375" t="s">
        <v>623</v>
      </c>
      <c r="Q943" s="375" t="s">
        <v>623</v>
      </c>
      <c r="R943" s="695">
        <v>20051011</v>
      </c>
      <c r="S943" s="375" t="s">
        <v>6708</v>
      </c>
      <c r="T943" s="696">
        <v>0.20900000000000002</v>
      </c>
      <c r="U943" s="372" t="s">
        <v>6709</v>
      </c>
      <c r="V943" s="722">
        <v>37.479999999999997</v>
      </c>
      <c r="W943" s="722">
        <v>1.23</v>
      </c>
      <c r="X943" s="722">
        <v>1.26</v>
      </c>
      <c r="Y943" s="722">
        <v>55.18</v>
      </c>
      <c r="Z943" s="382" t="s">
        <v>934</v>
      </c>
      <c r="AA943" s="372">
        <v>2003.4798252000001</v>
      </c>
      <c r="AB943" s="372">
        <v>1798.082294</v>
      </c>
      <c r="AC943" s="372">
        <v>2172.6406550000002</v>
      </c>
      <c r="AD943" s="372">
        <v>1868.5214926000001</v>
      </c>
      <c r="AE943" s="372">
        <v>3239</v>
      </c>
      <c r="AF943" s="372">
        <v>0</v>
      </c>
      <c r="AG943" s="372">
        <v>0</v>
      </c>
      <c r="AH943" s="372">
        <v>0</v>
      </c>
    </row>
    <row r="944" spans="1:34">
      <c r="A944" s="372" t="s">
        <v>6710</v>
      </c>
      <c r="B944" s="373" t="s">
        <v>6711</v>
      </c>
      <c r="C944" s="372" t="s">
        <v>6712</v>
      </c>
      <c r="D944" s="374">
        <v>1101111846174</v>
      </c>
      <c r="E944" s="372" t="s">
        <v>6713</v>
      </c>
      <c r="F944" s="375" t="s">
        <v>1104</v>
      </c>
      <c r="G944" s="375" t="s">
        <v>1105</v>
      </c>
      <c r="H944" s="375" t="s">
        <v>832</v>
      </c>
      <c r="I944" s="375" t="s">
        <v>755</v>
      </c>
      <c r="J944" s="375">
        <v>273645.24685</v>
      </c>
      <c r="K944" s="375">
        <v>11422.01273</v>
      </c>
      <c r="L944" s="375">
        <v>9287.5580599999994</v>
      </c>
      <c r="M944" s="375">
        <v>87685.53082</v>
      </c>
      <c r="N944" s="372">
        <v>1.042</v>
      </c>
      <c r="O944" s="703">
        <v>8.3099338813628627</v>
      </c>
      <c r="P944" s="375" t="s">
        <v>623</v>
      </c>
      <c r="Q944" s="375" t="s">
        <v>623</v>
      </c>
      <c r="R944" s="695">
        <v>20050202</v>
      </c>
      <c r="S944" s="375" t="s">
        <v>6714</v>
      </c>
      <c r="T944" s="696">
        <v>0.20900000000000002</v>
      </c>
      <c r="U944" s="372" t="s">
        <v>6715</v>
      </c>
      <c r="V944" s="722">
        <v>8.1</v>
      </c>
      <c r="W944" s="722">
        <v>2.0099999999999998</v>
      </c>
      <c r="X944" s="722">
        <v>0.65</v>
      </c>
      <c r="Y944" s="722">
        <v>28.98</v>
      </c>
      <c r="Z944" s="382" t="s">
        <v>934</v>
      </c>
      <c r="AA944" s="372">
        <v>3075.1740221</v>
      </c>
      <c r="AB944" s="372">
        <v>2629.4593067000001</v>
      </c>
      <c r="AC944" s="372">
        <v>2478.7318844000001</v>
      </c>
      <c r="AD944" s="372">
        <v>2736.4524685000001</v>
      </c>
      <c r="AE944" s="372">
        <v>0</v>
      </c>
      <c r="AF944" s="372">
        <v>0</v>
      </c>
      <c r="AG944" s="372">
        <v>0</v>
      </c>
      <c r="AH944" s="372">
        <v>0</v>
      </c>
    </row>
    <row r="945" spans="1:34">
      <c r="A945" s="372" t="s">
        <v>6716</v>
      </c>
      <c r="B945" s="373" t="s">
        <v>6717</v>
      </c>
      <c r="C945" s="372" t="s">
        <v>6718</v>
      </c>
      <c r="D945" s="374">
        <v>1101110212699</v>
      </c>
      <c r="E945" s="372" t="s">
        <v>6718</v>
      </c>
      <c r="F945" s="372" t="s">
        <v>2866</v>
      </c>
      <c r="G945" s="375" t="s">
        <v>4724</v>
      </c>
      <c r="H945" s="375" t="s">
        <v>832</v>
      </c>
      <c r="I945" s="375" t="s">
        <v>755</v>
      </c>
      <c r="J945" s="375">
        <v>508721.24174999999</v>
      </c>
      <c r="K945" s="375">
        <v>29561.374110000001</v>
      </c>
      <c r="L945" s="375">
        <v>31415.982660000001</v>
      </c>
      <c r="M945" s="375">
        <v>364886.72047</v>
      </c>
      <c r="N945" s="372">
        <v>1.117</v>
      </c>
      <c r="O945" s="703">
        <v>50.25895367285397</v>
      </c>
      <c r="P945" s="375" t="s">
        <v>623</v>
      </c>
      <c r="Q945" s="375" t="s">
        <v>623</v>
      </c>
      <c r="R945" s="695">
        <v>19690908</v>
      </c>
      <c r="S945" s="375" t="s">
        <v>6719</v>
      </c>
      <c r="T945" s="696">
        <v>0.23100000000000001</v>
      </c>
      <c r="U945" s="372" t="s">
        <v>6720</v>
      </c>
      <c r="V945" s="722">
        <v>3.99</v>
      </c>
      <c r="W945" s="722">
        <v>0.63</v>
      </c>
      <c r="X945" s="722">
        <v>0.46</v>
      </c>
      <c r="Y945" s="722">
        <v>8.75</v>
      </c>
      <c r="Z945" s="382" t="s">
        <v>934</v>
      </c>
      <c r="AA945" s="372">
        <v>4313.3336738999997</v>
      </c>
      <c r="AB945" s="372">
        <v>4869.0215097</v>
      </c>
      <c r="AC945" s="372">
        <v>5445.8147570000001</v>
      </c>
      <c r="AD945" s="372">
        <v>5087.2124174999999</v>
      </c>
      <c r="AE945" s="372">
        <v>0</v>
      </c>
      <c r="AF945" s="372">
        <v>0</v>
      </c>
      <c r="AG945" s="372">
        <v>0</v>
      </c>
      <c r="AH945" s="372">
        <v>0</v>
      </c>
    </row>
    <row r="946" spans="1:34">
      <c r="A946" s="372" t="s">
        <v>6721</v>
      </c>
      <c r="B946" s="373" t="s">
        <v>6722</v>
      </c>
      <c r="C946" s="372" t="s">
        <v>6723</v>
      </c>
      <c r="D946" s="374">
        <v>1101110565163</v>
      </c>
      <c r="E946" s="372" t="s">
        <v>6724</v>
      </c>
      <c r="F946" s="375" t="s">
        <v>5353</v>
      </c>
      <c r="G946" s="375" t="s">
        <v>5353</v>
      </c>
      <c r="H946" s="375" t="s">
        <v>868</v>
      </c>
      <c r="I946" s="375" t="s">
        <v>869</v>
      </c>
      <c r="J946" s="375">
        <v>3119160.30522</v>
      </c>
      <c r="K946" s="375">
        <v>103781.08029</v>
      </c>
      <c r="L946" s="375">
        <v>71848.405119999996</v>
      </c>
      <c r="M946" s="375">
        <v>1028981.45531</v>
      </c>
      <c r="N946" s="372">
        <v>1.0820000000000001</v>
      </c>
      <c r="O946" s="703">
        <v>517.25434915770609</v>
      </c>
      <c r="P946" s="375" t="s">
        <v>623</v>
      </c>
      <c r="Q946" s="372" t="s">
        <v>623</v>
      </c>
      <c r="R946" s="695">
        <v>19991120</v>
      </c>
      <c r="S946" s="372" t="s">
        <v>861</v>
      </c>
      <c r="T946" s="696">
        <v>0.23100000000000001</v>
      </c>
      <c r="U946" s="372" t="s">
        <v>6725</v>
      </c>
      <c r="V946" s="722">
        <v>7.43</v>
      </c>
      <c r="W946" s="722">
        <v>0.35</v>
      </c>
      <c r="X946" s="722">
        <v>7.0000000000000007E-2</v>
      </c>
      <c r="Y946" s="722">
        <v>7.81</v>
      </c>
      <c r="Z946" s="382" t="s">
        <v>934</v>
      </c>
      <c r="AA946" s="372">
        <v>16083.4254403</v>
      </c>
      <c r="AB946" s="372">
        <v>19840.455089800002</v>
      </c>
      <c r="AC946" s="372">
        <v>30102.552486100001</v>
      </c>
      <c r="AD946" s="372">
        <v>31191.6030522</v>
      </c>
      <c r="AE946" s="372">
        <v>0</v>
      </c>
      <c r="AF946" s="372">
        <v>0</v>
      </c>
      <c r="AG946" s="372">
        <v>0</v>
      </c>
      <c r="AH946" s="372">
        <v>0</v>
      </c>
    </row>
    <row r="947" spans="1:34">
      <c r="A947" s="372" t="s">
        <v>6726</v>
      </c>
      <c r="B947" s="373" t="s">
        <v>6727</v>
      </c>
      <c r="C947" s="372" t="s">
        <v>6728</v>
      </c>
      <c r="D947" s="374">
        <v>1101115487437</v>
      </c>
      <c r="E947" s="372" t="s">
        <v>6729</v>
      </c>
      <c r="F947" s="375" t="s">
        <v>1124</v>
      </c>
      <c r="G947" s="375" t="s">
        <v>1347</v>
      </c>
      <c r="H947" s="375" t="s">
        <v>1348</v>
      </c>
      <c r="I947" s="375" t="s">
        <v>869</v>
      </c>
      <c r="J947" s="375">
        <v>33138.037060000002</v>
      </c>
      <c r="K947" s="375">
        <v>-18458.047330000001</v>
      </c>
      <c r="L947" s="375">
        <v>-14682.704460000001</v>
      </c>
      <c r="M947" s="375">
        <v>61818.987820000002</v>
      </c>
      <c r="N947" s="372">
        <v>1.093</v>
      </c>
      <c r="O947" s="703">
        <v>12.499125329796451</v>
      </c>
      <c r="P947" s="375" t="s">
        <v>623</v>
      </c>
      <c r="Q947" s="375" t="s">
        <v>623</v>
      </c>
      <c r="R947" s="695">
        <v>20201118</v>
      </c>
      <c r="S947" s="375" t="s">
        <v>6730</v>
      </c>
      <c r="T947" s="696" t="s">
        <v>772</v>
      </c>
      <c r="U947" s="375" t="s">
        <v>6731</v>
      </c>
      <c r="V947" s="722" t="s">
        <v>774</v>
      </c>
      <c r="W947" s="722">
        <v>3.67</v>
      </c>
      <c r="X947" s="722">
        <v>4.9400000000000004</v>
      </c>
      <c r="Y947" s="722" t="s">
        <v>774</v>
      </c>
      <c r="Z947" s="382" t="s">
        <v>934</v>
      </c>
      <c r="AA947" s="372">
        <v>45.914846699999998</v>
      </c>
      <c r="AB947" s="372">
        <v>28.933286800000001</v>
      </c>
      <c r="AC947" s="372">
        <v>116.0557668</v>
      </c>
      <c r="AD947" s="372">
        <v>331.38037059999999</v>
      </c>
      <c r="AE947" s="372">
        <v>0</v>
      </c>
      <c r="AF947" s="372">
        <v>0</v>
      </c>
      <c r="AG947" s="372">
        <v>0</v>
      </c>
      <c r="AH947" s="372">
        <v>0</v>
      </c>
    </row>
    <row r="948" spans="1:34">
      <c r="A948" s="372" t="s">
        <v>6732</v>
      </c>
      <c r="B948" s="373" t="s">
        <v>6733</v>
      </c>
      <c r="C948" s="372" t="s">
        <v>6734</v>
      </c>
      <c r="D948" s="374">
        <v>1201110050104</v>
      </c>
      <c r="E948" s="372" t="s">
        <v>6735</v>
      </c>
      <c r="F948" s="375" t="s">
        <v>5824</v>
      </c>
      <c r="G948" s="375" t="s">
        <v>5824</v>
      </c>
      <c r="H948" s="375" t="s">
        <v>1693</v>
      </c>
      <c r="I948" s="375" t="s">
        <v>869</v>
      </c>
      <c r="J948" s="375">
        <v>936962.70681999996</v>
      </c>
      <c r="K948" s="375">
        <v>-64717.139539999996</v>
      </c>
      <c r="L948" s="375">
        <v>-81401.707739999998</v>
      </c>
      <c r="M948" s="375">
        <v>797881.56762999995</v>
      </c>
      <c r="N948" s="372">
        <v>0.91400000000000003</v>
      </c>
      <c r="O948" s="703">
        <v>1013.2431964652186</v>
      </c>
      <c r="P948" s="375" t="s">
        <v>623</v>
      </c>
      <c r="Q948" s="375" t="s">
        <v>623</v>
      </c>
      <c r="R948" s="695">
        <v>20000816</v>
      </c>
      <c r="S948" s="375" t="s">
        <v>6736</v>
      </c>
      <c r="T948" s="696" t="s">
        <v>772</v>
      </c>
      <c r="U948" s="372" t="s">
        <v>6737</v>
      </c>
      <c r="V948" s="722" t="s">
        <v>774</v>
      </c>
      <c r="W948" s="722">
        <v>0.31</v>
      </c>
      <c r="X948" s="722">
        <v>0.23</v>
      </c>
      <c r="Y948" s="722" t="s">
        <v>774</v>
      </c>
      <c r="Z948" s="382" t="s">
        <v>934</v>
      </c>
      <c r="AA948" s="372">
        <v>4541.8771665000004</v>
      </c>
      <c r="AB948" s="372">
        <v>5690.3384349999997</v>
      </c>
      <c r="AC948" s="372">
        <v>7646.2120113999999</v>
      </c>
      <c r="AD948" s="372">
        <v>9369.6270681999995</v>
      </c>
      <c r="AE948" s="372">
        <v>0</v>
      </c>
      <c r="AF948" s="372">
        <v>0</v>
      </c>
      <c r="AG948" s="372">
        <v>0</v>
      </c>
      <c r="AH948" s="372">
        <v>0</v>
      </c>
    </row>
    <row r="949" spans="1:34">
      <c r="A949" s="372" t="s">
        <v>6738</v>
      </c>
      <c r="B949" s="373" t="s">
        <v>6739</v>
      </c>
      <c r="C949" s="372" t="s">
        <v>6740</v>
      </c>
      <c r="D949" s="374">
        <v>1801110004323</v>
      </c>
      <c r="E949" s="372" t="s">
        <v>6741</v>
      </c>
      <c r="F949" s="372" t="s">
        <v>2888</v>
      </c>
      <c r="G949" s="375" t="s">
        <v>2889</v>
      </c>
      <c r="H949" s="375" t="s">
        <v>832</v>
      </c>
      <c r="I949" s="375" t="s">
        <v>755</v>
      </c>
      <c r="J949" s="375">
        <v>1466551.19117</v>
      </c>
      <c r="K949" s="375">
        <v>24745.43633</v>
      </c>
      <c r="L949" s="375">
        <v>-19370.697909999999</v>
      </c>
      <c r="M949" s="375">
        <v>613649.05862000003</v>
      </c>
      <c r="N949" s="372">
        <v>0.79500000000000004</v>
      </c>
      <c r="O949" s="703">
        <v>392.05492700444546</v>
      </c>
      <c r="P949" s="375" t="s">
        <v>623</v>
      </c>
      <c r="Q949" s="375" t="s">
        <v>623</v>
      </c>
      <c r="R949" s="695">
        <v>19910204</v>
      </c>
      <c r="S949" s="375" t="s">
        <v>6742</v>
      </c>
      <c r="T949" s="696" t="s">
        <v>772</v>
      </c>
      <c r="U949" s="372" t="s">
        <v>6743</v>
      </c>
      <c r="V949" s="722">
        <v>9.86</v>
      </c>
      <c r="W949" s="722">
        <v>0.55000000000000004</v>
      </c>
      <c r="X949" s="722">
        <v>0.13</v>
      </c>
      <c r="Y949" s="722" t="s">
        <v>774</v>
      </c>
      <c r="Z949" s="382" t="s">
        <v>934</v>
      </c>
      <c r="AA949" s="372">
        <v>12987.736351199999</v>
      </c>
      <c r="AB949" s="372">
        <v>13655.176183600001</v>
      </c>
      <c r="AC949" s="372">
        <v>19129.556097000001</v>
      </c>
      <c r="AD949" s="372">
        <v>14665.511911699999</v>
      </c>
      <c r="AE949" s="372">
        <v>0</v>
      </c>
      <c r="AF949" s="372">
        <v>0</v>
      </c>
      <c r="AG949" s="372">
        <v>0</v>
      </c>
      <c r="AH949" s="372">
        <v>0</v>
      </c>
    </row>
    <row r="950" spans="1:34">
      <c r="A950" s="372" t="s">
        <v>6744</v>
      </c>
      <c r="B950" s="373" t="s">
        <v>6745</v>
      </c>
      <c r="C950" s="372" t="s">
        <v>6746</v>
      </c>
      <c r="D950" s="374">
        <v>1101112422379</v>
      </c>
      <c r="E950" s="372" t="s">
        <v>6747</v>
      </c>
      <c r="F950" s="375" t="s">
        <v>1985</v>
      </c>
      <c r="G950" s="375" t="s">
        <v>1985</v>
      </c>
      <c r="H950" s="375" t="s">
        <v>868</v>
      </c>
      <c r="I950" s="375" t="s">
        <v>869</v>
      </c>
      <c r="J950" s="375">
        <v>73715.799859999999</v>
      </c>
      <c r="K950" s="375">
        <v>8061.8858099999998</v>
      </c>
      <c r="L950" s="375">
        <v>7824.77171</v>
      </c>
      <c r="M950" s="375">
        <v>32468.464370000002</v>
      </c>
      <c r="N950" s="372" t="s">
        <v>1033</v>
      </c>
      <c r="O950" s="703">
        <v>9.1056102953437943</v>
      </c>
      <c r="P950" s="375" t="s">
        <v>623</v>
      </c>
      <c r="Q950" s="375" t="s">
        <v>623</v>
      </c>
      <c r="R950" s="695">
        <v>20221124</v>
      </c>
      <c r="S950" s="375" t="s">
        <v>6748</v>
      </c>
      <c r="T950" s="696">
        <v>0.20900000000000002</v>
      </c>
      <c r="U950" s="372" t="s">
        <v>6749</v>
      </c>
      <c r="V950" s="722">
        <v>20.14</v>
      </c>
      <c r="W950" s="722">
        <v>2.94</v>
      </c>
      <c r="X950" s="722">
        <v>1.29</v>
      </c>
      <c r="Y950" s="722">
        <v>13.4</v>
      </c>
      <c r="Z950" s="382" t="s">
        <v>934</v>
      </c>
      <c r="AA950" s="372">
        <v>435.32480070000003</v>
      </c>
      <c r="AB950" s="372">
        <v>578.70932259999995</v>
      </c>
      <c r="AC950" s="372">
        <v>611.58301940000001</v>
      </c>
      <c r="AD950" s="372">
        <v>737.15799860000004</v>
      </c>
      <c r="AE950" s="372">
        <v>926.75</v>
      </c>
      <c r="AF950" s="372">
        <v>1248.5</v>
      </c>
      <c r="AG950" s="372">
        <v>0</v>
      </c>
      <c r="AH950" s="372">
        <v>0</v>
      </c>
    </row>
    <row r="951" spans="1:34">
      <c r="A951" s="372" t="s">
        <v>6750</v>
      </c>
      <c r="B951" s="373" t="s">
        <v>6751</v>
      </c>
      <c r="C951" s="372" t="s">
        <v>6752</v>
      </c>
      <c r="D951" s="374">
        <v>1101113773094</v>
      </c>
      <c r="E951" s="372" t="s">
        <v>6753</v>
      </c>
      <c r="F951" s="375" t="s">
        <v>6754</v>
      </c>
      <c r="G951" s="375" t="s">
        <v>6755</v>
      </c>
      <c r="H951" s="375" t="s">
        <v>902</v>
      </c>
      <c r="I951" s="375" t="s">
        <v>869</v>
      </c>
      <c r="J951" s="375">
        <v>556822.36699999997</v>
      </c>
      <c r="K951" s="375">
        <v>46576.296000000002</v>
      </c>
      <c r="L951" s="375">
        <v>40490.283219999998</v>
      </c>
      <c r="M951" s="375">
        <v>96749.183699999994</v>
      </c>
      <c r="N951" s="372">
        <v>0.85799999999999998</v>
      </c>
      <c r="O951" s="703">
        <v>26.329171071944589</v>
      </c>
      <c r="P951" s="375" t="s">
        <v>623</v>
      </c>
      <c r="Q951" s="375" t="s">
        <v>623</v>
      </c>
      <c r="R951" s="695">
        <v>20151116</v>
      </c>
      <c r="S951" s="375" t="s">
        <v>6756</v>
      </c>
      <c r="T951" s="696">
        <v>0.23100000000000001</v>
      </c>
      <c r="U951" s="372" t="s">
        <v>6757</v>
      </c>
      <c r="V951" s="722">
        <v>3.06</v>
      </c>
      <c r="W951" s="722">
        <v>1.63</v>
      </c>
      <c r="X951" s="722">
        <v>0.28999999999999998</v>
      </c>
      <c r="Y951" s="722">
        <v>5.52</v>
      </c>
      <c r="Z951" s="382">
        <v>0.14911754930960019</v>
      </c>
      <c r="AA951" s="372">
        <v>3010.2544200000002</v>
      </c>
      <c r="AB951" s="372">
        <v>3146.2345599999999</v>
      </c>
      <c r="AC951" s="372">
        <v>4014.4858599999998</v>
      </c>
      <c r="AD951" s="372">
        <v>5568.2236700000003</v>
      </c>
      <c r="AE951" s="372">
        <v>7890</v>
      </c>
      <c r="AF951" s="372">
        <v>8525</v>
      </c>
      <c r="AG951" s="372">
        <v>9709</v>
      </c>
      <c r="AH951" s="372">
        <v>0</v>
      </c>
    </row>
    <row r="952" spans="1:34">
      <c r="A952" s="372" t="s">
        <v>6758</v>
      </c>
      <c r="B952" s="373" t="s">
        <v>6759</v>
      </c>
      <c r="C952" s="372" t="s">
        <v>6760</v>
      </c>
      <c r="D952" s="374">
        <v>1760110038073</v>
      </c>
      <c r="E952" s="372" t="s">
        <v>6761</v>
      </c>
      <c r="F952" s="375" t="s">
        <v>1673</v>
      </c>
      <c r="G952" s="375" t="s">
        <v>1673</v>
      </c>
      <c r="H952" s="375" t="s">
        <v>1388</v>
      </c>
      <c r="I952" s="375" t="s">
        <v>869</v>
      </c>
      <c r="J952" s="375">
        <v>164727.13644999999</v>
      </c>
      <c r="K952" s="375">
        <v>-1107.8868500000001</v>
      </c>
      <c r="L952" s="375">
        <v>1339.64743</v>
      </c>
      <c r="M952" s="375">
        <v>203581.11317</v>
      </c>
      <c r="N952" s="372">
        <v>1.0229999999999999</v>
      </c>
      <c r="O952" s="703">
        <v>1.6194411495786691</v>
      </c>
      <c r="P952" s="375" t="s">
        <v>623</v>
      </c>
      <c r="Q952" s="375" t="s">
        <v>623</v>
      </c>
      <c r="R952" s="695">
        <v>20210611</v>
      </c>
      <c r="S952" s="375" t="s">
        <v>6762</v>
      </c>
      <c r="T952" s="696">
        <v>0.20900000000000002</v>
      </c>
      <c r="U952" s="375" t="s">
        <v>6763</v>
      </c>
      <c r="V952" s="722">
        <v>0</v>
      </c>
      <c r="W952" s="722">
        <v>0.75</v>
      </c>
      <c r="X952" s="722">
        <v>0</v>
      </c>
      <c r="Y952" s="722">
        <v>0</v>
      </c>
      <c r="Z952" s="382" t="s">
        <v>934</v>
      </c>
      <c r="AA952" s="372">
        <v>2097.7031551999999</v>
      </c>
      <c r="AB952" s="372">
        <v>2329.849009</v>
      </c>
      <c r="AC952" s="372">
        <v>2030.6152076000001</v>
      </c>
      <c r="AD952" s="372">
        <v>1647.2713644999999</v>
      </c>
      <c r="AE952" s="372">
        <v>0</v>
      </c>
      <c r="AF952" s="372">
        <v>0</v>
      </c>
      <c r="AG952" s="372">
        <v>0</v>
      </c>
      <c r="AH952" s="372">
        <v>0</v>
      </c>
    </row>
    <row r="953" spans="1:34">
      <c r="A953" s="372" t="s">
        <v>6764</v>
      </c>
      <c r="B953" s="373" t="s">
        <v>6765</v>
      </c>
      <c r="C953" s="372" t="s">
        <v>6766</v>
      </c>
      <c r="D953" s="374">
        <v>1311110058402</v>
      </c>
      <c r="E953" s="372" t="s">
        <v>6767</v>
      </c>
      <c r="F953" s="375" t="s">
        <v>1195</v>
      </c>
      <c r="G953" s="375" t="s">
        <v>1196</v>
      </c>
      <c r="H953" s="375" t="s">
        <v>1388</v>
      </c>
      <c r="I953" s="375" t="s">
        <v>869</v>
      </c>
      <c r="J953" s="375">
        <v>82296.331600000005</v>
      </c>
      <c r="K953" s="375">
        <v>1464.66364</v>
      </c>
      <c r="L953" s="375">
        <v>1549.45111</v>
      </c>
      <c r="M953" s="375">
        <v>145957.83262999999</v>
      </c>
      <c r="N953" s="372">
        <v>1.0409999999999999</v>
      </c>
      <c r="O953" s="703">
        <v>3.6896351002978842</v>
      </c>
      <c r="P953" s="375" t="s">
        <v>623</v>
      </c>
      <c r="Q953" s="375" t="s">
        <v>623</v>
      </c>
      <c r="R953" s="695">
        <v>20141224</v>
      </c>
      <c r="S953" s="375" t="s">
        <v>3524</v>
      </c>
      <c r="T953" s="696">
        <v>0.20900000000000002</v>
      </c>
      <c r="U953" s="372" t="s">
        <v>6768</v>
      </c>
      <c r="V953" s="722">
        <v>51.03</v>
      </c>
      <c r="W953" s="722">
        <v>1.29</v>
      </c>
      <c r="X953" s="722">
        <v>2.37</v>
      </c>
      <c r="Y953" s="722">
        <v>39.97</v>
      </c>
      <c r="Z953" s="382" t="s">
        <v>934</v>
      </c>
      <c r="AA953" s="372">
        <v>674.18497400000001</v>
      </c>
      <c r="AB953" s="372">
        <v>661.86071330000004</v>
      </c>
      <c r="AC953" s="372">
        <v>911.57419460000006</v>
      </c>
      <c r="AD953" s="372">
        <v>822.96331599999996</v>
      </c>
      <c r="AE953" s="372">
        <v>919</v>
      </c>
      <c r="AF953" s="372">
        <v>1290</v>
      </c>
      <c r="AG953" s="372">
        <v>0</v>
      </c>
      <c r="AH953" s="372">
        <v>0</v>
      </c>
    </row>
    <row r="954" spans="1:34">
      <c r="A954" s="372" t="s">
        <v>6769</v>
      </c>
      <c r="B954" s="373" t="s">
        <v>6770</v>
      </c>
      <c r="C954" s="372" t="s">
        <v>6771</v>
      </c>
      <c r="D954" s="374">
        <v>1701110007098</v>
      </c>
      <c r="E954" s="372" t="s">
        <v>6772</v>
      </c>
      <c r="F954" s="375" t="s">
        <v>1062</v>
      </c>
      <c r="G954" s="375" t="s">
        <v>1062</v>
      </c>
      <c r="H954" s="375" t="s">
        <v>868</v>
      </c>
      <c r="I954" s="375" t="s">
        <v>869</v>
      </c>
      <c r="J954" s="375">
        <v>12252.030559999999</v>
      </c>
      <c r="K954" s="375">
        <v>-1839.30153</v>
      </c>
      <c r="L954" s="375">
        <v>-5537.6938200000004</v>
      </c>
      <c r="M954" s="375">
        <v>63572.923430000003</v>
      </c>
      <c r="N954" s="372">
        <v>0.51500000000000001</v>
      </c>
      <c r="O954" s="703">
        <v>13.519123176352988</v>
      </c>
      <c r="P954" s="375" t="s">
        <v>623</v>
      </c>
      <c r="Q954" s="375" t="s">
        <v>623</v>
      </c>
      <c r="R954" s="695">
        <v>20000811</v>
      </c>
      <c r="S954" s="375" t="s">
        <v>6773</v>
      </c>
      <c r="T954" s="696" t="s">
        <v>772</v>
      </c>
      <c r="U954" s="372" t="s">
        <v>6774</v>
      </c>
      <c r="V954" s="722">
        <v>0</v>
      </c>
      <c r="W954" s="722">
        <v>2.66</v>
      </c>
      <c r="X954" s="722">
        <v>0</v>
      </c>
      <c r="Y954" s="722">
        <v>0</v>
      </c>
      <c r="Z954" s="382" t="s">
        <v>934</v>
      </c>
      <c r="AA954" s="372">
        <v>162.66901010000001</v>
      </c>
      <c r="AB954" s="372">
        <v>156.00833689999999</v>
      </c>
      <c r="AC954" s="372">
        <v>141.71271709999999</v>
      </c>
      <c r="AD954" s="372">
        <v>122.5203056</v>
      </c>
      <c r="AE954" s="372">
        <v>0</v>
      </c>
      <c r="AF954" s="372">
        <v>0</v>
      </c>
      <c r="AG954" s="372">
        <v>0</v>
      </c>
      <c r="AH954" s="372">
        <v>0</v>
      </c>
    </row>
    <row r="955" spans="1:34">
      <c r="A955" s="372" t="s">
        <v>6775</v>
      </c>
      <c r="B955" s="373" t="s">
        <v>6776</v>
      </c>
      <c r="C955" s="372" t="s">
        <v>6777</v>
      </c>
      <c r="D955" s="374">
        <v>1101111216757</v>
      </c>
      <c r="E955" s="372" t="s">
        <v>6778</v>
      </c>
      <c r="F955" s="375" t="s">
        <v>5182</v>
      </c>
      <c r="G955" s="375" t="s">
        <v>5183</v>
      </c>
      <c r="H955" s="375" t="s">
        <v>853</v>
      </c>
      <c r="I955" s="375" t="s">
        <v>755</v>
      </c>
      <c r="J955" s="375">
        <v>665926.33016999997</v>
      </c>
      <c r="K955" s="375">
        <v>33985.725769999997</v>
      </c>
      <c r="L955" s="375">
        <v>30771.323970000001</v>
      </c>
      <c r="M955" s="375">
        <v>213657.09507000001</v>
      </c>
      <c r="N955" s="372">
        <v>1.0409999999999999</v>
      </c>
      <c r="O955" s="703">
        <v>83.577146503075483</v>
      </c>
      <c r="P955" s="375" t="s">
        <v>623</v>
      </c>
      <c r="Q955" s="372" t="s">
        <v>623</v>
      </c>
      <c r="R955" s="695">
        <v>20040805</v>
      </c>
      <c r="S955" s="372" t="s">
        <v>6779</v>
      </c>
      <c r="T955" s="696">
        <v>0.23100000000000001</v>
      </c>
      <c r="U955" s="372" t="s">
        <v>6780</v>
      </c>
      <c r="V955" s="722">
        <v>4.7</v>
      </c>
      <c r="W955" s="722">
        <v>0.62</v>
      </c>
      <c r="X955" s="722">
        <v>0.23</v>
      </c>
      <c r="Y955" s="722">
        <v>8.08</v>
      </c>
      <c r="Z955" s="382" t="s">
        <v>934</v>
      </c>
      <c r="AA955" s="372">
        <v>4028.0942730000002</v>
      </c>
      <c r="AB955" s="372">
        <v>5909.8323090000004</v>
      </c>
      <c r="AC955" s="372">
        <v>7295.4754888999996</v>
      </c>
      <c r="AD955" s="372">
        <v>6659.2633016999998</v>
      </c>
      <c r="AE955" s="372">
        <v>7823</v>
      </c>
      <c r="AF955" s="372">
        <v>8763</v>
      </c>
      <c r="AG955" s="372">
        <v>0</v>
      </c>
      <c r="AH955" s="372">
        <v>0</v>
      </c>
    </row>
    <row r="956" spans="1:34">
      <c r="A956" s="372" t="s">
        <v>6781</v>
      </c>
      <c r="B956" s="373" t="s">
        <v>6782</v>
      </c>
      <c r="C956" s="372" t="s">
        <v>6783</v>
      </c>
      <c r="D956" s="374">
        <v>1101114063535</v>
      </c>
      <c r="E956" s="372" t="s">
        <v>6784</v>
      </c>
      <c r="F956" s="375" t="s">
        <v>3210</v>
      </c>
      <c r="G956" s="375" t="s">
        <v>3211</v>
      </c>
      <c r="H956" s="375" t="s">
        <v>1693</v>
      </c>
      <c r="I956" s="375" t="s">
        <v>869</v>
      </c>
      <c r="J956" s="375">
        <v>288489.34964999999</v>
      </c>
      <c r="K956" s="375">
        <v>37263.667820000002</v>
      </c>
      <c r="L956" s="375">
        <v>40445.484689999997</v>
      </c>
      <c r="M956" s="375">
        <v>294803.52645</v>
      </c>
      <c r="N956" s="372">
        <v>0.78100000000000003</v>
      </c>
      <c r="O956" s="703">
        <v>6.6714267627438</v>
      </c>
      <c r="P956" s="375" t="s">
        <v>623</v>
      </c>
      <c r="Q956" s="375" t="s">
        <v>623</v>
      </c>
      <c r="R956" s="695">
        <v>20150630</v>
      </c>
      <c r="S956" s="375" t="s">
        <v>6785</v>
      </c>
      <c r="T956" s="696">
        <v>0.23100000000000001</v>
      </c>
      <c r="U956" s="372" t="s">
        <v>16035</v>
      </c>
      <c r="V956" s="722">
        <v>5.97</v>
      </c>
      <c r="W956" s="722">
        <v>1.02</v>
      </c>
      <c r="X956" s="722">
        <v>0.67</v>
      </c>
      <c r="Y956" s="722">
        <v>8.6199999999999992</v>
      </c>
      <c r="Z956" s="382">
        <v>8.4385153409436864E-2</v>
      </c>
      <c r="AA956" s="372">
        <v>1709.3207815999999</v>
      </c>
      <c r="AB956" s="372">
        <v>2210.4138785999999</v>
      </c>
      <c r="AC956" s="372">
        <v>2629.6708226000001</v>
      </c>
      <c r="AD956" s="372">
        <v>2884.8934964999999</v>
      </c>
      <c r="AE956" s="372">
        <v>3161</v>
      </c>
      <c r="AF956" s="372">
        <v>3578</v>
      </c>
      <c r="AG956" s="372">
        <v>3989</v>
      </c>
      <c r="AH956" s="372">
        <v>0</v>
      </c>
    </row>
    <row r="957" spans="1:34">
      <c r="A957" s="372" t="s">
        <v>6786</v>
      </c>
      <c r="B957" s="373" t="s">
        <v>6787</v>
      </c>
      <c r="C957" s="372" t="s">
        <v>6788</v>
      </c>
      <c r="D957" s="374">
        <v>1648110001961</v>
      </c>
      <c r="E957" s="372" t="s">
        <v>6789</v>
      </c>
      <c r="F957" s="375" t="s">
        <v>786</v>
      </c>
      <c r="G957" s="375" t="s">
        <v>3360</v>
      </c>
      <c r="H957" s="375" t="s">
        <v>788</v>
      </c>
      <c r="I957" s="375" t="s">
        <v>755</v>
      </c>
      <c r="J957" s="375">
        <v>216357.48178999999</v>
      </c>
      <c r="K957" s="375">
        <v>5544.7718999999997</v>
      </c>
      <c r="L957" s="375">
        <v>2171.9243200000001</v>
      </c>
      <c r="M957" s="375">
        <v>144381.42121999999</v>
      </c>
      <c r="N957" s="372">
        <v>0.88300000000000001</v>
      </c>
      <c r="O957" s="703">
        <v>42.692731707394302</v>
      </c>
      <c r="P957" s="375" t="s">
        <v>16142</v>
      </c>
      <c r="Q957" s="375" t="s">
        <v>623</v>
      </c>
      <c r="R957" s="695">
        <v>20150629</v>
      </c>
      <c r="S957" s="375" t="s">
        <v>6790</v>
      </c>
      <c r="T957" s="696">
        <v>0.20900000000000002</v>
      </c>
      <c r="U957" s="372" t="s">
        <v>6791</v>
      </c>
      <c r="V957" s="722">
        <v>0</v>
      </c>
      <c r="W957" s="722">
        <v>1.39</v>
      </c>
      <c r="X957" s="722">
        <v>0</v>
      </c>
      <c r="Y957" s="722">
        <v>0</v>
      </c>
      <c r="Z957" s="382" t="s">
        <v>934</v>
      </c>
      <c r="AA957" s="372">
        <v>2152.8509514000002</v>
      </c>
      <c r="AB957" s="372">
        <v>1706.5964503</v>
      </c>
      <c r="AC957" s="372">
        <v>1962.6490208</v>
      </c>
      <c r="AD957" s="372">
        <v>2163.5748179000002</v>
      </c>
      <c r="AE957" s="372">
        <v>0</v>
      </c>
      <c r="AF957" s="372">
        <v>0</v>
      </c>
      <c r="AG957" s="372">
        <v>0</v>
      </c>
      <c r="AH957" s="372">
        <v>0</v>
      </c>
    </row>
    <row r="958" spans="1:34">
      <c r="A958" s="372" t="s">
        <v>6792</v>
      </c>
      <c r="B958" s="373" t="s">
        <v>6793</v>
      </c>
      <c r="C958" s="372" t="s">
        <v>6794</v>
      </c>
      <c r="D958" s="374">
        <v>1101112541575</v>
      </c>
      <c r="E958" s="372" t="s">
        <v>6795</v>
      </c>
      <c r="F958" s="375" t="s">
        <v>2880</v>
      </c>
      <c r="G958" s="375" t="s">
        <v>6796</v>
      </c>
      <c r="H958" s="375" t="s">
        <v>1348</v>
      </c>
      <c r="I958" s="375" t="s">
        <v>869</v>
      </c>
      <c r="J958" s="375">
        <v>233485.12171000001</v>
      </c>
      <c r="K958" s="375">
        <v>25216.689470000001</v>
      </c>
      <c r="L958" s="375">
        <v>19831.402590000002</v>
      </c>
      <c r="M958" s="375">
        <v>45515.644990000001</v>
      </c>
      <c r="N958" s="372">
        <v>0.72699999999999998</v>
      </c>
      <c r="O958" s="703">
        <v>71.331481801930636</v>
      </c>
      <c r="P958" s="375" t="s">
        <v>623</v>
      </c>
      <c r="Q958" s="375" t="s">
        <v>623</v>
      </c>
      <c r="R958" s="695">
        <v>20080627</v>
      </c>
      <c r="S958" s="375" t="s">
        <v>6797</v>
      </c>
      <c r="T958" s="696">
        <v>0.20900000000000002</v>
      </c>
      <c r="U958" s="375" t="s">
        <v>16036</v>
      </c>
      <c r="V958" s="722">
        <v>5.35</v>
      </c>
      <c r="W958" s="722">
        <v>1.61</v>
      </c>
      <c r="X958" s="722">
        <v>0.82</v>
      </c>
      <c r="Y958" s="722">
        <v>12.71</v>
      </c>
      <c r="Z958" s="382" t="s">
        <v>934</v>
      </c>
      <c r="AA958" s="372">
        <v>1800.1991410000001</v>
      </c>
      <c r="AB958" s="372">
        <v>2107.3591209000001</v>
      </c>
      <c r="AC958" s="372">
        <v>2274.9958173</v>
      </c>
      <c r="AD958" s="372">
        <v>2334.8512171000002</v>
      </c>
      <c r="AE958" s="372">
        <v>0</v>
      </c>
      <c r="AF958" s="372">
        <v>0</v>
      </c>
      <c r="AG958" s="372">
        <v>0</v>
      </c>
      <c r="AH958" s="372">
        <v>0</v>
      </c>
    </row>
    <row r="959" spans="1:34">
      <c r="A959" s="372" t="s">
        <v>6798</v>
      </c>
      <c r="B959" s="373" t="s">
        <v>6799</v>
      </c>
      <c r="C959" s="372" t="s">
        <v>6800</v>
      </c>
      <c r="D959" s="374">
        <v>1355110249041</v>
      </c>
      <c r="E959" s="372" t="s">
        <v>6801</v>
      </c>
      <c r="F959" s="375" t="s">
        <v>786</v>
      </c>
      <c r="G959" s="375" t="s">
        <v>787</v>
      </c>
      <c r="H959" s="375" t="s">
        <v>868</v>
      </c>
      <c r="I959" s="375" t="s">
        <v>869</v>
      </c>
      <c r="J959" s="375">
        <v>5199.1944599999997</v>
      </c>
      <c r="K959" s="375">
        <v>-12723.799150000001</v>
      </c>
      <c r="L959" s="375">
        <v>-13418.957329999999</v>
      </c>
      <c r="M959" s="375">
        <v>31197.257239999999</v>
      </c>
      <c r="N959" s="372">
        <v>1.103</v>
      </c>
      <c r="O959" s="703">
        <v>26.303906731145737</v>
      </c>
      <c r="P959" s="375" t="s">
        <v>623</v>
      </c>
      <c r="Q959" s="372" t="s">
        <v>623</v>
      </c>
      <c r="R959" s="695">
        <v>20181128</v>
      </c>
      <c r="S959" s="372" t="s">
        <v>6802</v>
      </c>
      <c r="T959" s="696" t="s">
        <v>772</v>
      </c>
      <c r="U959" s="375" t="s">
        <v>6803</v>
      </c>
      <c r="V959" s="722">
        <v>0</v>
      </c>
      <c r="W959" s="722">
        <v>6.16</v>
      </c>
      <c r="X959" s="722">
        <v>0</v>
      </c>
      <c r="Y959" s="722">
        <v>0</v>
      </c>
      <c r="Z959" s="382" t="s">
        <v>934</v>
      </c>
      <c r="AA959" s="372">
        <v>68.0510685</v>
      </c>
      <c r="AB959" s="372">
        <v>32.346792899999997</v>
      </c>
      <c r="AC959" s="372">
        <v>57.546462599999998</v>
      </c>
      <c r="AD959" s="372">
        <v>51.991944599999997</v>
      </c>
      <c r="AE959" s="372">
        <v>0</v>
      </c>
      <c r="AF959" s="372">
        <v>0</v>
      </c>
      <c r="AG959" s="372">
        <v>0</v>
      </c>
      <c r="AH959" s="372">
        <v>0</v>
      </c>
    </row>
    <row r="960" spans="1:34">
      <c r="A960" s="372" t="s">
        <v>6804</v>
      </c>
      <c r="B960" s="373" t="s">
        <v>6805</v>
      </c>
      <c r="C960" s="372" t="s">
        <v>6806</v>
      </c>
      <c r="D960" s="374">
        <v>1712110001253</v>
      </c>
      <c r="E960" s="372" t="s">
        <v>6807</v>
      </c>
      <c r="F960" s="375" t="s">
        <v>3020</v>
      </c>
      <c r="G960" s="375" t="s">
        <v>3020</v>
      </c>
      <c r="H960" s="375" t="s">
        <v>868</v>
      </c>
      <c r="I960" s="375" t="s">
        <v>869</v>
      </c>
      <c r="J960" s="375">
        <v>2160621.91451</v>
      </c>
      <c r="K960" s="375">
        <v>72420.507240000006</v>
      </c>
      <c r="L960" s="375">
        <v>57348.007250000002</v>
      </c>
      <c r="M960" s="375">
        <v>217828.77364999999</v>
      </c>
      <c r="N960" s="372">
        <v>1.105</v>
      </c>
      <c r="O960" s="703">
        <v>201.46683415978495</v>
      </c>
      <c r="P960" s="375" t="s">
        <v>623</v>
      </c>
      <c r="Q960" s="375" t="s">
        <v>623</v>
      </c>
      <c r="R960" s="695">
        <v>20000321</v>
      </c>
      <c r="S960" s="375" t="s">
        <v>6808</v>
      </c>
      <c r="T960" s="696">
        <v>0.23100000000000001</v>
      </c>
      <c r="U960" s="375" t="s">
        <v>6809</v>
      </c>
      <c r="V960" s="722">
        <v>4</v>
      </c>
      <c r="W960" s="722">
        <v>0.93</v>
      </c>
      <c r="X960" s="722">
        <v>0.08</v>
      </c>
      <c r="Y960" s="722">
        <v>4.1500000000000004</v>
      </c>
      <c r="Z960" s="382" t="s">
        <v>934</v>
      </c>
      <c r="AA960" s="372">
        <v>12918.3858992</v>
      </c>
      <c r="AB960" s="372">
        <v>15175.7498602</v>
      </c>
      <c r="AC960" s="372">
        <v>18215.193122600002</v>
      </c>
      <c r="AD960" s="372">
        <v>21606.2191451</v>
      </c>
      <c r="AE960" s="372">
        <v>0</v>
      </c>
      <c r="AF960" s="372">
        <v>0</v>
      </c>
      <c r="AG960" s="372">
        <v>0</v>
      </c>
      <c r="AH960" s="372">
        <v>0</v>
      </c>
    </row>
    <row r="961" spans="1:34">
      <c r="A961" s="372" t="s">
        <v>6810</v>
      </c>
      <c r="B961" s="373" t="s">
        <v>6811</v>
      </c>
      <c r="C961" s="372" t="s">
        <v>6812</v>
      </c>
      <c r="D961" s="374">
        <v>1201110019382</v>
      </c>
      <c r="E961" s="372" t="s">
        <v>6813</v>
      </c>
      <c r="F961" s="375" t="s">
        <v>2692</v>
      </c>
      <c r="G961" s="375" t="s">
        <v>2692</v>
      </c>
      <c r="H961" s="375" t="s">
        <v>1555</v>
      </c>
      <c r="I961" s="375" t="s">
        <v>755</v>
      </c>
      <c r="J961" s="375">
        <v>2780751.6281499998</v>
      </c>
      <c r="K961" s="375">
        <v>189745.0001</v>
      </c>
      <c r="L961" s="375">
        <v>132565.30398999999</v>
      </c>
      <c r="M961" s="375">
        <v>963656.73016000004</v>
      </c>
      <c r="N961" s="372">
        <v>1.0509999999999999</v>
      </c>
      <c r="O961" s="703">
        <v>399.763875535681</v>
      </c>
      <c r="P961" s="375" t="s">
        <v>623</v>
      </c>
      <c r="Q961" s="375" t="s">
        <v>623</v>
      </c>
      <c r="R961" s="695">
        <v>19951113</v>
      </c>
      <c r="S961" s="375" t="s">
        <v>6814</v>
      </c>
      <c r="T961" s="696">
        <v>0.23100000000000001</v>
      </c>
      <c r="U961" s="372" t="s">
        <v>6815</v>
      </c>
      <c r="V961" s="722">
        <v>4.4000000000000004</v>
      </c>
      <c r="W961" s="722">
        <v>0.38</v>
      </c>
      <c r="X961" s="722">
        <v>7.0000000000000007E-2</v>
      </c>
      <c r="Y961" s="722">
        <v>3.47</v>
      </c>
      <c r="Z961" s="382" t="s">
        <v>934</v>
      </c>
      <c r="AA961" s="372">
        <v>27979.470744499999</v>
      </c>
      <c r="AB961" s="372">
        <v>27988.957363400001</v>
      </c>
      <c r="AC961" s="372">
        <v>33221.135337300002</v>
      </c>
      <c r="AD961" s="372">
        <v>27807.5162815</v>
      </c>
      <c r="AE961" s="372">
        <v>32168</v>
      </c>
      <c r="AF961" s="372">
        <v>33405</v>
      </c>
      <c r="AG961" s="372">
        <v>0</v>
      </c>
      <c r="AH961" s="372">
        <v>0</v>
      </c>
    </row>
    <row r="962" spans="1:34">
      <c r="A962" s="372" t="s">
        <v>6816</v>
      </c>
      <c r="B962" s="373" t="s">
        <v>6817</v>
      </c>
      <c r="C962" s="372" t="s">
        <v>16037</v>
      </c>
      <c r="D962" s="374">
        <v>1101112072330</v>
      </c>
      <c r="E962" s="372" t="s">
        <v>6818</v>
      </c>
      <c r="F962" s="375" t="s">
        <v>6673</v>
      </c>
      <c r="G962" s="375" t="s">
        <v>6673</v>
      </c>
      <c r="H962" s="375" t="s">
        <v>1388</v>
      </c>
      <c r="I962" s="375" t="s">
        <v>869</v>
      </c>
      <c r="J962" s="375">
        <v>37597.363640000003</v>
      </c>
      <c r="K962" s="375">
        <v>-4053.3317200000001</v>
      </c>
      <c r="L962" s="375">
        <v>-7054.3111399999998</v>
      </c>
      <c r="M962" s="375">
        <v>22344.516370000001</v>
      </c>
      <c r="N962" s="372">
        <v>1.264</v>
      </c>
      <c r="O962" s="703">
        <v>5.6637297371427291</v>
      </c>
      <c r="P962" s="375" t="s">
        <v>623</v>
      </c>
      <c r="Q962" s="372" t="s">
        <v>623</v>
      </c>
      <c r="R962" s="695">
        <v>20080201</v>
      </c>
      <c r="S962" s="375" t="s">
        <v>6819</v>
      </c>
      <c r="T962" s="696" t="s">
        <v>772</v>
      </c>
      <c r="U962" s="372" t="s">
        <v>6820</v>
      </c>
      <c r="V962" s="722" t="s">
        <v>774</v>
      </c>
      <c r="W962" s="722">
        <v>7.61</v>
      </c>
      <c r="X962" s="722">
        <v>3.39</v>
      </c>
      <c r="Y962" s="722" t="s">
        <v>774</v>
      </c>
      <c r="Z962" s="382" t="s">
        <v>934</v>
      </c>
      <c r="AA962" s="372">
        <v>400.01115520000002</v>
      </c>
      <c r="AB962" s="372">
        <v>345.9088653</v>
      </c>
      <c r="AC962" s="372">
        <v>230.45775219999999</v>
      </c>
      <c r="AD962" s="372">
        <v>375.97363639999998</v>
      </c>
      <c r="AE962" s="372">
        <v>0</v>
      </c>
      <c r="AF962" s="372">
        <v>0</v>
      </c>
      <c r="AG962" s="372">
        <v>0</v>
      </c>
      <c r="AH962" s="372">
        <v>0</v>
      </c>
    </row>
    <row r="963" spans="1:34">
      <c r="A963" s="372" t="s">
        <v>6821</v>
      </c>
      <c r="B963" s="373" t="s">
        <v>6822</v>
      </c>
      <c r="C963" s="372" t="s">
        <v>6823</v>
      </c>
      <c r="D963" s="374">
        <v>1101111572612</v>
      </c>
      <c r="E963" s="372" t="s">
        <v>6824</v>
      </c>
      <c r="F963" s="375" t="s">
        <v>2692</v>
      </c>
      <c r="G963" s="375" t="s">
        <v>2692</v>
      </c>
      <c r="H963" s="375" t="s">
        <v>868</v>
      </c>
      <c r="I963" s="375" t="s">
        <v>869</v>
      </c>
      <c r="J963" s="375">
        <v>367042.82481000002</v>
      </c>
      <c r="K963" s="375">
        <v>46109.132299999997</v>
      </c>
      <c r="L963" s="375">
        <v>34923.576880000001</v>
      </c>
      <c r="M963" s="375">
        <v>371336.24142999999</v>
      </c>
      <c r="N963" s="372">
        <v>0.80500000000000005</v>
      </c>
      <c r="O963" s="703">
        <v>142.62862637130306</v>
      </c>
      <c r="P963" s="375" t="s">
        <v>623</v>
      </c>
      <c r="Q963" s="375" t="s">
        <v>623</v>
      </c>
      <c r="R963" s="695">
        <v>20181001</v>
      </c>
      <c r="S963" s="375" t="s">
        <v>6825</v>
      </c>
      <c r="T963" s="696">
        <v>0.23100000000000001</v>
      </c>
      <c r="U963" s="372" t="s">
        <v>6826</v>
      </c>
      <c r="V963" s="722">
        <v>6.55</v>
      </c>
      <c r="W963" s="722">
        <v>0.49</v>
      </c>
      <c r="X963" s="722">
        <v>0.54</v>
      </c>
      <c r="Y963" s="722">
        <v>8.1999999999999993</v>
      </c>
      <c r="Z963" s="382" t="s">
        <v>934</v>
      </c>
      <c r="AA963" s="372">
        <v>2924.2181532999998</v>
      </c>
      <c r="AB963" s="372">
        <v>3759.3907015</v>
      </c>
      <c r="AC963" s="372">
        <v>3809.1668642999998</v>
      </c>
      <c r="AD963" s="372">
        <v>3670.4282481</v>
      </c>
      <c r="AE963" s="372">
        <v>3872</v>
      </c>
      <c r="AF963" s="372">
        <v>4050</v>
      </c>
      <c r="AG963" s="372">
        <v>0</v>
      </c>
      <c r="AH963" s="372">
        <v>0</v>
      </c>
    </row>
    <row r="964" spans="1:34">
      <c r="A964" s="372" t="s">
        <v>6827</v>
      </c>
      <c r="B964" s="373" t="s">
        <v>6828</v>
      </c>
      <c r="C964" s="372" t="s">
        <v>6829</v>
      </c>
      <c r="D964" s="374">
        <v>1345110004008</v>
      </c>
      <c r="E964" s="372" t="s">
        <v>6830</v>
      </c>
      <c r="F964" s="375" t="s">
        <v>5353</v>
      </c>
      <c r="G964" s="375" t="s">
        <v>5353</v>
      </c>
      <c r="H964" s="375" t="s">
        <v>868</v>
      </c>
      <c r="I964" s="375" t="s">
        <v>869</v>
      </c>
      <c r="J964" s="375">
        <v>396938.17913</v>
      </c>
      <c r="K964" s="375">
        <v>1767.5185899999999</v>
      </c>
      <c r="L964" s="375">
        <v>150499.23284000001</v>
      </c>
      <c r="M964" s="375">
        <v>156779.19852000001</v>
      </c>
      <c r="N964" s="372">
        <v>0.628</v>
      </c>
      <c r="O964" s="703">
        <v>27.938497072394171</v>
      </c>
      <c r="P964" s="375" t="s">
        <v>623</v>
      </c>
      <c r="Q964" s="372" t="s">
        <v>623</v>
      </c>
      <c r="R964" s="695">
        <v>19941031</v>
      </c>
      <c r="S964" s="372" t="s">
        <v>6831</v>
      </c>
      <c r="T964" s="696">
        <v>0.23100000000000001</v>
      </c>
      <c r="U964" s="372" t="s">
        <v>6832</v>
      </c>
      <c r="V964" s="722">
        <v>37.54</v>
      </c>
      <c r="W964" s="722">
        <v>1.1100000000000001</v>
      </c>
      <c r="X964" s="722">
        <v>0.44</v>
      </c>
      <c r="Y964" s="722">
        <v>1.5</v>
      </c>
      <c r="Z964" s="382" t="s">
        <v>934</v>
      </c>
      <c r="AA964" s="372">
        <v>3316.0750883000001</v>
      </c>
      <c r="AB964" s="372">
        <v>3557.8359857999999</v>
      </c>
      <c r="AC964" s="372">
        <v>4083.1656486000002</v>
      </c>
      <c r="AD964" s="372">
        <v>3969.3817912999998</v>
      </c>
      <c r="AE964" s="372">
        <v>0</v>
      </c>
      <c r="AF964" s="372">
        <v>0</v>
      </c>
      <c r="AG964" s="372">
        <v>0</v>
      </c>
      <c r="AH964" s="372">
        <v>0</v>
      </c>
    </row>
    <row r="965" spans="1:34">
      <c r="A965" s="372" t="s">
        <v>6833</v>
      </c>
      <c r="B965" s="373" t="s">
        <v>6834</v>
      </c>
      <c r="C965" s="372" t="s">
        <v>6835</v>
      </c>
      <c r="D965" s="374">
        <v>1101116496172</v>
      </c>
      <c r="E965" s="372" t="s">
        <v>6836</v>
      </c>
      <c r="F965" s="375" t="s">
        <v>3584</v>
      </c>
      <c r="G965" s="375" t="s">
        <v>3584</v>
      </c>
      <c r="H965" s="375" t="s">
        <v>1693</v>
      </c>
      <c r="I965" s="375" t="s">
        <v>869</v>
      </c>
      <c r="J965" s="375">
        <v>232577.08497</v>
      </c>
      <c r="K965" s="375">
        <v>18194.21629</v>
      </c>
      <c r="L965" s="375">
        <v>15596.291719999999</v>
      </c>
      <c r="M965" s="375">
        <v>92907.274099999995</v>
      </c>
      <c r="N965" s="372">
        <v>0.93</v>
      </c>
      <c r="O965" s="703">
        <v>6.447994688086486</v>
      </c>
      <c r="P965" s="375" t="s">
        <v>623</v>
      </c>
      <c r="Q965" s="375" t="s">
        <v>623</v>
      </c>
      <c r="R965" s="695">
        <v>20200813</v>
      </c>
      <c r="S965" s="375" t="s">
        <v>6837</v>
      </c>
      <c r="T965" s="696">
        <v>0.20900000000000002</v>
      </c>
      <c r="U965" s="372" t="s">
        <v>6838</v>
      </c>
      <c r="V965" s="722">
        <v>7.3</v>
      </c>
      <c r="W965" s="722">
        <v>2.1</v>
      </c>
      <c r="X965" s="722">
        <v>0.8</v>
      </c>
      <c r="Y965" s="722">
        <v>16.54</v>
      </c>
      <c r="Z965" s="382">
        <v>0.12684994075720479</v>
      </c>
      <c r="AA965" s="372">
        <v>1384.7888375</v>
      </c>
      <c r="AB965" s="372">
        <v>1659.3502066000001</v>
      </c>
      <c r="AC965" s="372">
        <v>2068.8717434999999</v>
      </c>
      <c r="AD965" s="372">
        <v>2325.7708496999999</v>
      </c>
      <c r="AE965" s="372">
        <v>2691</v>
      </c>
      <c r="AF965" s="372">
        <v>3147</v>
      </c>
      <c r="AG965" s="372">
        <v>3750</v>
      </c>
      <c r="AH965" s="372">
        <v>0</v>
      </c>
    </row>
    <row r="966" spans="1:34">
      <c r="A966" s="372" t="s">
        <v>6839</v>
      </c>
      <c r="B966" s="373" t="s">
        <v>6840</v>
      </c>
      <c r="C966" s="372" t="s">
        <v>6841</v>
      </c>
      <c r="D966" s="374">
        <v>1101115496868</v>
      </c>
      <c r="E966" s="372" t="s">
        <v>6842</v>
      </c>
      <c r="F966" s="375" t="s">
        <v>1814</v>
      </c>
      <c r="G966" s="375" t="s">
        <v>2821</v>
      </c>
      <c r="H966" s="375" t="s">
        <v>1693</v>
      </c>
      <c r="I966" s="375" t="s">
        <v>869</v>
      </c>
      <c r="J966" s="375">
        <v>53889.135869999998</v>
      </c>
      <c r="K966" s="375">
        <v>4912.4951300000002</v>
      </c>
      <c r="L966" s="375">
        <v>11092.176160000001</v>
      </c>
      <c r="M966" s="375">
        <v>118732.06166000001</v>
      </c>
      <c r="N966" s="372">
        <v>0.60599999999999998</v>
      </c>
      <c r="O966" s="703">
        <v>0.79352844270770428</v>
      </c>
      <c r="P966" s="375" t="s">
        <v>623</v>
      </c>
      <c r="Q966" s="372" t="s">
        <v>623</v>
      </c>
      <c r="R966" s="695">
        <v>20141107</v>
      </c>
      <c r="S966" s="372" t="s">
        <v>6843</v>
      </c>
      <c r="T966" s="696">
        <v>0.20900000000000002</v>
      </c>
      <c r="U966" s="372" t="s">
        <v>6844</v>
      </c>
      <c r="V966" s="722">
        <v>20.84</v>
      </c>
      <c r="W966" s="722">
        <v>1.43</v>
      </c>
      <c r="X966" s="722">
        <v>2.84</v>
      </c>
      <c r="Y966" s="722">
        <v>14.68</v>
      </c>
      <c r="Z966" s="382" t="s">
        <v>934</v>
      </c>
      <c r="AA966" s="372">
        <v>391.77985589999997</v>
      </c>
      <c r="AB966" s="372">
        <v>473.30196569999998</v>
      </c>
      <c r="AC966" s="372">
        <v>551.33275790000005</v>
      </c>
      <c r="AD966" s="372">
        <v>538.89135869999996</v>
      </c>
      <c r="AE966" s="372">
        <v>780</v>
      </c>
      <c r="AF966" s="372">
        <v>0</v>
      </c>
      <c r="AG966" s="372">
        <v>0</v>
      </c>
      <c r="AH966" s="372">
        <v>0</v>
      </c>
    </row>
    <row r="967" spans="1:34">
      <c r="A967" s="372" t="s">
        <v>6845</v>
      </c>
      <c r="B967" s="373" t="s">
        <v>6846</v>
      </c>
      <c r="C967" s="372" t="s">
        <v>6847</v>
      </c>
      <c r="D967" s="374">
        <v>1101110036502</v>
      </c>
      <c r="E967" s="372" t="s">
        <v>6848</v>
      </c>
      <c r="F967" s="375" t="s">
        <v>1395</v>
      </c>
      <c r="G967" s="375" t="s">
        <v>1396</v>
      </c>
      <c r="H967" s="375" t="s">
        <v>1397</v>
      </c>
      <c r="I967" s="375" t="s">
        <v>755</v>
      </c>
      <c r="J967" s="375">
        <v>2663480.2599900002</v>
      </c>
      <c r="K967" s="375">
        <v>12788.87997</v>
      </c>
      <c r="L967" s="375">
        <v>-6530.1058899999998</v>
      </c>
      <c r="M967" s="375">
        <v>553830.94516</v>
      </c>
      <c r="N967" s="372">
        <v>1.3160000000000001</v>
      </c>
      <c r="O967" s="703">
        <v>562.29608884914671</v>
      </c>
      <c r="P967" s="375" t="s">
        <v>623</v>
      </c>
      <c r="Q967" s="372" t="s">
        <v>623</v>
      </c>
      <c r="R967" s="695">
        <v>19780915</v>
      </c>
      <c r="S967" s="372" t="s">
        <v>6849</v>
      </c>
      <c r="T967" s="696" t="s">
        <v>772</v>
      </c>
      <c r="U967" s="372" t="s">
        <v>6850</v>
      </c>
      <c r="V967" s="722">
        <v>15.53</v>
      </c>
      <c r="W967" s="722">
        <v>0.41</v>
      </c>
      <c r="X967" s="722">
        <v>0.09</v>
      </c>
      <c r="Y967" s="722">
        <v>801.71</v>
      </c>
      <c r="Z967" s="382">
        <v>7.0602533837720305E-3</v>
      </c>
      <c r="AA967" s="372">
        <v>39282.243231699998</v>
      </c>
      <c r="AB967" s="372">
        <v>27298.206993</v>
      </c>
      <c r="AC967" s="372">
        <v>26020.7687467</v>
      </c>
      <c r="AD967" s="372">
        <v>26634.802599899998</v>
      </c>
      <c r="AE967" s="372">
        <v>27082.67</v>
      </c>
      <c r="AF967" s="372">
        <v>28293.67</v>
      </c>
      <c r="AG967" s="372">
        <v>27395</v>
      </c>
      <c r="AH967" s="372">
        <v>24570</v>
      </c>
    </row>
    <row r="968" spans="1:34">
      <c r="A968" s="372" t="s">
        <v>6851</v>
      </c>
      <c r="B968" s="373" t="s">
        <v>6852</v>
      </c>
      <c r="C968" s="372" t="s">
        <v>6853</v>
      </c>
      <c r="D968" s="374">
        <v>1244110014316</v>
      </c>
      <c r="E968" s="372" t="s">
        <v>6854</v>
      </c>
      <c r="F968" s="375" t="s">
        <v>6855</v>
      </c>
      <c r="G968" s="375" t="s">
        <v>6855</v>
      </c>
      <c r="H968" s="375" t="s">
        <v>975</v>
      </c>
      <c r="I968" s="375" t="s">
        <v>755</v>
      </c>
      <c r="J968" s="375">
        <v>0</v>
      </c>
      <c r="K968" s="375">
        <v>0</v>
      </c>
      <c r="L968" s="375">
        <v>0</v>
      </c>
      <c r="M968" s="375">
        <v>132757.37263</v>
      </c>
      <c r="N968" s="372" t="s">
        <v>1033</v>
      </c>
      <c r="O968" s="703">
        <v>37.664660260010393</v>
      </c>
      <c r="P968" s="375" t="s">
        <v>623</v>
      </c>
      <c r="Q968" s="375" t="s">
        <v>623</v>
      </c>
      <c r="R968" s="695">
        <v>20231121</v>
      </c>
      <c r="S968" s="375" t="s">
        <v>6856</v>
      </c>
      <c r="T968" s="696" t="s">
        <v>772</v>
      </c>
      <c r="U968" s="372" t="s">
        <v>6857</v>
      </c>
      <c r="V968" s="722">
        <v>0</v>
      </c>
      <c r="W968" s="722">
        <v>0.99</v>
      </c>
      <c r="X968" s="722">
        <v>0</v>
      </c>
      <c r="Y968" s="722">
        <v>0</v>
      </c>
      <c r="Z968" s="382">
        <v>0.14687903701559701</v>
      </c>
      <c r="AA968" s="372">
        <v>1151.0234399999999</v>
      </c>
      <c r="AB968" s="372">
        <v>1683.8289258</v>
      </c>
      <c r="AC968" s="372">
        <v>2505.8922088999998</v>
      </c>
      <c r="AD968" s="372">
        <v>2160.5724721000001</v>
      </c>
      <c r="AE968" s="372">
        <v>2785.67</v>
      </c>
      <c r="AF968" s="372">
        <v>3125.5</v>
      </c>
      <c r="AG968" s="372">
        <v>3738</v>
      </c>
      <c r="AH968" s="372">
        <v>0</v>
      </c>
    </row>
    <row r="969" spans="1:34">
      <c r="A969" s="372" t="s">
        <v>6858</v>
      </c>
      <c r="B969" s="373" t="s">
        <v>6859</v>
      </c>
      <c r="C969" s="372" t="s">
        <v>6860</v>
      </c>
      <c r="D969" s="374">
        <v>2101110063190</v>
      </c>
      <c r="E969" s="372" t="s">
        <v>6861</v>
      </c>
      <c r="F969" s="372" t="s">
        <v>2126</v>
      </c>
      <c r="G969" s="375" t="s">
        <v>2126</v>
      </c>
      <c r="H969" s="375" t="s">
        <v>862</v>
      </c>
      <c r="I969" s="375" t="s">
        <v>755</v>
      </c>
      <c r="J969" s="375">
        <v>443162.25777000003</v>
      </c>
      <c r="K969" s="375">
        <v>15564.411109999999</v>
      </c>
      <c r="L969" s="375">
        <v>16590.312569999998</v>
      </c>
      <c r="M969" s="375">
        <v>269928.52638</v>
      </c>
      <c r="N969" s="372">
        <v>0.313</v>
      </c>
      <c r="O969" s="703">
        <v>60.335119554677085</v>
      </c>
      <c r="P969" s="375" t="s">
        <v>623</v>
      </c>
      <c r="Q969" s="372" t="s">
        <v>623</v>
      </c>
      <c r="R969" s="695">
        <v>20090302</v>
      </c>
      <c r="S969" s="372" t="s">
        <v>6862</v>
      </c>
      <c r="T969" s="696">
        <v>0.20900000000000002</v>
      </c>
      <c r="U969" s="372" t="s">
        <v>16038</v>
      </c>
      <c r="V969" s="722">
        <v>13.74</v>
      </c>
      <c r="W969" s="722">
        <v>0.78</v>
      </c>
      <c r="X969" s="722">
        <v>0.41</v>
      </c>
      <c r="Y969" s="722">
        <v>13.83</v>
      </c>
      <c r="Z969" s="382" t="s">
        <v>934</v>
      </c>
      <c r="AA969" s="372">
        <v>2889.7143719999999</v>
      </c>
      <c r="AB969" s="372">
        <v>4213.8592418999997</v>
      </c>
      <c r="AC969" s="372">
        <v>4992.9342109999998</v>
      </c>
      <c r="AD969" s="372">
        <v>4431.6225777</v>
      </c>
      <c r="AE969" s="372">
        <v>0</v>
      </c>
      <c r="AF969" s="372">
        <v>0</v>
      </c>
      <c r="AG969" s="372">
        <v>0</v>
      </c>
      <c r="AH969" s="372">
        <v>0</v>
      </c>
    </row>
    <row r="970" spans="1:34">
      <c r="A970" s="372" t="s">
        <v>6863</v>
      </c>
      <c r="B970" s="373" t="s">
        <v>6864</v>
      </c>
      <c r="C970" s="372" t="s">
        <v>6865</v>
      </c>
      <c r="D970" s="374">
        <v>1201110011990</v>
      </c>
      <c r="E970" s="372" t="s">
        <v>6866</v>
      </c>
      <c r="F970" s="375" t="s">
        <v>900</v>
      </c>
      <c r="G970" s="375" t="s">
        <v>901</v>
      </c>
      <c r="H970" s="375" t="s">
        <v>862</v>
      </c>
      <c r="I970" s="375" t="s">
        <v>755</v>
      </c>
      <c r="J970" s="375">
        <v>1471896.0225899999</v>
      </c>
      <c r="K970" s="375">
        <v>56618.377469999999</v>
      </c>
      <c r="L970" s="375">
        <v>57111.380599999997</v>
      </c>
      <c r="M970" s="375">
        <v>940563.47380000004</v>
      </c>
      <c r="N970" s="372">
        <v>1.016</v>
      </c>
      <c r="O970" s="703">
        <v>145.23126117209517</v>
      </c>
      <c r="P970" s="375" t="s">
        <v>623</v>
      </c>
      <c r="Q970" s="375" t="s">
        <v>623</v>
      </c>
      <c r="R970" s="695">
        <v>19900322</v>
      </c>
      <c r="S970" s="375" t="s">
        <v>6867</v>
      </c>
      <c r="T970" s="696">
        <v>0.23100000000000001</v>
      </c>
      <c r="U970" s="375" t="s">
        <v>6868</v>
      </c>
      <c r="V970" s="722">
        <v>8.1300000000000008</v>
      </c>
      <c r="W970" s="722">
        <v>0.41</v>
      </c>
      <c r="X970" s="722">
        <v>0.13</v>
      </c>
      <c r="Y970" s="722">
        <v>7.03</v>
      </c>
      <c r="Z970" s="382">
        <v>4.2120999357348365E-2</v>
      </c>
      <c r="AA970" s="372">
        <v>9340.0009988000002</v>
      </c>
      <c r="AB970" s="372">
        <v>11900.719957699999</v>
      </c>
      <c r="AC970" s="372">
        <v>14338.8828933</v>
      </c>
      <c r="AD970" s="372">
        <v>14718.9602259</v>
      </c>
      <c r="AE970" s="372">
        <v>15600</v>
      </c>
      <c r="AF970" s="372">
        <v>16450</v>
      </c>
      <c r="AG970" s="372">
        <v>17360</v>
      </c>
      <c r="AH970" s="372">
        <v>0</v>
      </c>
    </row>
    <row r="971" spans="1:34">
      <c r="A971" s="372" t="s">
        <v>6869</v>
      </c>
      <c r="B971" s="373" t="s">
        <v>6870</v>
      </c>
      <c r="C971" s="372" t="s">
        <v>6871</v>
      </c>
      <c r="D971" s="374">
        <v>1760110020145</v>
      </c>
      <c r="E971" s="372" t="s">
        <v>6872</v>
      </c>
      <c r="F971" s="375" t="s">
        <v>2112</v>
      </c>
      <c r="G971" s="375" t="s">
        <v>2112</v>
      </c>
      <c r="H971" s="375" t="s">
        <v>817</v>
      </c>
      <c r="I971" s="375" t="s">
        <v>755</v>
      </c>
      <c r="J971" s="375">
        <v>944614.43935999996</v>
      </c>
      <c r="K971" s="375">
        <v>-13322.02154</v>
      </c>
      <c r="L971" s="375">
        <v>-41200.79593</v>
      </c>
      <c r="M971" s="375">
        <v>213559.76835999999</v>
      </c>
      <c r="N971" s="372">
        <v>1.0649999999999999</v>
      </c>
      <c r="O971" s="703">
        <v>320.86674009459301</v>
      </c>
      <c r="P971" s="375" t="s">
        <v>623</v>
      </c>
      <c r="Q971" s="372" t="s">
        <v>623</v>
      </c>
      <c r="R971" s="695">
        <v>20210820</v>
      </c>
      <c r="S971" s="372" t="s">
        <v>6873</v>
      </c>
      <c r="T971" s="696" t="s">
        <v>772</v>
      </c>
      <c r="U971" s="372" t="s">
        <v>6874</v>
      </c>
      <c r="V971" s="722">
        <v>63.99</v>
      </c>
      <c r="W971" s="722">
        <v>0.85</v>
      </c>
      <c r="X971" s="722">
        <v>0.2</v>
      </c>
      <c r="Y971" s="722" t="s">
        <v>774</v>
      </c>
      <c r="Z971" s="382" t="s">
        <v>934</v>
      </c>
      <c r="AA971" s="372">
        <v>5697.9371553999999</v>
      </c>
      <c r="AB971" s="372">
        <v>9334.0993405000008</v>
      </c>
      <c r="AC971" s="372">
        <v>10561.703901499999</v>
      </c>
      <c r="AD971" s="372">
        <v>9446.1443935999996</v>
      </c>
      <c r="AE971" s="372">
        <v>11126</v>
      </c>
      <c r="AF971" s="372">
        <v>11801</v>
      </c>
      <c r="AG971" s="372">
        <v>0</v>
      </c>
      <c r="AH971" s="372">
        <v>0</v>
      </c>
    </row>
    <row r="972" spans="1:34">
      <c r="A972" s="372" t="s">
        <v>6875</v>
      </c>
      <c r="B972" s="373" t="s">
        <v>6876</v>
      </c>
      <c r="C972" s="372" t="s">
        <v>6877</v>
      </c>
      <c r="D972" s="374">
        <v>1812110002275</v>
      </c>
      <c r="E972" s="372" t="s">
        <v>6878</v>
      </c>
      <c r="F972" s="375" t="s">
        <v>1443</v>
      </c>
      <c r="G972" s="375" t="s">
        <v>5642</v>
      </c>
      <c r="H972" s="375" t="s">
        <v>1050</v>
      </c>
      <c r="I972" s="375" t="s">
        <v>755</v>
      </c>
      <c r="J972" s="375">
        <v>0</v>
      </c>
      <c r="K972" s="375">
        <v>0</v>
      </c>
      <c r="L972" s="375">
        <v>0</v>
      </c>
      <c r="M972" s="375">
        <v>128025.05710999999</v>
      </c>
      <c r="N972" s="372">
        <v>0.35899999999999999</v>
      </c>
      <c r="O972" s="703">
        <v>43.742894552082426</v>
      </c>
      <c r="P972" s="375" t="s">
        <v>623</v>
      </c>
      <c r="Q972" s="375" t="s">
        <v>623</v>
      </c>
      <c r="R972" s="695">
        <v>19890527</v>
      </c>
      <c r="S972" s="375" t="s">
        <v>6879</v>
      </c>
      <c r="T972" s="696" t="s">
        <v>772</v>
      </c>
      <c r="U972" s="372" t="s">
        <v>16039</v>
      </c>
      <c r="V972" s="722">
        <v>0</v>
      </c>
      <c r="W972" s="722">
        <v>1.44</v>
      </c>
      <c r="X972" s="722">
        <v>0</v>
      </c>
      <c r="Y972" s="722">
        <v>0</v>
      </c>
      <c r="Z972" s="382" t="s">
        <v>934</v>
      </c>
      <c r="AA972" s="372">
        <v>1249.4487971999999</v>
      </c>
      <c r="AB972" s="372">
        <v>807.05226860000005</v>
      </c>
      <c r="AC972" s="372">
        <v>1056.7390733</v>
      </c>
      <c r="AD972" s="372">
        <v>1372.5077570999999</v>
      </c>
      <c r="AE972" s="372">
        <v>0</v>
      </c>
      <c r="AF972" s="372">
        <v>0</v>
      </c>
      <c r="AG972" s="372">
        <v>0</v>
      </c>
      <c r="AH972" s="372">
        <v>0</v>
      </c>
    </row>
    <row r="973" spans="1:34">
      <c r="A973" s="372" t="s">
        <v>6880</v>
      </c>
      <c r="B973" s="373" t="s">
        <v>6881</v>
      </c>
      <c r="C973" s="372" t="s">
        <v>6882</v>
      </c>
      <c r="D973" s="374">
        <v>1101112940933</v>
      </c>
      <c r="E973" s="372" t="s">
        <v>6883</v>
      </c>
      <c r="F973" s="375" t="s">
        <v>1062</v>
      </c>
      <c r="G973" s="375" t="s">
        <v>1062</v>
      </c>
      <c r="H973" s="375" t="s">
        <v>868</v>
      </c>
      <c r="I973" s="375" t="s">
        <v>869</v>
      </c>
      <c r="J973" s="375">
        <v>15703.946239999999</v>
      </c>
      <c r="K973" s="375">
        <v>-2230.4818700000001</v>
      </c>
      <c r="L973" s="375">
        <v>-6181.2254400000002</v>
      </c>
      <c r="M973" s="375">
        <v>28843.15856</v>
      </c>
      <c r="N973" s="372">
        <v>0.97099999999999997</v>
      </c>
      <c r="O973" s="703">
        <v>12.467025148458724</v>
      </c>
      <c r="P973" s="375" t="s">
        <v>623</v>
      </c>
      <c r="Q973" s="375" t="s">
        <v>623</v>
      </c>
      <c r="R973" s="695">
        <v>20110713</v>
      </c>
      <c r="S973" s="372" t="s">
        <v>6884</v>
      </c>
      <c r="T973" s="696" t="s">
        <v>772</v>
      </c>
      <c r="U973" s="372" t="s">
        <v>6885</v>
      </c>
      <c r="V973" s="722">
        <v>0</v>
      </c>
      <c r="W973" s="722">
        <v>7.61</v>
      </c>
      <c r="X973" s="722">
        <v>0</v>
      </c>
      <c r="Y973" s="722">
        <v>0</v>
      </c>
      <c r="Z973" s="382" t="s">
        <v>934</v>
      </c>
      <c r="AA973" s="372">
        <v>63.571106999999998</v>
      </c>
      <c r="AB973" s="372">
        <v>136.2537097</v>
      </c>
      <c r="AC973" s="372">
        <v>216.70439540000001</v>
      </c>
      <c r="AD973" s="372">
        <v>157.03946239999999</v>
      </c>
      <c r="AE973" s="372">
        <v>0</v>
      </c>
      <c r="AF973" s="372">
        <v>0</v>
      </c>
      <c r="AG973" s="372">
        <v>0</v>
      </c>
      <c r="AH973" s="372">
        <v>0</v>
      </c>
    </row>
    <row r="974" spans="1:34">
      <c r="A974" s="372" t="s">
        <v>6886</v>
      </c>
      <c r="B974" s="373" t="s">
        <v>6887</v>
      </c>
      <c r="C974" s="372" t="s">
        <v>6888</v>
      </c>
      <c r="D974" s="374">
        <v>1743110003882</v>
      </c>
      <c r="E974" s="372" t="s">
        <v>6889</v>
      </c>
      <c r="F974" s="375" t="s">
        <v>4533</v>
      </c>
      <c r="G974" s="375" t="s">
        <v>4533</v>
      </c>
      <c r="H974" s="375" t="s">
        <v>868</v>
      </c>
      <c r="I974" s="375" t="s">
        <v>869</v>
      </c>
      <c r="J974" s="375">
        <v>85460.172470000005</v>
      </c>
      <c r="K974" s="375">
        <v>18912.75203</v>
      </c>
      <c r="L974" s="375">
        <v>20840.742470000001</v>
      </c>
      <c r="M974" s="375">
        <v>95177.679019999996</v>
      </c>
      <c r="N974" s="372">
        <v>0.97699999999999998</v>
      </c>
      <c r="O974" s="703">
        <v>20.0212673893109</v>
      </c>
      <c r="P974" s="375" t="s">
        <v>623</v>
      </c>
      <c r="Q974" s="375" t="s">
        <v>623</v>
      </c>
      <c r="R974" s="695">
        <v>20151217</v>
      </c>
      <c r="S974" s="375" t="s">
        <v>6890</v>
      </c>
      <c r="T974" s="696">
        <v>0.23100000000000001</v>
      </c>
      <c r="U974" s="372" t="s">
        <v>6891</v>
      </c>
      <c r="V974" s="722">
        <v>7.51</v>
      </c>
      <c r="W974" s="722">
        <v>2.0699999999999998</v>
      </c>
      <c r="X974" s="722">
        <v>2.2999999999999998</v>
      </c>
      <c r="Y974" s="722">
        <v>11.82</v>
      </c>
      <c r="Z974" s="382" t="s">
        <v>934</v>
      </c>
      <c r="AA974" s="372">
        <v>568.98163499999998</v>
      </c>
      <c r="AB974" s="372">
        <v>718.98463679999998</v>
      </c>
      <c r="AC974" s="372">
        <v>874.71227929999998</v>
      </c>
      <c r="AD974" s="372">
        <v>854.60172469999998</v>
      </c>
      <c r="AE974" s="372">
        <v>0</v>
      </c>
      <c r="AF974" s="372">
        <v>0</v>
      </c>
      <c r="AG974" s="372">
        <v>0</v>
      </c>
      <c r="AH974" s="372">
        <v>0</v>
      </c>
    </row>
    <row r="975" spans="1:34">
      <c r="A975" s="372" t="s">
        <v>6892</v>
      </c>
      <c r="B975" s="373" t="s">
        <v>6893</v>
      </c>
      <c r="C975" s="372" t="s">
        <v>6894</v>
      </c>
      <c r="D975" s="374">
        <v>1348110260331</v>
      </c>
      <c r="E975" s="372" t="s">
        <v>6895</v>
      </c>
      <c r="F975" s="375" t="s">
        <v>2742</v>
      </c>
      <c r="G975" s="375" t="s">
        <v>2742</v>
      </c>
      <c r="H975" s="375" t="s">
        <v>1348</v>
      </c>
      <c r="I975" s="375" t="s">
        <v>869</v>
      </c>
      <c r="J975" s="375">
        <v>0</v>
      </c>
      <c r="K975" s="375">
        <v>0</v>
      </c>
      <c r="L975" s="375">
        <v>0</v>
      </c>
      <c r="M975" s="375">
        <v>33608.449200000003</v>
      </c>
      <c r="N975" s="372" t="s">
        <v>1033</v>
      </c>
      <c r="O975" s="703">
        <v>0.62037859700687037</v>
      </c>
      <c r="P975" s="375" t="s">
        <v>623</v>
      </c>
      <c r="Q975" s="372" t="s">
        <v>623</v>
      </c>
      <c r="R975" s="695">
        <v>20240124</v>
      </c>
      <c r="S975" s="372" t="s">
        <v>6896</v>
      </c>
      <c r="T975" s="696" t="s">
        <v>772</v>
      </c>
      <c r="U975" s="372" t="s">
        <v>6897</v>
      </c>
      <c r="V975" s="722">
        <v>0</v>
      </c>
      <c r="W975" s="722">
        <v>0</v>
      </c>
      <c r="X975" s="722">
        <v>0</v>
      </c>
      <c r="Y975" s="722">
        <v>0</v>
      </c>
      <c r="Z975" s="382" t="s">
        <v>934</v>
      </c>
      <c r="AA975" s="372">
        <v>263.3071971</v>
      </c>
      <c r="AB975" s="372">
        <v>312.3679477</v>
      </c>
      <c r="AC975" s="372">
        <v>373.64336429999997</v>
      </c>
      <c r="AD975" s="372">
        <v>406.82712909999998</v>
      </c>
      <c r="AE975" s="372">
        <v>0</v>
      </c>
      <c r="AF975" s="372">
        <v>0</v>
      </c>
      <c r="AG975" s="372">
        <v>0</v>
      </c>
      <c r="AH975" s="372">
        <v>0</v>
      </c>
    </row>
    <row r="976" spans="1:34">
      <c r="A976" s="372" t="s">
        <v>6898</v>
      </c>
      <c r="B976" s="373" t="s">
        <v>6899</v>
      </c>
      <c r="C976" s="372" t="s">
        <v>6900</v>
      </c>
      <c r="D976" s="374">
        <v>1101111934557</v>
      </c>
      <c r="E976" s="372" t="s">
        <v>6901</v>
      </c>
      <c r="F976" s="375" t="s">
        <v>6902</v>
      </c>
      <c r="G976" s="375" t="s">
        <v>6902</v>
      </c>
      <c r="H976" s="375" t="s">
        <v>823</v>
      </c>
      <c r="I976" s="375" t="s">
        <v>755</v>
      </c>
      <c r="J976" s="375">
        <v>2374632.6956000002</v>
      </c>
      <c r="K976" s="375">
        <v>126591.96123</v>
      </c>
      <c r="L976" s="375">
        <v>125273.80954</v>
      </c>
      <c r="M976" s="375">
        <v>793535.25228999997</v>
      </c>
      <c r="N976" s="372">
        <v>1.0840000000000001</v>
      </c>
      <c r="O976" s="703">
        <v>112.45879194342767</v>
      </c>
      <c r="P976" s="375" t="s">
        <v>623</v>
      </c>
      <c r="Q976" s="375" t="s">
        <v>623</v>
      </c>
      <c r="R976" s="695">
        <v>20191106</v>
      </c>
      <c r="S976" s="375" t="s">
        <v>6903</v>
      </c>
      <c r="T976" s="696">
        <v>0.23100000000000001</v>
      </c>
      <c r="U976" s="372" t="s">
        <v>6904</v>
      </c>
      <c r="V976" s="722">
        <v>3.31</v>
      </c>
      <c r="W976" s="722">
        <v>0.48</v>
      </c>
      <c r="X976" s="722">
        <v>0.1</v>
      </c>
      <c r="Y976" s="722">
        <v>6.11</v>
      </c>
      <c r="Z976" s="382">
        <v>-1.8024490803228876E-2</v>
      </c>
      <c r="AA976" s="372">
        <v>3562.1240520000001</v>
      </c>
      <c r="AB976" s="372">
        <v>4357.3082946000004</v>
      </c>
      <c r="AC976" s="372">
        <v>24790.109329399998</v>
      </c>
      <c r="AD976" s="372">
        <v>23746.326956000001</v>
      </c>
      <c r="AE976" s="372">
        <v>21930</v>
      </c>
      <c r="AF976" s="372">
        <v>22690</v>
      </c>
      <c r="AG976" s="372">
        <v>22080</v>
      </c>
      <c r="AH976" s="372">
        <v>23550</v>
      </c>
    </row>
    <row r="977" spans="1:34">
      <c r="A977" s="372" t="s">
        <v>6905</v>
      </c>
      <c r="B977" s="373" t="s">
        <v>6906</v>
      </c>
      <c r="C977" s="372" t="s">
        <v>6907</v>
      </c>
      <c r="D977" s="374">
        <v>1601110019277</v>
      </c>
      <c r="E977" s="372" t="s">
        <v>6908</v>
      </c>
      <c r="F977" s="375" t="s">
        <v>1404</v>
      </c>
      <c r="G977" s="375" t="s">
        <v>6909</v>
      </c>
      <c r="H977" s="375" t="s">
        <v>902</v>
      </c>
      <c r="I977" s="375" t="s">
        <v>869</v>
      </c>
      <c r="J977" s="375">
        <v>124218.46815</v>
      </c>
      <c r="K977" s="375">
        <v>82139.916790000003</v>
      </c>
      <c r="L977" s="375">
        <v>84827.407930000001</v>
      </c>
      <c r="M977" s="375">
        <v>612033.99375999998</v>
      </c>
      <c r="N977" s="372">
        <v>0.68600000000000005</v>
      </c>
      <c r="O977" s="703">
        <v>1589.9397011947858</v>
      </c>
      <c r="P977" s="375" t="s">
        <v>623</v>
      </c>
      <c r="Q977" s="372" t="s">
        <v>623</v>
      </c>
      <c r="R977" s="695">
        <v>19941031</v>
      </c>
      <c r="S977" s="372" t="s">
        <v>6910</v>
      </c>
      <c r="T977" s="696">
        <v>0.23100000000000001</v>
      </c>
      <c r="U977" s="372" t="s">
        <v>6911</v>
      </c>
      <c r="V977" s="722">
        <v>0</v>
      </c>
      <c r="W977" s="722">
        <v>0.3</v>
      </c>
      <c r="X977" s="722">
        <v>0.48</v>
      </c>
      <c r="Y977" s="722">
        <v>2.8</v>
      </c>
      <c r="Z977" s="382" t="s">
        <v>934</v>
      </c>
      <c r="AA977" s="372">
        <v>761.56824959999994</v>
      </c>
      <c r="AB977" s="372">
        <v>1156.1952447000001</v>
      </c>
      <c r="AC977" s="372">
        <v>1336.9112637000001</v>
      </c>
      <c r="AD977" s="372">
        <v>1242.1846814999999</v>
      </c>
      <c r="AE977" s="372">
        <v>0</v>
      </c>
      <c r="AF977" s="372">
        <v>0</v>
      </c>
      <c r="AG977" s="372">
        <v>0</v>
      </c>
      <c r="AH977" s="372">
        <v>0</v>
      </c>
    </row>
    <row r="978" spans="1:34">
      <c r="A978" s="372" t="s">
        <v>6912</v>
      </c>
      <c r="B978" s="373" t="s">
        <v>6913</v>
      </c>
      <c r="C978" s="372" t="s">
        <v>6914</v>
      </c>
      <c r="D978" s="374">
        <v>0</v>
      </c>
      <c r="E978" s="372" t="s">
        <v>6915</v>
      </c>
      <c r="F978" s="375" t="s">
        <v>1013</v>
      </c>
      <c r="G978" s="375" t="s">
        <v>3530</v>
      </c>
      <c r="H978" s="375">
        <v>0</v>
      </c>
      <c r="I978" s="375" t="s">
        <v>869</v>
      </c>
      <c r="J978" s="375">
        <v>99132</v>
      </c>
      <c r="K978" s="375">
        <v>25109.969000000001</v>
      </c>
      <c r="L978" s="375">
        <v>25821.42</v>
      </c>
      <c r="M978" s="375">
        <v>153001.413</v>
      </c>
      <c r="N978" s="372">
        <v>0.69299999999999995</v>
      </c>
      <c r="O978" s="703">
        <v>1.1314182452546684</v>
      </c>
      <c r="P978" s="375" t="s">
        <v>623</v>
      </c>
      <c r="Q978" s="372" t="s">
        <v>623</v>
      </c>
      <c r="R978" s="695">
        <v>20200818</v>
      </c>
      <c r="S978" s="372" t="s">
        <v>6916</v>
      </c>
      <c r="T978" s="696">
        <v>0.23100000000000001</v>
      </c>
      <c r="U978" s="372" t="s">
        <v>6917</v>
      </c>
      <c r="V978" s="722">
        <v>5.61</v>
      </c>
      <c r="W978" s="722">
        <v>1.02</v>
      </c>
      <c r="X978" s="722">
        <v>1.55</v>
      </c>
      <c r="Y978" s="722">
        <v>6.95</v>
      </c>
      <c r="Z978" s="382" t="s">
        <v>934</v>
      </c>
      <c r="AA978" s="372">
        <v>1129.5561499999999</v>
      </c>
      <c r="AB978" s="372">
        <v>944.34223999999995</v>
      </c>
      <c r="AC978" s="372">
        <v>981.15557999999999</v>
      </c>
      <c r="AD978" s="372">
        <v>991.32</v>
      </c>
      <c r="AE978" s="372">
        <v>1150</v>
      </c>
      <c r="AF978" s="372">
        <v>0</v>
      </c>
      <c r="AG978" s="372">
        <v>0</v>
      </c>
      <c r="AH978" s="372">
        <v>0</v>
      </c>
    </row>
    <row r="979" spans="1:34">
      <c r="A979" s="372" t="s">
        <v>6918</v>
      </c>
      <c r="B979" s="373" t="s">
        <v>6919</v>
      </c>
      <c r="C979" s="372" t="s">
        <v>6920</v>
      </c>
      <c r="D979" s="374">
        <v>1101115448356</v>
      </c>
      <c r="E979" s="372" t="s">
        <v>6921</v>
      </c>
      <c r="F979" s="375" t="s">
        <v>1381</v>
      </c>
      <c r="G979" s="375" t="s">
        <v>1381</v>
      </c>
      <c r="H979" s="375" t="s">
        <v>868</v>
      </c>
      <c r="I979" s="375" t="s">
        <v>869</v>
      </c>
      <c r="J979" s="375">
        <v>232738.67954000001</v>
      </c>
      <c r="K979" s="375">
        <v>33279.006370000003</v>
      </c>
      <c r="L979" s="375">
        <v>25561.798419999999</v>
      </c>
      <c r="M979" s="375">
        <v>106612.34564</v>
      </c>
      <c r="N979" s="372">
        <v>1.034</v>
      </c>
      <c r="O979" s="703">
        <v>154.64134377269582</v>
      </c>
      <c r="P979" s="375" t="s">
        <v>623</v>
      </c>
      <c r="Q979" s="375" t="s">
        <v>623</v>
      </c>
      <c r="R979" s="695">
        <v>20141013</v>
      </c>
      <c r="S979" s="375" t="s">
        <v>6922</v>
      </c>
      <c r="T979" s="696">
        <v>0.23100000000000001</v>
      </c>
      <c r="U979" s="375" t="s">
        <v>6923</v>
      </c>
      <c r="V979" s="722">
        <v>3.65</v>
      </c>
      <c r="W979" s="722">
        <v>1.61</v>
      </c>
      <c r="X979" s="722">
        <v>0.73</v>
      </c>
      <c r="Y979" s="722">
        <v>7.61</v>
      </c>
      <c r="Z979" s="382" t="s">
        <v>934</v>
      </c>
      <c r="AA979" s="372">
        <v>1584.0833296999999</v>
      </c>
      <c r="AB979" s="372">
        <v>1895.1098433</v>
      </c>
      <c r="AC979" s="372">
        <v>2241.9472418999999</v>
      </c>
      <c r="AD979" s="372">
        <v>2327.3867954000002</v>
      </c>
      <c r="AE979" s="372">
        <v>0</v>
      </c>
      <c r="AF979" s="372">
        <v>0</v>
      </c>
      <c r="AG979" s="372">
        <v>0</v>
      </c>
      <c r="AH979" s="372">
        <v>0</v>
      </c>
    </row>
    <row r="980" spans="1:34">
      <c r="A980" s="372" t="s">
        <v>6924</v>
      </c>
      <c r="B980" s="373" t="s">
        <v>6925</v>
      </c>
      <c r="C980" s="372" t="s">
        <v>6926</v>
      </c>
      <c r="D980" s="374">
        <v>1746110022860</v>
      </c>
      <c r="E980" s="372" t="s">
        <v>6927</v>
      </c>
      <c r="F980" s="372" t="s">
        <v>2112</v>
      </c>
      <c r="G980" s="375" t="s">
        <v>2112</v>
      </c>
      <c r="H980" s="375" t="s">
        <v>817</v>
      </c>
      <c r="I980" s="375" t="s">
        <v>755</v>
      </c>
      <c r="J980" s="375">
        <v>0</v>
      </c>
      <c r="K980" s="375">
        <v>0</v>
      </c>
      <c r="L980" s="375">
        <v>0</v>
      </c>
      <c r="M980" s="375">
        <v>444944.99427999998</v>
      </c>
      <c r="N980" s="372" t="s">
        <v>1033</v>
      </c>
      <c r="O980" s="703">
        <v>35.240367130014988</v>
      </c>
      <c r="P980" s="375" t="s">
        <v>623</v>
      </c>
      <c r="Q980" s="372" t="s">
        <v>623</v>
      </c>
      <c r="R980" s="695">
        <v>20230821</v>
      </c>
      <c r="S980" s="372" t="s">
        <v>6928</v>
      </c>
      <c r="T980" s="696" t="s">
        <v>772</v>
      </c>
      <c r="U980" s="372" t="s">
        <v>6929</v>
      </c>
      <c r="V980" s="722">
        <v>0</v>
      </c>
      <c r="W980" s="722">
        <v>0.42</v>
      </c>
      <c r="X980" s="722">
        <v>0</v>
      </c>
      <c r="Y980" s="722">
        <v>0</v>
      </c>
      <c r="Z980" s="382" t="s">
        <v>934</v>
      </c>
      <c r="AA980" s="372">
        <v>2120.2169800000001</v>
      </c>
      <c r="AB980" s="372">
        <v>4247.1854806000001</v>
      </c>
      <c r="AC980" s="372">
        <v>6684.0364981000002</v>
      </c>
      <c r="AD980" s="372">
        <v>6190.5205691000001</v>
      </c>
      <c r="AE980" s="372">
        <v>0</v>
      </c>
      <c r="AF980" s="372">
        <v>0</v>
      </c>
      <c r="AG980" s="372">
        <v>0</v>
      </c>
      <c r="AH980" s="372">
        <v>0</v>
      </c>
    </row>
    <row r="981" spans="1:34">
      <c r="A981" s="372" t="s">
        <v>6930</v>
      </c>
      <c r="B981" s="373" t="s">
        <v>6931</v>
      </c>
      <c r="C981" s="372" t="s">
        <v>6932</v>
      </c>
      <c r="D981" s="374">
        <v>1101110054520</v>
      </c>
      <c r="E981" s="372" t="s">
        <v>6933</v>
      </c>
      <c r="F981" s="375" t="s">
        <v>2098</v>
      </c>
      <c r="G981" s="375" t="s">
        <v>3436</v>
      </c>
      <c r="H981" s="375" t="s">
        <v>1388</v>
      </c>
      <c r="I981" s="375" t="s">
        <v>869</v>
      </c>
      <c r="J981" s="375">
        <v>65163.779549999999</v>
      </c>
      <c r="K981" s="375">
        <v>3459.3306899999998</v>
      </c>
      <c r="L981" s="375">
        <v>-9461.8574399999998</v>
      </c>
      <c r="M981" s="375">
        <v>241186.85915999999</v>
      </c>
      <c r="N981" s="372">
        <v>1.137</v>
      </c>
      <c r="O981" s="703">
        <v>18.706346611857686</v>
      </c>
      <c r="P981" s="375" t="s">
        <v>16142</v>
      </c>
      <c r="Q981" s="372" t="s">
        <v>16145</v>
      </c>
      <c r="R981" s="695">
        <v>19941222</v>
      </c>
      <c r="S981" s="372" t="s">
        <v>6934</v>
      </c>
      <c r="T981" s="696" t="s">
        <v>772</v>
      </c>
      <c r="U981" s="372" t="s">
        <v>6935</v>
      </c>
      <c r="V981" s="722">
        <v>36.67</v>
      </c>
      <c r="W981" s="722">
        <v>0.82</v>
      </c>
      <c r="X981" s="722">
        <v>2.77</v>
      </c>
      <c r="Y981" s="722" t="s">
        <v>774</v>
      </c>
      <c r="Z981" s="382" t="s">
        <v>934</v>
      </c>
      <c r="AA981" s="372">
        <v>532.95891759999995</v>
      </c>
      <c r="AB981" s="372">
        <v>667.89424729999996</v>
      </c>
      <c r="AC981" s="372">
        <v>524.88492350000001</v>
      </c>
      <c r="AD981" s="372">
        <v>651.63779550000004</v>
      </c>
      <c r="AE981" s="372">
        <v>0</v>
      </c>
      <c r="AF981" s="372">
        <v>0</v>
      </c>
      <c r="AG981" s="372">
        <v>0</v>
      </c>
      <c r="AH981" s="372">
        <v>0</v>
      </c>
    </row>
    <row r="982" spans="1:34">
      <c r="A982" s="372" t="s">
        <v>6936</v>
      </c>
      <c r="B982" s="373" t="s">
        <v>6937</v>
      </c>
      <c r="C982" s="372" t="s">
        <v>6938</v>
      </c>
      <c r="D982" s="374">
        <v>1311110444346</v>
      </c>
      <c r="E982" s="372" t="s">
        <v>6939</v>
      </c>
      <c r="F982" s="375" t="s">
        <v>1124</v>
      </c>
      <c r="G982" s="375" t="s">
        <v>1347</v>
      </c>
      <c r="H982" s="375" t="s">
        <v>1348</v>
      </c>
      <c r="I982" s="375" t="s">
        <v>869</v>
      </c>
      <c r="J982" s="375">
        <v>0</v>
      </c>
      <c r="K982" s="375">
        <v>0</v>
      </c>
      <c r="L982" s="375">
        <v>0</v>
      </c>
      <c r="M982" s="375">
        <v>28349.203030000001</v>
      </c>
      <c r="N982" s="372" t="s">
        <v>1033</v>
      </c>
      <c r="O982" s="703">
        <v>0.1503502701495362</v>
      </c>
      <c r="P982" s="375" t="s">
        <v>623</v>
      </c>
      <c r="Q982" s="375" t="s">
        <v>623</v>
      </c>
      <c r="R982" s="695">
        <v>20230727</v>
      </c>
      <c r="S982" s="375" t="s">
        <v>6940</v>
      </c>
      <c r="T982" s="696" t="s">
        <v>772</v>
      </c>
      <c r="U982" s="372" t="s">
        <v>6941</v>
      </c>
      <c r="V982" s="722">
        <v>0</v>
      </c>
      <c r="W982" s="722">
        <v>6.76</v>
      </c>
      <c r="X982" s="722">
        <v>0</v>
      </c>
      <c r="Y982" s="722">
        <v>0</v>
      </c>
      <c r="Z982" s="382" t="s">
        <v>774</v>
      </c>
      <c r="AA982" s="372">
        <v>1.8767971000000001</v>
      </c>
      <c r="AB982" s="372">
        <v>0.56999999999999995</v>
      </c>
      <c r="AC982" s="372">
        <v>3</v>
      </c>
      <c r="AD982" s="372">
        <v>0</v>
      </c>
      <c r="AE982" s="372">
        <v>0</v>
      </c>
      <c r="AF982" s="372">
        <v>0</v>
      </c>
      <c r="AG982" s="372">
        <v>0</v>
      </c>
      <c r="AH982" s="372">
        <v>0</v>
      </c>
    </row>
    <row r="983" spans="1:34">
      <c r="A983" s="372" t="s">
        <v>6942</v>
      </c>
      <c r="B983" s="373" t="s">
        <v>6943</v>
      </c>
      <c r="C983" s="372" t="s">
        <v>6944</v>
      </c>
      <c r="D983" s="374">
        <v>1101115745520</v>
      </c>
      <c r="E983" s="372" t="s">
        <v>6945</v>
      </c>
      <c r="F983" s="375" t="s">
        <v>3248</v>
      </c>
      <c r="G983" s="375" t="s">
        <v>3248</v>
      </c>
      <c r="H983" s="375" t="s">
        <v>868</v>
      </c>
      <c r="I983" s="375" t="s">
        <v>869</v>
      </c>
      <c r="J983" s="375">
        <v>104713.4725</v>
      </c>
      <c r="K983" s="375">
        <v>-13635.978359999999</v>
      </c>
      <c r="L983" s="375">
        <v>-31419.267919999998</v>
      </c>
      <c r="M983" s="375">
        <v>33054.15797</v>
      </c>
      <c r="N983" s="372">
        <v>1.0109999999999999</v>
      </c>
      <c r="O983" s="703">
        <v>29.68877002664248</v>
      </c>
      <c r="P983" s="375" t="s">
        <v>16142</v>
      </c>
      <c r="Q983" s="372" t="s">
        <v>16145</v>
      </c>
      <c r="R983" s="695">
        <v>20150813</v>
      </c>
      <c r="S983" s="372" t="s">
        <v>6946</v>
      </c>
      <c r="T983" s="696" t="s">
        <v>772</v>
      </c>
      <c r="U983" s="372" t="s">
        <v>6947</v>
      </c>
      <c r="V983" s="722" t="s">
        <v>774</v>
      </c>
      <c r="W983" s="722">
        <v>4.3600000000000003</v>
      </c>
      <c r="X983" s="722">
        <v>1.42</v>
      </c>
      <c r="Y983" s="722" t="s">
        <v>774</v>
      </c>
      <c r="Z983" s="382" t="s">
        <v>934</v>
      </c>
      <c r="AA983" s="372">
        <v>82.221686599999998</v>
      </c>
      <c r="AB983" s="372">
        <v>768.26098590000004</v>
      </c>
      <c r="AC983" s="372">
        <v>1131.3308589999999</v>
      </c>
      <c r="AD983" s="372">
        <v>1047.1347249999999</v>
      </c>
      <c r="AE983" s="372">
        <v>0</v>
      </c>
      <c r="AF983" s="372">
        <v>0</v>
      </c>
      <c r="AG983" s="372">
        <v>0</v>
      </c>
      <c r="AH983" s="372">
        <v>0</v>
      </c>
    </row>
    <row r="984" spans="1:34">
      <c r="A984" s="372" t="s">
        <v>6948</v>
      </c>
      <c r="B984" s="373" t="s">
        <v>6949</v>
      </c>
      <c r="C984" s="372" t="s">
        <v>6950</v>
      </c>
      <c r="D984" s="374">
        <v>1101114017227</v>
      </c>
      <c r="E984" s="372" t="s">
        <v>6951</v>
      </c>
      <c r="F984" s="372" t="s">
        <v>2147</v>
      </c>
      <c r="G984" s="375" t="s">
        <v>4509</v>
      </c>
      <c r="H984" s="375" t="s">
        <v>868</v>
      </c>
      <c r="I984" s="375" t="s">
        <v>869</v>
      </c>
      <c r="J984" s="375">
        <v>29904.806619999999</v>
      </c>
      <c r="K984" s="375">
        <v>2034.33104</v>
      </c>
      <c r="L984" s="375">
        <v>-6468.0172499999999</v>
      </c>
      <c r="M984" s="375">
        <v>30586.923999999999</v>
      </c>
      <c r="N984" s="372">
        <v>1.0089999999999999</v>
      </c>
      <c r="O984" s="703">
        <v>7.8451125950293372</v>
      </c>
      <c r="P984" s="375" t="s">
        <v>623</v>
      </c>
      <c r="Q984" s="375" t="s">
        <v>623</v>
      </c>
      <c r="R984" s="695">
        <v>20130701</v>
      </c>
      <c r="S984" s="375" t="s">
        <v>6952</v>
      </c>
      <c r="T984" s="696" t="s">
        <v>772</v>
      </c>
      <c r="U984" s="375" t="s">
        <v>6953</v>
      </c>
      <c r="V984" s="722">
        <v>45.76</v>
      </c>
      <c r="W984" s="722">
        <v>5.74</v>
      </c>
      <c r="X984" s="722">
        <v>5.8</v>
      </c>
      <c r="Y984" s="722" t="s">
        <v>774</v>
      </c>
      <c r="Z984" s="382" t="s">
        <v>934</v>
      </c>
      <c r="AA984" s="372">
        <v>193.56047459999999</v>
      </c>
      <c r="AB984" s="372">
        <v>153.72574660000001</v>
      </c>
      <c r="AC984" s="372">
        <v>197.6745956</v>
      </c>
      <c r="AD984" s="372">
        <v>299.04806619999999</v>
      </c>
      <c r="AE984" s="372">
        <v>612</v>
      </c>
      <c r="AF984" s="372">
        <v>945</v>
      </c>
      <c r="AG984" s="372">
        <v>0</v>
      </c>
      <c r="AH984" s="372">
        <v>0</v>
      </c>
    </row>
    <row r="985" spans="1:34">
      <c r="A985" s="372" t="s">
        <v>6954</v>
      </c>
      <c r="B985" s="373" t="s">
        <v>6955</v>
      </c>
      <c r="C985" s="372" t="s">
        <v>6956</v>
      </c>
      <c r="D985" s="374">
        <v>1301110026260</v>
      </c>
      <c r="E985" s="372" t="s">
        <v>6957</v>
      </c>
      <c r="F985" s="375" t="s">
        <v>1728</v>
      </c>
      <c r="G985" s="375" t="s">
        <v>1729</v>
      </c>
      <c r="H985" s="375" t="s">
        <v>868</v>
      </c>
      <c r="I985" s="375" t="s">
        <v>869</v>
      </c>
      <c r="J985" s="375">
        <v>375301.29665999999</v>
      </c>
      <c r="K985" s="375">
        <v>6520.6136299999998</v>
      </c>
      <c r="L985" s="375">
        <v>12862.706690000001</v>
      </c>
      <c r="M985" s="375">
        <v>209562.11220999999</v>
      </c>
      <c r="N985" s="372">
        <v>1.046</v>
      </c>
      <c r="O985" s="703">
        <v>66.438902251307965</v>
      </c>
      <c r="P985" s="375" t="s">
        <v>623</v>
      </c>
      <c r="Q985" s="375" t="s">
        <v>623</v>
      </c>
      <c r="R985" s="695">
        <v>20001020</v>
      </c>
      <c r="S985" s="375" t="s">
        <v>6958</v>
      </c>
      <c r="T985" s="696">
        <v>0.20900000000000002</v>
      </c>
      <c r="U985" s="372" t="s">
        <v>6959</v>
      </c>
      <c r="V985" s="722">
        <v>13.14</v>
      </c>
      <c r="W985" s="722">
        <v>0.77</v>
      </c>
      <c r="X985" s="722">
        <v>0.5</v>
      </c>
      <c r="Y985" s="722">
        <v>18.91</v>
      </c>
      <c r="Z985" s="382" t="s">
        <v>934</v>
      </c>
      <c r="AA985" s="372">
        <v>3823.4316257999999</v>
      </c>
      <c r="AB985" s="372">
        <v>4002.3347902</v>
      </c>
      <c r="AC985" s="372">
        <v>3289.9063159000002</v>
      </c>
      <c r="AD985" s="372">
        <v>3753.0129665999998</v>
      </c>
      <c r="AE985" s="372">
        <v>0</v>
      </c>
      <c r="AF985" s="372">
        <v>0</v>
      </c>
      <c r="AG985" s="372">
        <v>0</v>
      </c>
      <c r="AH985" s="372">
        <v>0</v>
      </c>
    </row>
    <row r="986" spans="1:34">
      <c r="A986" s="372" t="s">
        <v>6960</v>
      </c>
      <c r="B986" s="373" t="s">
        <v>6961</v>
      </c>
      <c r="C986" s="372" t="s">
        <v>6962</v>
      </c>
      <c r="D986" s="374">
        <v>1101112276784</v>
      </c>
      <c r="E986" s="372" t="s">
        <v>6963</v>
      </c>
      <c r="F986" s="375" t="s">
        <v>1592</v>
      </c>
      <c r="G986" s="375" t="s">
        <v>1593</v>
      </c>
      <c r="H986" s="375" t="s">
        <v>868</v>
      </c>
      <c r="I986" s="375" t="s">
        <v>869</v>
      </c>
      <c r="J986" s="375">
        <v>398256.03632000001</v>
      </c>
      <c r="K986" s="375">
        <v>-31751.419910000001</v>
      </c>
      <c r="L986" s="375">
        <v>-38447.561439999998</v>
      </c>
      <c r="M986" s="375">
        <v>249338.99916000001</v>
      </c>
      <c r="N986" s="372">
        <v>0.96</v>
      </c>
      <c r="O986" s="703">
        <v>84.957916783646752</v>
      </c>
      <c r="P986" s="375" t="s">
        <v>623</v>
      </c>
      <c r="Q986" s="372" t="s">
        <v>623</v>
      </c>
      <c r="R986" s="695">
        <v>20090831</v>
      </c>
      <c r="S986" s="372" t="s">
        <v>6964</v>
      </c>
      <c r="T986" s="696" t="s">
        <v>772</v>
      </c>
      <c r="U986" s="372" t="s">
        <v>6965</v>
      </c>
      <c r="V986" s="722" t="s">
        <v>774</v>
      </c>
      <c r="W986" s="722">
        <v>0.73</v>
      </c>
      <c r="X986" s="722">
        <v>0.44</v>
      </c>
      <c r="Y986" s="722" t="s">
        <v>774</v>
      </c>
      <c r="Z986" s="382" t="s">
        <v>934</v>
      </c>
      <c r="AA986" s="372">
        <v>2946.5504018000001</v>
      </c>
      <c r="AB986" s="372">
        <v>3787.7597298999999</v>
      </c>
      <c r="AC986" s="372">
        <v>4771.4289366000003</v>
      </c>
      <c r="AD986" s="372">
        <v>3982.5603632000002</v>
      </c>
      <c r="AE986" s="372">
        <v>4810</v>
      </c>
      <c r="AF986" s="372">
        <v>5610</v>
      </c>
      <c r="AG986" s="372">
        <v>0</v>
      </c>
      <c r="AH986" s="372">
        <v>0</v>
      </c>
    </row>
    <row r="987" spans="1:34">
      <c r="A987" s="372" t="s">
        <v>6966</v>
      </c>
      <c r="B987" s="373" t="s">
        <v>6967</v>
      </c>
      <c r="C987" s="372" t="s">
        <v>6968</v>
      </c>
      <c r="D987" s="374">
        <v>1101111394420</v>
      </c>
      <c r="E987" s="372" t="s">
        <v>6969</v>
      </c>
      <c r="F987" s="375" t="s">
        <v>622</v>
      </c>
      <c r="G987" s="375" t="s">
        <v>622</v>
      </c>
      <c r="H987" s="375" t="s">
        <v>1388</v>
      </c>
      <c r="I987" s="375" t="s">
        <v>869</v>
      </c>
      <c r="J987" s="375">
        <v>420618.98820000002</v>
      </c>
      <c r="K987" s="375">
        <v>35436.036529999998</v>
      </c>
      <c r="L987" s="375">
        <v>31062.50822</v>
      </c>
      <c r="M987" s="375">
        <v>209290.27158</v>
      </c>
      <c r="N987" s="372">
        <v>1.2190000000000001</v>
      </c>
      <c r="O987" s="703">
        <v>69.996186531169101</v>
      </c>
      <c r="P987" s="375" t="s">
        <v>623</v>
      </c>
      <c r="Q987" s="372" t="s">
        <v>623</v>
      </c>
      <c r="R987" s="695">
        <v>20060519</v>
      </c>
      <c r="S987" s="372" t="s">
        <v>6970</v>
      </c>
      <c r="T987" s="696">
        <v>0.23100000000000001</v>
      </c>
      <c r="U987" s="375" t="s">
        <v>6971</v>
      </c>
      <c r="V987" s="722">
        <v>4.4000000000000004</v>
      </c>
      <c r="W987" s="722">
        <v>1</v>
      </c>
      <c r="X987" s="722">
        <v>0.49</v>
      </c>
      <c r="Y987" s="722">
        <v>13.13</v>
      </c>
      <c r="Z987" s="382" t="s">
        <v>934</v>
      </c>
      <c r="AA987" s="372">
        <v>1975.6647426</v>
      </c>
      <c r="AB987" s="372">
        <v>2253.8652579999998</v>
      </c>
      <c r="AC987" s="372">
        <v>3367.0908008000001</v>
      </c>
      <c r="AD987" s="372">
        <v>4206.1898819999997</v>
      </c>
      <c r="AE987" s="372">
        <v>5059</v>
      </c>
      <c r="AF987" s="372">
        <v>0</v>
      </c>
      <c r="AG987" s="372">
        <v>0</v>
      </c>
      <c r="AH987" s="372">
        <v>0</v>
      </c>
    </row>
    <row r="988" spans="1:34">
      <c r="A988" s="372" t="s">
        <v>6972</v>
      </c>
      <c r="B988" s="373" t="s">
        <v>6973</v>
      </c>
      <c r="C988" s="372" t="s">
        <v>6974</v>
      </c>
      <c r="D988" s="374">
        <v>1543110001715</v>
      </c>
      <c r="E988" s="372" t="s">
        <v>6975</v>
      </c>
      <c r="F988" s="375" t="s">
        <v>5353</v>
      </c>
      <c r="G988" s="375" t="s">
        <v>5353</v>
      </c>
      <c r="H988" s="375" t="s">
        <v>868</v>
      </c>
      <c r="I988" s="375" t="s">
        <v>869</v>
      </c>
      <c r="J988" s="375">
        <v>1500248.2723300001</v>
      </c>
      <c r="K988" s="375">
        <v>26245.499820000001</v>
      </c>
      <c r="L988" s="375">
        <v>14036.92828</v>
      </c>
      <c r="M988" s="375">
        <v>255055.18530000001</v>
      </c>
      <c r="N988" s="372">
        <v>0.99199999999999999</v>
      </c>
      <c r="O988" s="703">
        <v>285.09732930603678</v>
      </c>
      <c r="P988" s="375" t="s">
        <v>623</v>
      </c>
      <c r="Q988" s="372" t="s">
        <v>623</v>
      </c>
      <c r="R988" s="695">
        <v>19960629</v>
      </c>
      <c r="S988" s="375" t="s">
        <v>6976</v>
      </c>
      <c r="T988" s="696">
        <v>0.20900000000000002</v>
      </c>
      <c r="U988" s="375" t="s">
        <v>6977</v>
      </c>
      <c r="V988" s="722">
        <v>15.78</v>
      </c>
      <c r="W988" s="722">
        <v>0.84</v>
      </c>
      <c r="X988" s="722">
        <v>0.12</v>
      </c>
      <c r="Y988" s="722">
        <v>17.86</v>
      </c>
      <c r="Z988" s="382" t="s">
        <v>934</v>
      </c>
      <c r="AA988" s="372">
        <v>9653.8703286</v>
      </c>
      <c r="AB988" s="372">
        <v>10339.1762105</v>
      </c>
      <c r="AC988" s="372">
        <v>14264.509448700001</v>
      </c>
      <c r="AD988" s="372">
        <v>15002.4827233</v>
      </c>
      <c r="AE988" s="372">
        <v>0</v>
      </c>
      <c r="AF988" s="372">
        <v>0</v>
      </c>
      <c r="AG988" s="372">
        <v>0</v>
      </c>
      <c r="AH988" s="372">
        <v>0</v>
      </c>
    </row>
    <row r="989" spans="1:34">
      <c r="A989" s="372" t="s">
        <v>6978</v>
      </c>
      <c r="B989" s="373" t="s">
        <v>6979</v>
      </c>
      <c r="C989" s="372" t="s">
        <v>6980</v>
      </c>
      <c r="D989" s="374">
        <v>1350110122156</v>
      </c>
      <c r="E989" s="372" t="s">
        <v>6981</v>
      </c>
      <c r="F989" s="372" t="s">
        <v>770</v>
      </c>
      <c r="G989" s="375" t="s">
        <v>770</v>
      </c>
      <c r="H989" s="375" t="s">
        <v>1388</v>
      </c>
      <c r="I989" s="375" t="s">
        <v>869</v>
      </c>
      <c r="J989" s="375">
        <v>503960.84628</v>
      </c>
      <c r="K989" s="375">
        <v>-72949.875239999994</v>
      </c>
      <c r="L989" s="375">
        <v>-100635.5111</v>
      </c>
      <c r="M989" s="375">
        <v>92945.671470000001</v>
      </c>
      <c r="N989" s="372">
        <v>1.296</v>
      </c>
      <c r="O989" s="703">
        <v>229.68894693167147</v>
      </c>
      <c r="P989" s="375" t="s">
        <v>623</v>
      </c>
      <c r="Q989" s="375" t="s">
        <v>623</v>
      </c>
      <c r="R989" s="695">
        <v>20200306</v>
      </c>
      <c r="S989" s="375" t="s">
        <v>6982</v>
      </c>
      <c r="T989" s="696" t="s">
        <v>772</v>
      </c>
      <c r="U989" s="375" t="s">
        <v>6983</v>
      </c>
      <c r="V989" s="722">
        <v>247.94</v>
      </c>
      <c r="W989" s="722">
        <v>6.71</v>
      </c>
      <c r="X989" s="722">
        <v>0.31</v>
      </c>
      <c r="Y989" s="722" t="s">
        <v>774</v>
      </c>
      <c r="Z989" s="382" t="s">
        <v>934</v>
      </c>
      <c r="AA989" s="372">
        <v>4312.8219249000003</v>
      </c>
      <c r="AB989" s="372">
        <v>4886.7672475999998</v>
      </c>
      <c r="AC989" s="372">
        <v>4387.9159128000001</v>
      </c>
      <c r="AD989" s="372">
        <v>5039.6084627999999</v>
      </c>
      <c r="AE989" s="372">
        <v>0</v>
      </c>
      <c r="AF989" s="372">
        <v>0</v>
      </c>
      <c r="AG989" s="372">
        <v>0</v>
      </c>
      <c r="AH989" s="372">
        <v>0</v>
      </c>
    </row>
    <row r="990" spans="1:34">
      <c r="A990" s="372" t="s">
        <v>6984</v>
      </c>
      <c r="B990" s="373" t="s">
        <v>6985</v>
      </c>
      <c r="C990" s="372" t="s">
        <v>6986</v>
      </c>
      <c r="D990" s="374">
        <v>1348110002080</v>
      </c>
      <c r="E990" s="372" t="s">
        <v>6987</v>
      </c>
      <c r="F990" s="375" t="s">
        <v>1614</v>
      </c>
      <c r="G990" s="375" t="s">
        <v>1615</v>
      </c>
      <c r="H990" s="375" t="s">
        <v>832</v>
      </c>
      <c r="I990" s="375" t="s">
        <v>755</v>
      </c>
      <c r="J990" s="375">
        <v>656027.30316000001</v>
      </c>
      <c r="K990" s="375">
        <v>44128.087570000003</v>
      </c>
      <c r="L990" s="375">
        <v>48158.468529999998</v>
      </c>
      <c r="M990" s="375">
        <v>450039.50001000002</v>
      </c>
      <c r="N990" s="372">
        <v>0.65700000000000003</v>
      </c>
      <c r="O990" s="703">
        <v>47.079246468196445</v>
      </c>
      <c r="P990" s="375" t="s">
        <v>623</v>
      </c>
      <c r="Q990" s="372" t="s">
        <v>623</v>
      </c>
      <c r="R990" s="695">
        <v>19960130</v>
      </c>
      <c r="S990" s="372" t="s">
        <v>6988</v>
      </c>
      <c r="T990" s="696">
        <v>0.23100000000000001</v>
      </c>
      <c r="U990" s="372" t="s">
        <v>6989</v>
      </c>
      <c r="V990" s="722">
        <v>5.42</v>
      </c>
      <c r="W990" s="722">
        <v>0.61</v>
      </c>
      <c r="X990" s="722">
        <v>0.28999999999999998</v>
      </c>
      <c r="Y990" s="722">
        <v>11.78</v>
      </c>
      <c r="Z990" s="382" t="s">
        <v>934</v>
      </c>
      <c r="AA990" s="372">
        <v>4306.3673249000003</v>
      </c>
      <c r="AB990" s="372">
        <v>5167.7086490000002</v>
      </c>
      <c r="AC990" s="372">
        <v>7333.8435773000001</v>
      </c>
      <c r="AD990" s="372">
        <v>6560.2730315999997</v>
      </c>
      <c r="AE990" s="372">
        <v>0</v>
      </c>
      <c r="AF990" s="372">
        <v>0</v>
      </c>
      <c r="AG990" s="372">
        <v>0</v>
      </c>
      <c r="AH990" s="372">
        <v>0</v>
      </c>
    </row>
    <row r="991" spans="1:34">
      <c r="A991" s="372" t="s">
        <v>6990</v>
      </c>
      <c r="B991" s="373" t="s">
        <v>6991</v>
      </c>
      <c r="C991" s="372" t="s">
        <v>6992</v>
      </c>
      <c r="D991" s="374">
        <v>1311110272002</v>
      </c>
      <c r="E991" s="372" t="s">
        <v>6993</v>
      </c>
      <c r="F991" s="375" t="s">
        <v>982</v>
      </c>
      <c r="G991" s="375" t="s">
        <v>983</v>
      </c>
      <c r="H991" s="375" t="s">
        <v>1693</v>
      </c>
      <c r="I991" s="375" t="s">
        <v>869</v>
      </c>
      <c r="J991" s="375">
        <v>106854.53754999999</v>
      </c>
      <c r="K991" s="375">
        <v>23089.927100000001</v>
      </c>
      <c r="L991" s="375">
        <v>26329.310130000002</v>
      </c>
      <c r="M991" s="375">
        <v>191280.70277999999</v>
      </c>
      <c r="N991" s="372">
        <v>0.71399999999999997</v>
      </c>
      <c r="O991" s="703">
        <v>1.0190261952769297</v>
      </c>
      <c r="P991" s="375" t="s">
        <v>623</v>
      </c>
      <c r="Q991" s="375" t="s">
        <v>623</v>
      </c>
      <c r="R991" s="695">
        <v>20110502</v>
      </c>
      <c r="S991" s="375" t="s">
        <v>6994</v>
      </c>
      <c r="T991" s="696">
        <v>0.23100000000000001</v>
      </c>
      <c r="U991" s="372" t="s">
        <v>6995</v>
      </c>
      <c r="V991" s="722">
        <v>6.37</v>
      </c>
      <c r="W991" s="722">
        <v>0.83</v>
      </c>
      <c r="X991" s="722">
        <v>1.57</v>
      </c>
      <c r="Y991" s="722">
        <v>7.98</v>
      </c>
      <c r="Z991" s="382" t="s">
        <v>934</v>
      </c>
      <c r="AA991" s="372">
        <v>938.59708669999998</v>
      </c>
      <c r="AB991" s="372">
        <v>964.32485450000001</v>
      </c>
      <c r="AC991" s="372">
        <v>1014.2391239</v>
      </c>
      <c r="AD991" s="372">
        <v>1068.5453755000001</v>
      </c>
      <c r="AE991" s="372">
        <v>1399</v>
      </c>
      <c r="AF991" s="372">
        <v>0</v>
      </c>
      <c r="AG991" s="372">
        <v>0</v>
      </c>
      <c r="AH991" s="372">
        <v>0</v>
      </c>
    </row>
    <row r="992" spans="1:34">
      <c r="A992" s="372" t="s">
        <v>6996</v>
      </c>
      <c r="B992" s="373" t="s">
        <v>6997</v>
      </c>
      <c r="C992" s="372" t="s">
        <v>6998</v>
      </c>
      <c r="D992" s="374">
        <v>1244110064402</v>
      </c>
      <c r="E992" s="372" t="s">
        <v>6999</v>
      </c>
      <c r="F992" s="375" t="s">
        <v>1286</v>
      </c>
      <c r="G992" s="375" t="s">
        <v>1286</v>
      </c>
      <c r="H992" s="375" t="s">
        <v>1388</v>
      </c>
      <c r="I992" s="375" t="s">
        <v>869</v>
      </c>
      <c r="J992" s="375">
        <v>147600.02064</v>
      </c>
      <c r="K992" s="375">
        <v>12286.5823</v>
      </c>
      <c r="L992" s="375">
        <v>9960.8033400000004</v>
      </c>
      <c r="M992" s="375">
        <v>68772.918850000002</v>
      </c>
      <c r="N992" s="372">
        <v>0.94099999999999995</v>
      </c>
      <c r="O992" s="703">
        <v>38.628268572469729</v>
      </c>
      <c r="P992" s="375" t="s">
        <v>623</v>
      </c>
      <c r="Q992" s="375" t="s">
        <v>623</v>
      </c>
      <c r="R992" s="695">
        <v>20190329</v>
      </c>
      <c r="S992" s="375" t="s">
        <v>7000</v>
      </c>
      <c r="T992" s="696">
        <v>0.20900000000000002</v>
      </c>
      <c r="U992" s="375" t="s">
        <v>7001</v>
      </c>
      <c r="V992" s="722">
        <v>0</v>
      </c>
      <c r="W992" s="722">
        <v>2.91</v>
      </c>
      <c r="X992" s="722">
        <v>0</v>
      </c>
      <c r="Y992" s="722">
        <v>0</v>
      </c>
      <c r="Z992" s="382" t="s">
        <v>934</v>
      </c>
      <c r="AA992" s="372">
        <v>1117.7385623</v>
      </c>
      <c r="AB992" s="372">
        <v>1220.6771636000001</v>
      </c>
      <c r="AC992" s="372">
        <v>1421.2843763000001</v>
      </c>
      <c r="AD992" s="372">
        <v>1476.0002064</v>
      </c>
      <c r="AE992" s="372">
        <v>0</v>
      </c>
      <c r="AF992" s="372">
        <v>0</v>
      </c>
      <c r="AG992" s="372">
        <v>0</v>
      </c>
      <c r="AH992" s="372">
        <v>0</v>
      </c>
    </row>
    <row r="993" spans="1:34">
      <c r="A993" s="372" t="s">
        <v>7002</v>
      </c>
      <c r="B993" s="373" t="s">
        <v>7003</v>
      </c>
      <c r="C993" s="372" t="s">
        <v>7004</v>
      </c>
      <c r="D993" s="374">
        <v>1101110129026</v>
      </c>
      <c r="E993" s="372" t="s">
        <v>7005</v>
      </c>
      <c r="F993" s="375" t="s">
        <v>900</v>
      </c>
      <c r="G993" s="375" t="s">
        <v>901</v>
      </c>
      <c r="H993" s="375" t="s">
        <v>862</v>
      </c>
      <c r="I993" s="375" t="s">
        <v>755</v>
      </c>
      <c r="J993" s="375">
        <v>4020724.7619599998</v>
      </c>
      <c r="K993" s="375">
        <v>256859.54277</v>
      </c>
      <c r="L993" s="375">
        <v>258105.46677999999</v>
      </c>
      <c r="M993" s="375">
        <v>1215227.93946</v>
      </c>
      <c r="N993" s="372">
        <v>1.256</v>
      </c>
      <c r="O993" s="703">
        <v>283.00473908547394</v>
      </c>
      <c r="P993" s="375" t="s">
        <v>623</v>
      </c>
      <c r="Q993" s="375" t="s">
        <v>623</v>
      </c>
      <c r="R993" s="695">
        <v>19890909</v>
      </c>
      <c r="S993" s="375" t="s">
        <v>7006</v>
      </c>
      <c r="T993" s="696">
        <v>0.23100000000000001</v>
      </c>
      <c r="U993" s="372" t="s">
        <v>7007</v>
      </c>
      <c r="V993" s="722">
        <v>2.68</v>
      </c>
      <c r="W993" s="722">
        <v>0.31</v>
      </c>
      <c r="X993" s="722">
        <v>0.05</v>
      </c>
      <c r="Y993" s="722">
        <v>1.8</v>
      </c>
      <c r="Z993" s="382" t="s">
        <v>934</v>
      </c>
      <c r="AA993" s="372">
        <v>22372.6852268</v>
      </c>
      <c r="AB993" s="372">
        <v>24793.150385100002</v>
      </c>
      <c r="AC993" s="372">
        <v>32515.486818599999</v>
      </c>
      <c r="AD993" s="372">
        <v>40207.247619599999</v>
      </c>
      <c r="AE993" s="372">
        <v>0</v>
      </c>
      <c r="AF993" s="372">
        <v>0</v>
      </c>
      <c r="AG993" s="372">
        <v>0</v>
      </c>
      <c r="AH993" s="372">
        <v>0</v>
      </c>
    </row>
    <row r="994" spans="1:34">
      <c r="A994" s="372" t="s">
        <v>7008</v>
      </c>
      <c r="B994" s="373" t="s">
        <v>7009</v>
      </c>
      <c r="C994" s="372" t="s">
        <v>7010</v>
      </c>
      <c r="D994" s="374">
        <v>1341110003058</v>
      </c>
      <c r="E994" s="372" t="s">
        <v>7011</v>
      </c>
      <c r="F994" s="375" t="s">
        <v>2030</v>
      </c>
      <c r="G994" s="375" t="s">
        <v>2030</v>
      </c>
      <c r="H994" s="375" t="s">
        <v>797</v>
      </c>
      <c r="I994" s="375" t="s">
        <v>755</v>
      </c>
      <c r="J994" s="375">
        <v>202720.70069</v>
      </c>
      <c r="K994" s="375">
        <v>9471.45435</v>
      </c>
      <c r="L994" s="375">
        <v>6069.3490499999998</v>
      </c>
      <c r="M994" s="375">
        <v>66510.217300000004</v>
      </c>
      <c r="N994" s="372" t="s">
        <v>1033</v>
      </c>
      <c r="O994" s="703">
        <v>3.2536855800704592</v>
      </c>
      <c r="P994" s="375" t="s">
        <v>623</v>
      </c>
      <c r="Q994" s="372" t="s">
        <v>623</v>
      </c>
      <c r="R994" s="695">
        <v>19941227</v>
      </c>
      <c r="S994" s="375" t="s">
        <v>7012</v>
      </c>
      <c r="T994" s="696">
        <v>0.20900000000000002</v>
      </c>
      <c r="U994" s="372" t="s">
        <v>7013</v>
      </c>
      <c r="V994" s="722">
        <v>15.28</v>
      </c>
      <c r="W994" s="722">
        <v>3.04</v>
      </c>
      <c r="X994" s="722">
        <v>1</v>
      </c>
      <c r="Y994" s="722">
        <v>294.89</v>
      </c>
      <c r="Z994" s="382" t="s">
        <v>934</v>
      </c>
      <c r="AA994" s="372">
        <v>707.1047949</v>
      </c>
      <c r="AB994" s="372">
        <v>730.77585699999997</v>
      </c>
      <c r="AC994" s="372">
        <v>1367.8802395</v>
      </c>
      <c r="AD994" s="372">
        <v>2027.2070068999999</v>
      </c>
      <c r="AE994" s="372">
        <v>0</v>
      </c>
      <c r="AF994" s="372">
        <v>0</v>
      </c>
      <c r="AG994" s="372">
        <v>0</v>
      </c>
      <c r="AH994" s="372">
        <v>0</v>
      </c>
    </row>
    <row r="995" spans="1:34">
      <c r="A995" s="372" t="s">
        <v>7014</v>
      </c>
      <c r="B995" s="373" t="s">
        <v>7015</v>
      </c>
      <c r="C995" s="372" t="s">
        <v>7016</v>
      </c>
      <c r="D995" s="374">
        <v>1341110142575</v>
      </c>
      <c r="E995" s="372" t="s">
        <v>7017</v>
      </c>
      <c r="F995" s="375" t="s">
        <v>1700</v>
      </c>
      <c r="G995" s="375" t="s">
        <v>1701</v>
      </c>
      <c r="H995" s="375" t="s">
        <v>832</v>
      </c>
      <c r="I995" s="375" t="s">
        <v>755</v>
      </c>
      <c r="J995" s="375">
        <v>780507.25100000005</v>
      </c>
      <c r="K995" s="375">
        <v>41882.595829999998</v>
      </c>
      <c r="L995" s="375">
        <v>37340.285609999999</v>
      </c>
      <c r="M995" s="375">
        <v>374279.14847999997</v>
      </c>
      <c r="N995" s="372">
        <v>1.026</v>
      </c>
      <c r="O995" s="703">
        <v>43.489557505285411</v>
      </c>
      <c r="P995" s="375" t="s">
        <v>623</v>
      </c>
      <c r="Q995" s="375" t="s">
        <v>623</v>
      </c>
      <c r="R995" s="695">
        <v>20060703</v>
      </c>
      <c r="S995" s="375" t="s">
        <v>7018</v>
      </c>
      <c r="T995" s="696">
        <v>0.23100000000000001</v>
      </c>
      <c r="U995" s="372" t="s">
        <v>7019</v>
      </c>
      <c r="V995" s="722">
        <v>3.41</v>
      </c>
      <c r="W995" s="722">
        <v>0.51</v>
      </c>
      <c r="X995" s="722">
        <v>0.24</v>
      </c>
      <c r="Y995" s="722">
        <v>6.79</v>
      </c>
      <c r="Z995" s="382" t="s">
        <v>934</v>
      </c>
      <c r="AA995" s="372">
        <v>6429.3519668999998</v>
      </c>
      <c r="AB995" s="372">
        <v>7309.3167641999999</v>
      </c>
      <c r="AC995" s="372">
        <v>7470.9055600000002</v>
      </c>
      <c r="AD995" s="372">
        <v>7805.07251</v>
      </c>
      <c r="AE995" s="372">
        <v>0</v>
      </c>
      <c r="AF995" s="372">
        <v>0</v>
      </c>
      <c r="AG995" s="372">
        <v>0</v>
      </c>
      <c r="AH995" s="372">
        <v>0</v>
      </c>
    </row>
    <row r="996" spans="1:34">
      <c r="A996" s="372" t="s">
        <v>7020</v>
      </c>
      <c r="B996" s="373" t="s">
        <v>7021</v>
      </c>
      <c r="C996" s="372" t="s">
        <v>7022</v>
      </c>
      <c r="D996" s="374">
        <v>1101110003692</v>
      </c>
      <c r="E996" s="372" t="s">
        <v>7023</v>
      </c>
      <c r="F996" s="375" t="s">
        <v>7024</v>
      </c>
      <c r="G996" s="375" t="s">
        <v>7025</v>
      </c>
      <c r="H996" s="375" t="s">
        <v>916</v>
      </c>
      <c r="I996" s="375" t="s">
        <v>755</v>
      </c>
      <c r="J996" s="375">
        <v>544725.13743</v>
      </c>
      <c r="K996" s="375">
        <v>33969.013129999999</v>
      </c>
      <c r="L996" s="375">
        <v>39897.210599999999</v>
      </c>
      <c r="M996" s="375">
        <v>348472.90198999998</v>
      </c>
      <c r="N996" s="372">
        <v>0.72099999999999997</v>
      </c>
      <c r="O996" s="703">
        <v>12.931045566575078</v>
      </c>
      <c r="P996" s="375" t="s">
        <v>623</v>
      </c>
      <c r="Q996" s="375" t="s">
        <v>623</v>
      </c>
      <c r="R996" s="695">
        <v>19761228</v>
      </c>
      <c r="S996" s="375" t="s">
        <v>7026</v>
      </c>
      <c r="T996" s="696">
        <v>0.23100000000000001</v>
      </c>
      <c r="U996" s="372" t="s">
        <v>7027</v>
      </c>
      <c r="V996" s="722">
        <v>2.75</v>
      </c>
      <c r="W996" s="722">
        <v>0.45</v>
      </c>
      <c r="X996" s="722">
        <v>0.28999999999999998</v>
      </c>
      <c r="Y996" s="722">
        <v>4.99</v>
      </c>
      <c r="Z996" s="382" t="s">
        <v>934</v>
      </c>
      <c r="AA996" s="372">
        <v>3032.0742159000001</v>
      </c>
      <c r="AB996" s="372">
        <v>3455.3218361999998</v>
      </c>
      <c r="AC996" s="372">
        <v>4005.2108162</v>
      </c>
      <c r="AD996" s="372">
        <v>5447.2513743</v>
      </c>
      <c r="AE996" s="372">
        <v>5070</v>
      </c>
      <c r="AF996" s="372">
        <v>0</v>
      </c>
      <c r="AG996" s="372">
        <v>0</v>
      </c>
      <c r="AH996" s="372">
        <v>0</v>
      </c>
    </row>
    <row r="997" spans="1:34">
      <c r="A997" s="372" t="s">
        <v>7028</v>
      </c>
      <c r="B997" s="373" t="s">
        <v>7029</v>
      </c>
      <c r="C997" s="372" t="s">
        <v>7030</v>
      </c>
      <c r="D997" s="374">
        <v>1101110944622</v>
      </c>
      <c r="E997" s="372" t="s">
        <v>7031</v>
      </c>
      <c r="F997" s="375" t="s">
        <v>3266</v>
      </c>
      <c r="G997" s="375" t="s">
        <v>3266</v>
      </c>
      <c r="H997" s="375" t="s">
        <v>1388</v>
      </c>
      <c r="I997" s="375" t="s">
        <v>869</v>
      </c>
      <c r="J997" s="375">
        <v>377629.88429999998</v>
      </c>
      <c r="K997" s="375">
        <v>-25491.183069999999</v>
      </c>
      <c r="L997" s="375">
        <v>-37935.157500000001</v>
      </c>
      <c r="M997" s="375">
        <v>139760.03214</v>
      </c>
      <c r="N997" s="372">
        <v>1.2929999999999999</v>
      </c>
      <c r="O997" s="703">
        <v>79.9567392976533</v>
      </c>
      <c r="P997" s="375" t="s">
        <v>623</v>
      </c>
      <c r="Q997" s="375" t="s">
        <v>623</v>
      </c>
      <c r="R997" s="695">
        <v>20000801</v>
      </c>
      <c r="S997" s="375" t="s">
        <v>7032</v>
      </c>
      <c r="T997" s="696" t="s">
        <v>772</v>
      </c>
      <c r="U997" s="372" t="s">
        <v>7033</v>
      </c>
      <c r="V997" s="722">
        <v>35.04</v>
      </c>
      <c r="W997" s="722">
        <v>1.78</v>
      </c>
      <c r="X997" s="722">
        <v>0.52</v>
      </c>
      <c r="Y997" s="722" t="s">
        <v>774</v>
      </c>
      <c r="Z997" s="382" t="s">
        <v>934</v>
      </c>
      <c r="AA997" s="372">
        <v>3929.2717770999998</v>
      </c>
      <c r="AB997" s="372">
        <v>3807.0424868999999</v>
      </c>
      <c r="AC997" s="372">
        <v>4597.0151317</v>
      </c>
      <c r="AD997" s="372">
        <v>3776.298843</v>
      </c>
      <c r="AE997" s="372">
        <v>0</v>
      </c>
      <c r="AF997" s="372">
        <v>0</v>
      </c>
      <c r="AG997" s="372">
        <v>0</v>
      </c>
      <c r="AH997" s="372">
        <v>0</v>
      </c>
    </row>
    <row r="998" spans="1:34">
      <c r="A998" s="372" t="s">
        <v>7034</v>
      </c>
      <c r="B998" s="373" t="s">
        <v>7035</v>
      </c>
      <c r="C998" s="372" t="s">
        <v>7036</v>
      </c>
      <c r="D998" s="374">
        <v>1101110039209</v>
      </c>
      <c r="E998" s="372" t="s">
        <v>7037</v>
      </c>
      <c r="F998" s="375" t="s">
        <v>2207</v>
      </c>
      <c r="G998" s="375" t="s">
        <v>3559</v>
      </c>
      <c r="H998" s="375" t="s">
        <v>2079</v>
      </c>
      <c r="I998" s="375" t="s">
        <v>755</v>
      </c>
      <c r="J998" s="375">
        <v>214541.93486000001</v>
      </c>
      <c r="K998" s="375">
        <v>6139.62914</v>
      </c>
      <c r="L998" s="375">
        <v>4457.9575800000002</v>
      </c>
      <c r="M998" s="375">
        <v>161249.41829999999</v>
      </c>
      <c r="N998" s="372">
        <v>1.2749999999999999</v>
      </c>
      <c r="O998" s="703">
        <v>14.410701492482561</v>
      </c>
      <c r="P998" s="375" t="s">
        <v>623</v>
      </c>
      <c r="Q998" s="372" t="s">
        <v>623</v>
      </c>
      <c r="R998" s="695">
        <v>19960731</v>
      </c>
      <c r="S998" s="372" t="s">
        <v>7038</v>
      </c>
      <c r="T998" s="696">
        <v>0.20900000000000002</v>
      </c>
      <c r="U998" s="372" t="s">
        <v>7039</v>
      </c>
      <c r="V998" s="722">
        <v>18.420000000000002</v>
      </c>
      <c r="W998" s="722">
        <v>1.1299999999999999</v>
      </c>
      <c r="X998" s="722">
        <v>0.83</v>
      </c>
      <c r="Y998" s="722">
        <v>56.54</v>
      </c>
      <c r="Z998" s="382">
        <v>0.28171537113104161</v>
      </c>
      <c r="AA998" s="372">
        <v>1622.5753745</v>
      </c>
      <c r="AB998" s="372">
        <v>2265.6736101000001</v>
      </c>
      <c r="AC998" s="372">
        <v>2310.0436832999999</v>
      </c>
      <c r="AD998" s="372">
        <v>2145.4193485999999</v>
      </c>
      <c r="AE998" s="372">
        <v>2530</v>
      </c>
      <c r="AF998" s="372">
        <v>4741</v>
      </c>
      <c r="AG998" s="372">
        <v>5790</v>
      </c>
      <c r="AH998" s="372">
        <v>0</v>
      </c>
    </row>
    <row r="999" spans="1:34">
      <c r="A999" s="372" t="s">
        <v>7040</v>
      </c>
      <c r="B999" s="373" t="s">
        <v>7041</v>
      </c>
      <c r="C999" s="372" t="s">
        <v>7042</v>
      </c>
      <c r="D999" s="374">
        <v>1101112564478</v>
      </c>
      <c r="E999" s="372" t="s">
        <v>7043</v>
      </c>
      <c r="F999" s="375" t="s">
        <v>3210</v>
      </c>
      <c r="G999" s="375" t="s">
        <v>3211</v>
      </c>
      <c r="H999" s="375" t="s">
        <v>1348</v>
      </c>
      <c r="I999" s="375" t="s">
        <v>869</v>
      </c>
      <c r="J999" s="375">
        <v>66484.437439999994</v>
      </c>
      <c r="K999" s="375">
        <v>22552.141370000001</v>
      </c>
      <c r="L999" s="375">
        <v>28061.329369999999</v>
      </c>
      <c r="M999" s="375">
        <v>158639.44657999999</v>
      </c>
      <c r="N999" s="372">
        <v>0.68100000000000005</v>
      </c>
      <c r="O999" s="703">
        <v>0.49219415416977447</v>
      </c>
      <c r="P999" s="375" t="s">
        <v>623</v>
      </c>
      <c r="Q999" s="375" t="s">
        <v>623</v>
      </c>
      <c r="R999" s="695">
        <v>20211029</v>
      </c>
      <c r="S999" s="375" t="s">
        <v>7044</v>
      </c>
      <c r="T999" s="696">
        <v>0.23100000000000001</v>
      </c>
      <c r="U999" s="372" t="s">
        <v>7045</v>
      </c>
      <c r="V999" s="722">
        <v>0</v>
      </c>
      <c r="W999" s="722">
        <v>0.84</v>
      </c>
      <c r="X999" s="722">
        <v>0</v>
      </c>
      <c r="Y999" s="722">
        <v>0</v>
      </c>
      <c r="Z999" s="382" t="s">
        <v>934</v>
      </c>
      <c r="AA999" s="372">
        <v>541.63512619999995</v>
      </c>
      <c r="AB999" s="372">
        <v>587.73815119999995</v>
      </c>
      <c r="AC999" s="372">
        <v>550.77908849999994</v>
      </c>
      <c r="AD999" s="372">
        <v>664.84437439999999</v>
      </c>
      <c r="AE999" s="372">
        <v>0</v>
      </c>
      <c r="AF999" s="372">
        <v>0</v>
      </c>
      <c r="AG999" s="372">
        <v>0</v>
      </c>
      <c r="AH999" s="372">
        <v>0</v>
      </c>
    </row>
    <row r="1000" spans="1:34">
      <c r="A1000" s="372" t="s">
        <v>7046</v>
      </c>
      <c r="B1000" s="373" t="s">
        <v>7047</v>
      </c>
      <c r="C1000" s="372" t="s">
        <v>7048</v>
      </c>
      <c r="D1000" s="374">
        <v>1101110250855</v>
      </c>
      <c r="E1000" s="372" t="s">
        <v>7049</v>
      </c>
      <c r="F1000" s="372" t="s">
        <v>7050</v>
      </c>
      <c r="G1000" s="375" t="s">
        <v>7051</v>
      </c>
      <c r="H1000" s="375" t="s">
        <v>3127</v>
      </c>
      <c r="I1000" s="375" t="s">
        <v>869</v>
      </c>
      <c r="J1000" s="375">
        <v>186412.76035999999</v>
      </c>
      <c r="K1000" s="375">
        <v>16576.16317</v>
      </c>
      <c r="L1000" s="375">
        <v>17124.322690000001</v>
      </c>
      <c r="M1000" s="375">
        <v>170469.13936999999</v>
      </c>
      <c r="N1000" s="372">
        <v>0.72099999999999997</v>
      </c>
      <c r="O1000" s="703">
        <v>1.2116598243536951</v>
      </c>
      <c r="P1000" s="375" t="s">
        <v>623</v>
      </c>
      <c r="Q1000" s="375" t="s">
        <v>623</v>
      </c>
      <c r="R1000" s="695">
        <v>20020115</v>
      </c>
      <c r="S1000" s="375" t="s">
        <v>7052</v>
      </c>
      <c r="T1000" s="696">
        <v>0.20900000000000002</v>
      </c>
      <c r="U1000" s="375" t="s">
        <v>7053</v>
      </c>
      <c r="V1000" s="722">
        <v>6.05</v>
      </c>
      <c r="W1000" s="722">
        <v>0.73</v>
      </c>
      <c r="X1000" s="722">
        <v>0.69</v>
      </c>
      <c r="Y1000" s="722">
        <v>9.6300000000000008</v>
      </c>
      <c r="Z1000" s="382" t="s">
        <v>934</v>
      </c>
      <c r="AA1000" s="372">
        <v>1224.6457877</v>
      </c>
      <c r="AB1000" s="372">
        <v>1509.7801443999999</v>
      </c>
      <c r="AC1000" s="372">
        <v>1743.1834406</v>
      </c>
      <c r="AD1000" s="372">
        <v>1864.1276035999999</v>
      </c>
      <c r="AE1000" s="372">
        <v>0</v>
      </c>
      <c r="AF1000" s="372">
        <v>0</v>
      </c>
      <c r="AG1000" s="372">
        <v>0</v>
      </c>
      <c r="AH1000" s="372">
        <v>0</v>
      </c>
    </row>
    <row r="1001" spans="1:34">
      <c r="A1001" s="372" t="s">
        <v>7054</v>
      </c>
      <c r="B1001" s="373" t="s">
        <v>7055</v>
      </c>
      <c r="C1001" s="372" t="s">
        <v>7056</v>
      </c>
      <c r="D1001" s="374">
        <v>1201110101890</v>
      </c>
      <c r="E1001" s="372" t="s">
        <v>7057</v>
      </c>
      <c r="F1001" s="375" t="s">
        <v>2866</v>
      </c>
      <c r="G1001" s="375" t="s">
        <v>4724</v>
      </c>
      <c r="H1001" s="375" t="s">
        <v>868</v>
      </c>
      <c r="I1001" s="375" t="s">
        <v>4455</v>
      </c>
      <c r="J1001" s="375">
        <v>235902.68001000001</v>
      </c>
      <c r="K1001" s="375">
        <v>-26.93648</v>
      </c>
      <c r="L1001" s="375">
        <v>-8851.9537500000006</v>
      </c>
      <c r="M1001" s="375">
        <v>184372.19978</v>
      </c>
      <c r="N1001" s="372">
        <v>0.871</v>
      </c>
      <c r="O1001" s="703" t="e">
        <v>#DIV/0!</v>
      </c>
      <c r="P1001" s="375" t="s">
        <v>623</v>
      </c>
      <c r="Q1001" s="375" t="s">
        <v>623</v>
      </c>
      <c r="R1001" s="695">
        <v>20151102</v>
      </c>
      <c r="S1001" s="375" t="e">
        <v>#N/A</v>
      </c>
      <c r="T1001" s="696" t="s">
        <v>772</v>
      </c>
      <c r="U1001" s="375" t="s">
        <v>7058</v>
      </c>
      <c r="V1001" s="722">
        <v>10.6</v>
      </c>
      <c r="W1001" s="722">
        <v>1</v>
      </c>
      <c r="X1001" s="722">
        <v>0.78</v>
      </c>
      <c r="Y1001" s="722" t="s">
        <v>774</v>
      </c>
      <c r="Z1001" s="382" t="s">
        <v>934</v>
      </c>
      <c r="AA1001" s="372">
        <v>2511.5712309</v>
      </c>
      <c r="AB1001" s="372">
        <v>2870.9829547999998</v>
      </c>
      <c r="AC1001" s="372">
        <v>2347.3794588000001</v>
      </c>
      <c r="AD1001" s="372">
        <v>2359.0268000999999</v>
      </c>
      <c r="AE1001" s="372">
        <v>2804</v>
      </c>
      <c r="AF1001" s="372">
        <v>0</v>
      </c>
      <c r="AG1001" s="372">
        <v>0</v>
      </c>
      <c r="AH1001" s="372">
        <v>0</v>
      </c>
    </row>
    <row r="1002" spans="1:34">
      <c r="A1002" s="372" t="s">
        <v>7059</v>
      </c>
      <c r="B1002" s="373" t="s">
        <v>7060</v>
      </c>
      <c r="C1002" s="372" t="s">
        <v>7061</v>
      </c>
      <c r="D1002" s="374">
        <v>1801110618091</v>
      </c>
      <c r="E1002" s="372" t="s">
        <v>7062</v>
      </c>
      <c r="F1002" s="375" t="s">
        <v>2535</v>
      </c>
      <c r="G1002" s="375" t="s">
        <v>2535</v>
      </c>
      <c r="H1002" s="375" t="s">
        <v>832</v>
      </c>
      <c r="I1002" s="375" t="s">
        <v>755</v>
      </c>
      <c r="J1002" s="375">
        <v>271104.25611000002</v>
      </c>
      <c r="K1002" s="375">
        <v>3515.2672299999999</v>
      </c>
      <c r="L1002" s="375">
        <v>49525.601410000003</v>
      </c>
      <c r="M1002" s="375">
        <v>426767.36408999999</v>
      </c>
      <c r="N1002" s="372">
        <v>0.745</v>
      </c>
      <c r="O1002" s="703">
        <v>56.821017357715299</v>
      </c>
      <c r="P1002" s="375" t="s">
        <v>623</v>
      </c>
      <c r="Q1002" s="372" t="s">
        <v>623</v>
      </c>
      <c r="R1002" s="695">
        <v>20080215</v>
      </c>
      <c r="S1002" s="372" t="s">
        <v>7063</v>
      </c>
      <c r="T1002" s="696">
        <v>0.23100000000000001</v>
      </c>
      <c r="U1002" s="372" t="s">
        <v>7064</v>
      </c>
      <c r="V1002" s="722">
        <v>18.75</v>
      </c>
      <c r="W1002" s="722">
        <v>0.49</v>
      </c>
      <c r="X1002" s="722">
        <v>0.66</v>
      </c>
      <c r="Y1002" s="722">
        <v>4.97</v>
      </c>
      <c r="Z1002" s="382" t="s">
        <v>934</v>
      </c>
      <c r="AA1002" s="372">
        <v>2115.3992050000002</v>
      </c>
      <c r="AB1002" s="372">
        <v>2247.9142777000002</v>
      </c>
      <c r="AC1002" s="372">
        <v>2345.576028</v>
      </c>
      <c r="AD1002" s="372">
        <v>2711.0425611000001</v>
      </c>
      <c r="AE1002" s="372">
        <v>0</v>
      </c>
      <c r="AF1002" s="372">
        <v>0</v>
      </c>
      <c r="AG1002" s="372">
        <v>0</v>
      </c>
      <c r="AH1002" s="372">
        <v>0</v>
      </c>
    </row>
    <row r="1003" spans="1:34">
      <c r="A1003" s="372" t="s">
        <v>7065</v>
      </c>
      <c r="B1003" s="373" t="s">
        <v>7066</v>
      </c>
      <c r="C1003" s="372" t="s">
        <v>7067</v>
      </c>
      <c r="D1003" s="374">
        <v>1101110673966</v>
      </c>
      <c r="E1003" s="372" t="s">
        <v>7068</v>
      </c>
      <c r="F1003" s="375" t="s">
        <v>7069</v>
      </c>
      <c r="G1003" s="375" t="s">
        <v>7069</v>
      </c>
      <c r="H1003" s="375" t="s">
        <v>4894</v>
      </c>
      <c r="I1003" s="375" t="s">
        <v>869</v>
      </c>
      <c r="J1003" s="375">
        <v>190826.76423</v>
      </c>
      <c r="K1003" s="375">
        <v>13120.377479999999</v>
      </c>
      <c r="L1003" s="375">
        <v>13752.21369</v>
      </c>
      <c r="M1003" s="375">
        <v>130700.50188</v>
      </c>
      <c r="N1003" s="372">
        <v>1.1439999999999999</v>
      </c>
      <c r="O1003" s="703">
        <v>0.37567310704566986</v>
      </c>
      <c r="P1003" s="375" t="s">
        <v>623</v>
      </c>
      <c r="Q1003" s="372" t="s">
        <v>623</v>
      </c>
      <c r="R1003" s="695">
        <v>20071106</v>
      </c>
      <c r="S1003" s="372" t="s">
        <v>7070</v>
      </c>
      <c r="T1003" s="696">
        <v>0.20900000000000002</v>
      </c>
      <c r="U1003" s="375" t="s">
        <v>7071</v>
      </c>
      <c r="V1003" s="722">
        <v>11.05</v>
      </c>
      <c r="W1003" s="722">
        <v>1.34</v>
      </c>
      <c r="X1003" s="722">
        <v>0.92</v>
      </c>
      <c r="Y1003" s="722">
        <v>18.23</v>
      </c>
      <c r="Z1003" s="382" t="s">
        <v>934</v>
      </c>
      <c r="AA1003" s="372">
        <v>1680.1460789</v>
      </c>
      <c r="AB1003" s="372">
        <v>1858.9933490999999</v>
      </c>
      <c r="AC1003" s="372">
        <v>1960.1549130000001</v>
      </c>
      <c r="AD1003" s="372">
        <v>1908.2676423</v>
      </c>
      <c r="AE1003" s="372">
        <v>0</v>
      </c>
      <c r="AF1003" s="372">
        <v>0</v>
      </c>
      <c r="AG1003" s="372">
        <v>0</v>
      </c>
      <c r="AH1003" s="372">
        <v>0</v>
      </c>
    </row>
    <row r="1004" spans="1:34">
      <c r="A1004" s="372" t="s">
        <v>7072</v>
      </c>
      <c r="B1004" s="373" t="s">
        <v>7073</v>
      </c>
      <c r="C1004" s="372" t="s">
        <v>7074</v>
      </c>
      <c r="D1004" s="374">
        <v>1101116080032</v>
      </c>
      <c r="E1004" s="372" t="s">
        <v>7075</v>
      </c>
      <c r="F1004" s="372" t="s">
        <v>1814</v>
      </c>
      <c r="G1004" s="375" t="s">
        <v>1815</v>
      </c>
      <c r="H1004" s="375" t="s">
        <v>1693</v>
      </c>
      <c r="I1004" s="375" t="s">
        <v>869</v>
      </c>
      <c r="J1004" s="375">
        <v>11560.700290000001</v>
      </c>
      <c r="K1004" s="375">
        <v>-18520.48445</v>
      </c>
      <c r="L1004" s="375">
        <v>-26770.81668</v>
      </c>
      <c r="M1004" s="375">
        <v>8209.8049900000005</v>
      </c>
      <c r="N1004" s="372">
        <v>1.0589999999999999</v>
      </c>
      <c r="O1004" s="703">
        <v>17.141954614921836</v>
      </c>
      <c r="P1004" s="375" t="s">
        <v>623</v>
      </c>
      <c r="Q1004" s="375" t="s">
        <v>623</v>
      </c>
      <c r="R1004" s="695">
        <v>20201221</v>
      </c>
      <c r="S1004" s="375" t="s">
        <v>7076</v>
      </c>
      <c r="T1004" s="696" t="s">
        <v>772</v>
      </c>
      <c r="U1004" s="372" t="s">
        <v>7077</v>
      </c>
      <c r="V1004" s="722" t="s">
        <v>774</v>
      </c>
      <c r="W1004" s="722">
        <v>20.13</v>
      </c>
      <c r="X1004" s="722">
        <v>14.82</v>
      </c>
      <c r="Y1004" s="722" t="s">
        <v>774</v>
      </c>
      <c r="Z1004" s="382" t="s">
        <v>934</v>
      </c>
      <c r="AA1004" s="372">
        <v>45.698517099999997</v>
      </c>
      <c r="AB1004" s="372">
        <v>100.0067513</v>
      </c>
      <c r="AC1004" s="372">
        <v>110.8874568</v>
      </c>
      <c r="AD1004" s="372">
        <v>115.6070029</v>
      </c>
      <c r="AE1004" s="372">
        <v>437</v>
      </c>
      <c r="AF1004" s="372">
        <v>556</v>
      </c>
      <c r="AG1004" s="372">
        <v>0</v>
      </c>
      <c r="AH1004" s="372">
        <v>0</v>
      </c>
    </row>
    <row r="1005" spans="1:34">
      <c r="A1005" s="372" t="s">
        <v>7078</v>
      </c>
      <c r="B1005" s="373" t="s">
        <v>7079</v>
      </c>
      <c r="C1005" s="372" t="s">
        <v>7080</v>
      </c>
      <c r="D1005" s="374">
        <v>1801110034320</v>
      </c>
      <c r="E1005" s="372" t="s">
        <v>7081</v>
      </c>
      <c r="F1005" s="372" t="s">
        <v>2509</v>
      </c>
      <c r="G1005" s="375" t="s">
        <v>2510</v>
      </c>
      <c r="H1005" s="375" t="s">
        <v>817</v>
      </c>
      <c r="I1005" s="375" t="s">
        <v>755</v>
      </c>
      <c r="J1005" s="375">
        <v>856892.70051</v>
      </c>
      <c r="K1005" s="375">
        <v>66582.089210000006</v>
      </c>
      <c r="L1005" s="375">
        <v>46307.155189999998</v>
      </c>
      <c r="M1005" s="375">
        <v>477493.95510000002</v>
      </c>
      <c r="N1005" s="372">
        <v>0.95899999999999996</v>
      </c>
      <c r="O1005" s="703">
        <v>324.225823238636</v>
      </c>
      <c r="P1005" s="375" t="s">
        <v>623</v>
      </c>
      <c r="Q1005" s="375" t="s">
        <v>623</v>
      </c>
      <c r="R1005" s="695">
        <v>19880910</v>
      </c>
      <c r="S1005" s="375" t="s">
        <v>7082</v>
      </c>
      <c r="T1005" s="696">
        <v>0.23100000000000001</v>
      </c>
      <c r="U1005" s="375" t="s">
        <v>7083</v>
      </c>
      <c r="V1005" s="722">
        <v>4.92</v>
      </c>
      <c r="W1005" s="722">
        <v>0.42</v>
      </c>
      <c r="X1005" s="722">
        <v>0.2</v>
      </c>
      <c r="Y1005" s="722">
        <v>4.43</v>
      </c>
      <c r="Z1005" s="382" t="s">
        <v>934</v>
      </c>
      <c r="AA1005" s="372">
        <v>5019.3330788000003</v>
      </c>
      <c r="AB1005" s="372">
        <v>5705.3553253</v>
      </c>
      <c r="AC1005" s="372">
        <v>7289.3170043</v>
      </c>
      <c r="AD1005" s="372">
        <v>8568.9270051000003</v>
      </c>
      <c r="AE1005" s="372">
        <v>0</v>
      </c>
      <c r="AF1005" s="372">
        <v>0</v>
      </c>
      <c r="AG1005" s="372">
        <v>0</v>
      </c>
      <c r="AH1005" s="372">
        <v>0</v>
      </c>
    </row>
    <row r="1006" spans="1:34">
      <c r="A1006" s="372" t="s">
        <v>7084</v>
      </c>
      <c r="B1006" s="373" t="s">
        <v>7085</v>
      </c>
      <c r="C1006" s="372" t="s">
        <v>7086</v>
      </c>
      <c r="D1006" s="374">
        <v>1101114175728</v>
      </c>
      <c r="E1006" s="372" t="s">
        <v>7087</v>
      </c>
      <c r="F1006" s="372" t="s">
        <v>1195</v>
      </c>
      <c r="G1006" s="375" t="s">
        <v>3144</v>
      </c>
      <c r="H1006" s="375" t="s">
        <v>868</v>
      </c>
      <c r="I1006" s="375" t="s">
        <v>869</v>
      </c>
      <c r="J1006" s="375">
        <v>12072.705250000001</v>
      </c>
      <c r="K1006" s="375">
        <v>-2118.2612100000001</v>
      </c>
      <c r="L1006" s="375">
        <v>-21.782440000000001</v>
      </c>
      <c r="M1006" s="375">
        <v>48254.054779999999</v>
      </c>
      <c r="N1006" s="372" t="s">
        <v>1033</v>
      </c>
      <c r="O1006" s="703">
        <v>0.3006412278496492</v>
      </c>
      <c r="P1006" s="375" t="s">
        <v>623</v>
      </c>
      <c r="Q1006" s="375" t="s">
        <v>623</v>
      </c>
      <c r="R1006" s="695">
        <v>20221118</v>
      </c>
      <c r="S1006" s="375" t="s">
        <v>7088</v>
      </c>
      <c r="T1006" s="696" t="s">
        <v>772</v>
      </c>
      <c r="U1006" s="372" t="s">
        <v>7089</v>
      </c>
      <c r="V1006" s="722">
        <v>0</v>
      </c>
      <c r="W1006" s="722">
        <v>3.52</v>
      </c>
      <c r="X1006" s="722">
        <v>0</v>
      </c>
      <c r="Y1006" s="722">
        <v>0</v>
      </c>
      <c r="Z1006" s="382" t="s">
        <v>934</v>
      </c>
      <c r="AA1006" s="372">
        <v>33.291546400000001</v>
      </c>
      <c r="AB1006" s="372">
        <v>100.54924010000001</v>
      </c>
      <c r="AC1006" s="372">
        <v>216.6564314</v>
      </c>
      <c r="AD1006" s="372">
        <v>120.7270525</v>
      </c>
      <c r="AE1006" s="372">
        <v>0</v>
      </c>
      <c r="AF1006" s="372">
        <v>0</v>
      </c>
      <c r="AG1006" s="372">
        <v>0</v>
      </c>
      <c r="AH1006" s="372">
        <v>0</v>
      </c>
    </row>
    <row r="1007" spans="1:34">
      <c r="A1007" s="372" t="s">
        <v>7090</v>
      </c>
      <c r="B1007" s="373" t="s">
        <v>7091</v>
      </c>
      <c r="C1007" s="372" t="s">
        <v>7092</v>
      </c>
      <c r="D1007" s="374">
        <v>1101110275134</v>
      </c>
      <c r="E1007" s="372" t="s">
        <v>7093</v>
      </c>
      <c r="F1007" s="375" t="s">
        <v>7094</v>
      </c>
      <c r="G1007" s="375" t="s">
        <v>7094</v>
      </c>
      <c r="H1007" s="375" t="s">
        <v>1950</v>
      </c>
      <c r="I1007" s="375" t="s">
        <v>869</v>
      </c>
      <c r="J1007" s="375">
        <v>127310.86788000001</v>
      </c>
      <c r="K1007" s="375">
        <v>2085.7325000000001</v>
      </c>
      <c r="L1007" s="375">
        <v>-8357.4039300000004</v>
      </c>
      <c r="M1007" s="375">
        <v>98191.296040000001</v>
      </c>
      <c r="N1007" s="372">
        <v>1.2050000000000001</v>
      </c>
      <c r="O1007" s="703">
        <v>8.4474871527571356</v>
      </c>
      <c r="P1007" s="375" t="s">
        <v>623</v>
      </c>
      <c r="Q1007" s="375" t="s">
        <v>623</v>
      </c>
      <c r="R1007" s="695">
        <v>20010116</v>
      </c>
      <c r="S1007" s="375" t="s">
        <v>7095</v>
      </c>
      <c r="T1007" s="696" t="s">
        <v>772</v>
      </c>
      <c r="U1007" s="372" t="s">
        <v>7096</v>
      </c>
      <c r="V1007" s="722">
        <v>18.760000000000002</v>
      </c>
      <c r="W1007" s="722">
        <v>1.84</v>
      </c>
      <c r="X1007" s="722">
        <v>1.43</v>
      </c>
      <c r="Y1007" s="722" t="s">
        <v>774</v>
      </c>
      <c r="Z1007" s="382" t="s">
        <v>934</v>
      </c>
      <c r="AA1007" s="372">
        <v>1305.6960918</v>
      </c>
      <c r="AB1007" s="372">
        <v>1397.4870714000001</v>
      </c>
      <c r="AC1007" s="372">
        <v>1579.1324721999999</v>
      </c>
      <c r="AD1007" s="372">
        <v>1273.1086788</v>
      </c>
      <c r="AE1007" s="372">
        <v>0</v>
      </c>
      <c r="AF1007" s="372">
        <v>0</v>
      </c>
      <c r="AG1007" s="372">
        <v>0</v>
      </c>
      <c r="AH1007" s="372">
        <v>0</v>
      </c>
    </row>
    <row r="1008" spans="1:34">
      <c r="A1008" s="372" t="s">
        <v>7097</v>
      </c>
      <c r="B1008" s="373" t="s">
        <v>7098</v>
      </c>
      <c r="C1008" s="372" t="s">
        <v>7099</v>
      </c>
      <c r="D1008" s="374">
        <v>1101114382612</v>
      </c>
      <c r="E1008" s="372" t="s">
        <v>7100</v>
      </c>
      <c r="F1008" s="372" t="s">
        <v>7101</v>
      </c>
      <c r="G1008" s="375" t="s">
        <v>7101</v>
      </c>
      <c r="H1008" s="375" t="s">
        <v>853</v>
      </c>
      <c r="I1008" s="375" t="s">
        <v>755</v>
      </c>
      <c r="J1008" s="375">
        <v>1608088.5206500001</v>
      </c>
      <c r="K1008" s="375">
        <v>29449.898870000001</v>
      </c>
      <c r="L1008" s="375">
        <v>-22746.36</v>
      </c>
      <c r="M1008" s="375">
        <v>613554.43336999998</v>
      </c>
      <c r="N1008" s="372">
        <v>0.96099999999999997</v>
      </c>
      <c r="O1008" s="703">
        <v>561.94934585985163</v>
      </c>
      <c r="P1008" s="375" t="s">
        <v>623</v>
      </c>
      <c r="Q1008" s="375" t="s">
        <v>623</v>
      </c>
      <c r="R1008" s="695">
        <v>20100730</v>
      </c>
      <c r="S1008" s="375" t="s">
        <v>7102</v>
      </c>
      <c r="T1008" s="696" t="s">
        <v>772</v>
      </c>
      <c r="U1008" s="372" t="s">
        <v>7103</v>
      </c>
      <c r="V1008" s="722">
        <v>11.02</v>
      </c>
      <c r="W1008" s="722">
        <v>0.27</v>
      </c>
      <c r="X1008" s="722">
        <v>0.1</v>
      </c>
      <c r="Y1008" s="722" t="s">
        <v>774</v>
      </c>
      <c r="Z1008" s="382" t="s">
        <v>934</v>
      </c>
      <c r="AA1008" s="372">
        <v>8323.8290195000009</v>
      </c>
      <c r="AB1008" s="372">
        <v>11291.336599800001</v>
      </c>
      <c r="AC1008" s="372">
        <v>18713.057849699999</v>
      </c>
      <c r="AD1008" s="372">
        <v>16080.885206499999</v>
      </c>
      <c r="AE1008" s="372">
        <v>0</v>
      </c>
      <c r="AF1008" s="372">
        <v>0</v>
      </c>
      <c r="AG1008" s="372">
        <v>0</v>
      </c>
      <c r="AH1008" s="372">
        <v>0</v>
      </c>
    </row>
    <row r="1009" spans="1:34">
      <c r="A1009" s="372" t="s">
        <v>7104</v>
      </c>
      <c r="B1009" s="373" t="s">
        <v>7105</v>
      </c>
      <c r="C1009" s="372" t="s">
        <v>7106</v>
      </c>
      <c r="D1009" s="374">
        <v>1301110010346</v>
      </c>
      <c r="E1009" s="372" t="s">
        <v>7107</v>
      </c>
      <c r="F1009" s="375" t="s">
        <v>7108</v>
      </c>
      <c r="G1009" s="375" t="s">
        <v>7109</v>
      </c>
      <c r="H1009" s="375" t="s">
        <v>1050</v>
      </c>
      <c r="I1009" s="375" t="s">
        <v>755</v>
      </c>
      <c r="J1009" s="375">
        <v>57312.285219999998</v>
      </c>
      <c r="K1009" s="375">
        <v>-7245.1536699999997</v>
      </c>
      <c r="L1009" s="375">
        <v>-2612.6420499999999</v>
      </c>
      <c r="M1009" s="375">
        <v>90801.364570000005</v>
      </c>
      <c r="N1009" s="372">
        <v>1.3959999999999999</v>
      </c>
      <c r="O1009" s="703">
        <v>9.937683522287589</v>
      </c>
      <c r="P1009" s="375" t="s">
        <v>623</v>
      </c>
      <c r="Q1009" s="372" t="s">
        <v>623</v>
      </c>
      <c r="R1009" s="695">
        <v>19870724</v>
      </c>
      <c r="S1009" s="372" t="s">
        <v>7110</v>
      </c>
      <c r="T1009" s="696" t="s">
        <v>772</v>
      </c>
      <c r="U1009" s="372" t="s">
        <v>7111</v>
      </c>
      <c r="V1009" s="722" t="s">
        <v>774</v>
      </c>
      <c r="W1009" s="722">
        <v>1.74</v>
      </c>
      <c r="X1009" s="722">
        <v>2.76</v>
      </c>
      <c r="Y1009" s="722" t="s">
        <v>774</v>
      </c>
      <c r="Z1009" s="382" t="s">
        <v>934</v>
      </c>
      <c r="AA1009" s="372">
        <v>516.36393229999999</v>
      </c>
      <c r="AB1009" s="372">
        <v>543.65248580000002</v>
      </c>
      <c r="AC1009" s="372">
        <v>560.39955369999996</v>
      </c>
      <c r="AD1009" s="372">
        <v>573.12285220000001</v>
      </c>
      <c r="AE1009" s="372">
        <v>0</v>
      </c>
      <c r="AF1009" s="372">
        <v>0</v>
      </c>
      <c r="AG1009" s="372">
        <v>0</v>
      </c>
      <c r="AH1009" s="372">
        <v>0</v>
      </c>
    </row>
    <row r="1010" spans="1:34">
      <c r="A1010" s="372" t="s">
        <v>7112</v>
      </c>
      <c r="B1010" s="373" t="s">
        <v>7113</v>
      </c>
      <c r="C1010" s="372" t="s">
        <v>7114</v>
      </c>
      <c r="D1010" s="374">
        <v>1351110053143</v>
      </c>
      <c r="E1010" s="372" t="s">
        <v>7115</v>
      </c>
      <c r="F1010" s="375" t="s">
        <v>5742</v>
      </c>
      <c r="G1010" s="375" t="s">
        <v>5742</v>
      </c>
      <c r="H1010" s="375" t="s">
        <v>868</v>
      </c>
      <c r="I1010" s="375" t="s">
        <v>869</v>
      </c>
      <c r="J1010" s="375">
        <v>235952.25302</v>
      </c>
      <c r="K1010" s="375">
        <v>15513.72069</v>
      </c>
      <c r="L1010" s="375">
        <v>14290.28973</v>
      </c>
      <c r="M1010" s="375">
        <v>72258.160990000004</v>
      </c>
      <c r="N1010" s="372">
        <v>1.0840000000000001</v>
      </c>
      <c r="O1010" s="703">
        <v>24.678398925531241</v>
      </c>
      <c r="P1010" s="375" t="s">
        <v>623</v>
      </c>
      <c r="Q1010" s="372" t="s">
        <v>623</v>
      </c>
      <c r="R1010" s="695">
        <v>20200716</v>
      </c>
      <c r="S1010" s="372" t="s">
        <v>7116</v>
      </c>
      <c r="T1010" s="696">
        <v>0.20900000000000002</v>
      </c>
      <c r="U1010" s="375" t="s">
        <v>7117</v>
      </c>
      <c r="V1010" s="722">
        <v>12.96</v>
      </c>
      <c r="W1010" s="722">
        <v>2.75</v>
      </c>
      <c r="X1010" s="722">
        <v>0.85</v>
      </c>
      <c r="Y1010" s="722">
        <v>16.13</v>
      </c>
      <c r="Z1010" s="382" t="s">
        <v>934</v>
      </c>
      <c r="AA1010" s="372">
        <v>489.9064889</v>
      </c>
      <c r="AB1010" s="372">
        <v>615.32265489999997</v>
      </c>
      <c r="AC1010" s="372">
        <v>793.93169569999998</v>
      </c>
      <c r="AD1010" s="372">
        <v>2359.5225301999999</v>
      </c>
      <c r="AE1010" s="372">
        <v>2278</v>
      </c>
      <c r="AF1010" s="372">
        <v>2655</v>
      </c>
      <c r="AG1010" s="372">
        <v>0</v>
      </c>
      <c r="AH1010" s="372">
        <v>0</v>
      </c>
    </row>
    <row r="1011" spans="1:34">
      <c r="A1011" s="372" t="s">
        <v>7118</v>
      </c>
      <c r="B1011" s="373" t="s">
        <v>7119</v>
      </c>
      <c r="C1011" s="372" t="s">
        <v>7120</v>
      </c>
      <c r="D1011" s="374">
        <v>1101114838516</v>
      </c>
      <c r="E1011" s="372" t="s">
        <v>7121</v>
      </c>
      <c r="F1011" s="375" t="s">
        <v>3941</v>
      </c>
      <c r="G1011" s="375" t="s">
        <v>6406</v>
      </c>
      <c r="H1011" s="375" t="s">
        <v>868</v>
      </c>
      <c r="I1011" s="375" t="s">
        <v>869</v>
      </c>
      <c r="J1011" s="375">
        <v>232025.91000999999</v>
      </c>
      <c r="K1011" s="375">
        <v>22059.569869999999</v>
      </c>
      <c r="L1011" s="375">
        <v>23137.75217</v>
      </c>
      <c r="M1011" s="375">
        <v>166328.30038999999</v>
      </c>
      <c r="N1011" s="372">
        <v>1.0029999999999999</v>
      </c>
      <c r="O1011" s="703">
        <v>2.8206130734124346</v>
      </c>
      <c r="P1011" s="375" t="s">
        <v>623</v>
      </c>
      <c r="Q1011" s="375" t="s">
        <v>623</v>
      </c>
      <c r="R1011" s="695">
        <v>20210514</v>
      </c>
      <c r="S1011" s="375" t="s">
        <v>7122</v>
      </c>
      <c r="T1011" s="696">
        <v>0.23100000000000001</v>
      </c>
      <c r="U1011" s="372" t="s">
        <v>7123</v>
      </c>
      <c r="V1011" s="722">
        <v>7.45</v>
      </c>
      <c r="W1011" s="722">
        <v>1.1299999999999999</v>
      </c>
      <c r="X1011" s="722">
        <v>0.7</v>
      </c>
      <c r="Y1011" s="722">
        <v>10.69</v>
      </c>
      <c r="Z1011" s="382">
        <v>8.4193397863082886E-2</v>
      </c>
      <c r="AA1011" s="372">
        <v>1427.8738361999999</v>
      </c>
      <c r="AB1011" s="372">
        <v>1594.3499843</v>
      </c>
      <c r="AC1011" s="372">
        <v>1959.7838919999999</v>
      </c>
      <c r="AD1011" s="372">
        <v>2320.2591001000001</v>
      </c>
      <c r="AE1011" s="372">
        <v>2609</v>
      </c>
      <c r="AF1011" s="372">
        <v>2865</v>
      </c>
      <c r="AG1011" s="372">
        <v>3206</v>
      </c>
      <c r="AH1011" s="372">
        <v>0</v>
      </c>
    </row>
    <row r="1012" spans="1:34">
      <c r="A1012" s="372" t="s">
        <v>7124</v>
      </c>
      <c r="B1012" s="373" t="s">
        <v>7125</v>
      </c>
      <c r="C1012" s="372" t="s">
        <v>7126</v>
      </c>
      <c r="D1012" s="374">
        <v>1345110001814</v>
      </c>
      <c r="E1012" s="372" t="s">
        <v>7127</v>
      </c>
      <c r="F1012" s="375" t="s">
        <v>2207</v>
      </c>
      <c r="G1012" s="375" t="s">
        <v>4931</v>
      </c>
      <c r="H1012" s="375" t="s">
        <v>2079</v>
      </c>
      <c r="I1012" s="375" t="s">
        <v>755</v>
      </c>
      <c r="J1012" s="375">
        <v>129059.32223000001</v>
      </c>
      <c r="K1012" s="375">
        <v>15365.13809</v>
      </c>
      <c r="L1012" s="375">
        <v>15526.43296</v>
      </c>
      <c r="M1012" s="375">
        <v>197283.31776000001</v>
      </c>
      <c r="N1012" s="372">
        <v>1.103</v>
      </c>
      <c r="O1012" s="703">
        <v>1.1181715928530422</v>
      </c>
      <c r="P1012" s="375" t="s">
        <v>623</v>
      </c>
      <c r="Q1012" s="372" t="s">
        <v>623</v>
      </c>
      <c r="R1012" s="695">
        <v>20100726</v>
      </c>
      <c r="S1012" s="372" t="s">
        <v>7128</v>
      </c>
      <c r="T1012" s="696">
        <v>0.20900000000000002</v>
      </c>
      <c r="U1012" s="375" t="s">
        <v>7129</v>
      </c>
      <c r="V1012" s="722">
        <v>11.81</v>
      </c>
      <c r="W1012" s="722">
        <v>1.1100000000000001</v>
      </c>
      <c r="X1012" s="722">
        <v>1.46</v>
      </c>
      <c r="Y1012" s="722">
        <v>16.190000000000001</v>
      </c>
      <c r="Z1012" s="382" t="s">
        <v>934</v>
      </c>
      <c r="AA1012" s="372">
        <v>892.01366129999997</v>
      </c>
      <c r="AB1012" s="372">
        <v>1076.4737273000001</v>
      </c>
      <c r="AC1012" s="372">
        <v>1240.5665873</v>
      </c>
      <c r="AD1012" s="372">
        <v>1290.5932223</v>
      </c>
      <c r="AE1012" s="372">
        <v>1799</v>
      </c>
      <c r="AF1012" s="372">
        <v>2019</v>
      </c>
      <c r="AG1012" s="372">
        <v>0</v>
      </c>
      <c r="AH1012" s="372">
        <v>0</v>
      </c>
    </row>
    <row r="1013" spans="1:34">
      <c r="A1013" s="372" t="s">
        <v>7130</v>
      </c>
      <c r="B1013" s="373" t="s">
        <v>7131</v>
      </c>
      <c r="C1013" s="372" t="s">
        <v>7132</v>
      </c>
      <c r="D1013" s="374">
        <v>1348110121012</v>
      </c>
      <c r="E1013" s="372" t="s">
        <v>7133</v>
      </c>
      <c r="F1013" s="372" t="s">
        <v>2450</v>
      </c>
      <c r="G1013" s="375" t="s">
        <v>2451</v>
      </c>
      <c r="H1013" s="375" t="s">
        <v>868</v>
      </c>
      <c r="I1013" s="375" t="s">
        <v>869</v>
      </c>
      <c r="J1013" s="375">
        <v>0</v>
      </c>
      <c r="K1013" s="375">
        <v>0</v>
      </c>
      <c r="L1013" s="375">
        <v>0</v>
      </c>
      <c r="M1013" s="375">
        <v>44068.47941</v>
      </c>
      <c r="N1013" s="372" t="s">
        <v>1033</v>
      </c>
      <c r="O1013" s="703">
        <v>4.8402236000236227</v>
      </c>
      <c r="P1013" s="375" t="s">
        <v>623</v>
      </c>
      <c r="Q1013" s="375" t="s">
        <v>623</v>
      </c>
      <c r="R1013" s="695">
        <v>20231206</v>
      </c>
      <c r="S1013" s="375" t="s">
        <v>7134</v>
      </c>
      <c r="T1013" s="696" t="s">
        <v>772</v>
      </c>
      <c r="U1013" s="372" t="s">
        <v>7135</v>
      </c>
      <c r="V1013" s="722">
        <v>0</v>
      </c>
      <c r="W1013" s="722">
        <v>5.53</v>
      </c>
      <c r="X1013" s="722">
        <v>0</v>
      </c>
      <c r="Y1013" s="722">
        <v>0</v>
      </c>
      <c r="Z1013" s="382" t="s">
        <v>934</v>
      </c>
      <c r="AA1013" s="372">
        <v>110.22005</v>
      </c>
      <c r="AB1013" s="372">
        <v>285.6431566</v>
      </c>
      <c r="AC1013" s="372">
        <v>347.34789510000002</v>
      </c>
      <c r="AD1013" s="372">
        <v>300.4105702</v>
      </c>
      <c r="AE1013" s="372">
        <v>0</v>
      </c>
      <c r="AF1013" s="372">
        <v>0</v>
      </c>
      <c r="AG1013" s="372">
        <v>0</v>
      </c>
      <c r="AH1013" s="372">
        <v>0</v>
      </c>
    </row>
    <row r="1014" spans="1:34">
      <c r="A1014" s="372" t="s">
        <v>7136</v>
      </c>
      <c r="B1014" s="373" t="s">
        <v>7137</v>
      </c>
      <c r="C1014" s="372" t="s">
        <v>7138</v>
      </c>
      <c r="D1014" s="374">
        <v>2111110001529</v>
      </c>
      <c r="E1014" s="372" t="s">
        <v>7139</v>
      </c>
      <c r="F1014" s="375" t="s">
        <v>1334</v>
      </c>
      <c r="G1014" s="375" t="s">
        <v>1334</v>
      </c>
      <c r="H1014" s="375" t="s">
        <v>868</v>
      </c>
      <c r="I1014" s="375" t="s">
        <v>869</v>
      </c>
      <c r="J1014" s="375">
        <v>141359.21536999999</v>
      </c>
      <c r="K1014" s="375">
        <v>1963.8373999999999</v>
      </c>
      <c r="L1014" s="375">
        <v>-455.97516999999999</v>
      </c>
      <c r="M1014" s="375">
        <v>77353.149449999997</v>
      </c>
      <c r="N1014" s="372">
        <v>0.65900000000000003</v>
      </c>
      <c r="O1014" s="703">
        <v>56.998229025257949</v>
      </c>
      <c r="P1014" s="375" t="s">
        <v>623</v>
      </c>
      <c r="Q1014" s="372" t="s">
        <v>623</v>
      </c>
      <c r="R1014" s="695">
        <v>20030212</v>
      </c>
      <c r="S1014" s="372" t="s">
        <v>7140</v>
      </c>
      <c r="T1014" s="696" t="s">
        <v>772</v>
      </c>
      <c r="U1014" s="372" t="s">
        <v>7141</v>
      </c>
      <c r="V1014" s="722">
        <v>35.21</v>
      </c>
      <c r="W1014" s="722">
        <v>2.12</v>
      </c>
      <c r="X1014" s="722">
        <v>1.24</v>
      </c>
      <c r="Y1014" s="722" t="s">
        <v>774</v>
      </c>
      <c r="Z1014" s="382" t="s">
        <v>934</v>
      </c>
      <c r="AA1014" s="372">
        <v>1093.4586165999999</v>
      </c>
      <c r="AB1014" s="372">
        <v>1171.5883145</v>
      </c>
      <c r="AC1014" s="372">
        <v>1319.1169282999999</v>
      </c>
      <c r="AD1014" s="372">
        <v>1413.5921536999999</v>
      </c>
      <c r="AE1014" s="372">
        <v>0</v>
      </c>
      <c r="AF1014" s="372">
        <v>0</v>
      </c>
      <c r="AG1014" s="372">
        <v>0</v>
      </c>
      <c r="AH1014" s="372">
        <v>0</v>
      </c>
    </row>
    <row r="1015" spans="1:34">
      <c r="A1015" s="372" t="s">
        <v>7142</v>
      </c>
      <c r="B1015" s="373" t="s">
        <v>7143</v>
      </c>
      <c r="C1015" s="372" t="s">
        <v>7144</v>
      </c>
      <c r="D1015" s="374">
        <v>1101110080484</v>
      </c>
      <c r="E1015" s="372" t="s">
        <v>7145</v>
      </c>
      <c r="F1015" s="375" t="s">
        <v>1334</v>
      </c>
      <c r="G1015" s="375" t="s">
        <v>1334</v>
      </c>
      <c r="H1015" s="375" t="s">
        <v>868</v>
      </c>
      <c r="I1015" s="375" t="s">
        <v>869</v>
      </c>
      <c r="J1015" s="375">
        <v>195911.45887999999</v>
      </c>
      <c r="K1015" s="375">
        <v>35795.371700000003</v>
      </c>
      <c r="L1015" s="375">
        <v>36733.578459999997</v>
      </c>
      <c r="M1015" s="375">
        <v>247974.08804</v>
      </c>
      <c r="N1015" s="372">
        <v>0.53600000000000003</v>
      </c>
      <c r="O1015" s="703">
        <v>0</v>
      </c>
      <c r="P1015" s="375" t="s">
        <v>623</v>
      </c>
      <c r="Q1015" s="372" t="s">
        <v>623</v>
      </c>
      <c r="R1015" s="695">
        <v>19941116</v>
      </c>
      <c r="S1015" s="375" t="s">
        <v>7146</v>
      </c>
      <c r="T1015" s="696">
        <v>0.23100000000000001</v>
      </c>
      <c r="U1015" s="372" t="s">
        <v>7147</v>
      </c>
      <c r="V1015" s="722">
        <v>0</v>
      </c>
      <c r="W1015" s="722">
        <v>0.66</v>
      </c>
      <c r="X1015" s="722">
        <v>0</v>
      </c>
      <c r="Y1015" s="722">
        <v>0</v>
      </c>
      <c r="Z1015" s="382" t="s">
        <v>934</v>
      </c>
      <c r="AA1015" s="372">
        <v>1660.7987803000001</v>
      </c>
      <c r="AB1015" s="372">
        <v>1714.6278732999999</v>
      </c>
      <c r="AC1015" s="372">
        <v>1842.6754819</v>
      </c>
      <c r="AD1015" s="372">
        <v>1959.1145888000001</v>
      </c>
      <c r="AE1015" s="372">
        <v>0</v>
      </c>
      <c r="AF1015" s="372">
        <v>0</v>
      </c>
      <c r="AG1015" s="372">
        <v>0</v>
      </c>
      <c r="AH1015" s="372">
        <v>0</v>
      </c>
    </row>
    <row r="1016" spans="1:34">
      <c r="A1016" s="372" t="s">
        <v>7148</v>
      </c>
      <c r="B1016" s="373" t="s">
        <v>7149</v>
      </c>
      <c r="C1016" s="372" t="s">
        <v>7150</v>
      </c>
      <c r="D1016" s="374">
        <v>1101111518418</v>
      </c>
      <c r="E1016" s="372" t="s">
        <v>7151</v>
      </c>
      <c r="F1016" s="375" t="s">
        <v>5824</v>
      </c>
      <c r="G1016" s="375" t="s">
        <v>5824</v>
      </c>
      <c r="H1016" s="375" t="s">
        <v>1693</v>
      </c>
      <c r="I1016" s="375" t="s">
        <v>869</v>
      </c>
      <c r="J1016" s="375">
        <v>89999.273319999993</v>
      </c>
      <c r="K1016" s="375">
        <v>-2250.90663</v>
      </c>
      <c r="L1016" s="375">
        <v>-7883.4804700000004</v>
      </c>
      <c r="M1016" s="375">
        <v>73018.624670000005</v>
      </c>
      <c r="N1016" s="372">
        <v>0.90800000000000003</v>
      </c>
      <c r="O1016" s="703">
        <v>12.276934577389573</v>
      </c>
      <c r="P1016" s="375" t="s">
        <v>623</v>
      </c>
      <c r="Q1016" s="375" t="s">
        <v>623</v>
      </c>
      <c r="R1016" s="695">
        <v>20070725</v>
      </c>
      <c r="S1016" s="375" t="s">
        <v>7152</v>
      </c>
      <c r="T1016" s="696" t="s">
        <v>772</v>
      </c>
      <c r="U1016" s="372" t="s">
        <v>7153</v>
      </c>
      <c r="V1016" s="722" t="s">
        <v>774</v>
      </c>
      <c r="W1016" s="722">
        <v>2.65</v>
      </c>
      <c r="X1016" s="722">
        <v>1.92</v>
      </c>
      <c r="Y1016" s="722" t="s">
        <v>774</v>
      </c>
      <c r="Z1016" s="382" t="s">
        <v>934</v>
      </c>
      <c r="AA1016" s="372">
        <v>831.82866660000002</v>
      </c>
      <c r="AB1016" s="372">
        <v>904.39385830000003</v>
      </c>
      <c r="AC1016" s="372">
        <v>1095.8182351999999</v>
      </c>
      <c r="AD1016" s="372">
        <v>899.99273319999998</v>
      </c>
      <c r="AE1016" s="372">
        <v>0</v>
      </c>
      <c r="AF1016" s="372">
        <v>0</v>
      </c>
      <c r="AG1016" s="372">
        <v>0</v>
      </c>
      <c r="AH1016" s="372">
        <v>0</v>
      </c>
    </row>
    <row r="1017" spans="1:34">
      <c r="A1017" s="372" t="s">
        <v>7154</v>
      </c>
      <c r="B1017" s="373" t="s">
        <v>7155</v>
      </c>
      <c r="C1017" s="372" t="s">
        <v>7156</v>
      </c>
      <c r="D1017" s="374">
        <v>1101110026652</v>
      </c>
      <c r="E1017" s="372" t="s">
        <v>7157</v>
      </c>
      <c r="F1017" s="375" t="s">
        <v>2649</v>
      </c>
      <c r="G1017" s="375" t="s">
        <v>2650</v>
      </c>
      <c r="H1017" s="375" t="s">
        <v>823</v>
      </c>
      <c r="I1017" s="375" t="s">
        <v>755</v>
      </c>
      <c r="J1017" s="375">
        <v>804043.00173000002</v>
      </c>
      <c r="K1017" s="375">
        <v>20820.186239999999</v>
      </c>
      <c r="L1017" s="375">
        <v>-13981.64983</v>
      </c>
      <c r="M1017" s="375">
        <v>402186.06838000001</v>
      </c>
      <c r="N1017" s="372">
        <v>0.74399999999999999</v>
      </c>
      <c r="O1017" s="703">
        <v>98.227926057635202</v>
      </c>
      <c r="P1017" s="375" t="s">
        <v>623</v>
      </c>
      <c r="Q1017" s="372" t="s">
        <v>623</v>
      </c>
      <c r="R1017" s="695">
        <v>19880120</v>
      </c>
      <c r="S1017" s="372" t="s">
        <v>7158</v>
      </c>
      <c r="T1017" s="696" t="s">
        <v>772</v>
      </c>
      <c r="U1017" s="372" t="s">
        <v>5502</v>
      </c>
      <c r="V1017" s="722">
        <v>11.11</v>
      </c>
      <c r="W1017" s="722">
        <v>0.57999999999999996</v>
      </c>
      <c r="X1017" s="722">
        <v>0.23</v>
      </c>
      <c r="Y1017" s="722" t="s">
        <v>774</v>
      </c>
      <c r="Z1017" s="382" t="s">
        <v>934</v>
      </c>
      <c r="AA1017" s="372">
        <v>7619.9675212000002</v>
      </c>
      <c r="AB1017" s="372">
        <v>7625.6805629</v>
      </c>
      <c r="AC1017" s="372">
        <v>7929.6473324999997</v>
      </c>
      <c r="AD1017" s="372">
        <v>8040.4300173000001</v>
      </c>
      <c r="AE1017" s="372">
        <v>0</v>
      </c>
      <c r="AF1017" s="372">
        <v>0</v>
      </c>
      <c r="AG1017" s="372">
        <v>0</v>
      </c>
      <c r="AH1017" s="372">
        <v>0</v>
      </c>
    </row>
    <row r="1018" spans="1:34">
      <c r="A1018" s="372" t="s">
        <v>7159</v>
      </c>
      <c r="B1018" s="373" t="s">
        <v>7160</v>
      </c>
      <c r="C1018" s="372" t="s">
        <v>7161</v>
      </c>
      <c r="D1018" s="374">
        <v>1351110102065</v>
      </c>
      <c r="E1018" s="372" t="s">
        <v>7162</v>
      </c>
      <c r="F1018" s="375" t="s">
        <v>1774</v>
      </c>
      <c r="G1018" s="375" t="s">
        <v>6561</v>
      </c>
      <c r="H1018" s="375" t="s">
        <v>868</v>
      </c>
      <c r="I1018" s="375" t="s">
        <v>869</v>
      </c>
      <c r="J1018" s="375">
        <v>0</v>
      </c>
      <c r="K1018" s="375">
        <v>0</v>
      </c>
      <c r="L1018" s="375">
        <v>0</v>
      </c>
      <c r="M1018" s="375">
        <v>32245.404040000001</v>
      </c>
      <c r="N1018" s="372">
        <v>1.671</v>
      </c>
      <c r="O1018" s="703">
        <v>0.30063872484901893</v>
      </c>
      <c r="P1018" s="375" t="s">
        <v>623</v>
      </c>
      <c r="Q1018" s="372" t="s">
        <v>623</v>
      </c>
      <c r="R1018" s="695">
        <v>20220401</v>
      </c>
      <c r="S1018" s="372" t="s">
        <v>7163</v>
      </c>
      <c r="T1018" s="696" t="s">
        <v>772</v>
      </c>
      <c r="U1018" s="372" t="s">
        <v>7164</v>
      </c>
      <c r="V1018" s="722">
        <v>0</v>
      </c>
      <c r="W1018" s="722">
        <v>4.67</v>
      </c>
      <c r="X1018" s="722">
        <v>0</v>
      </c>
      <c r="Y1018" s="722">
        <v>0</v>
      </c>
      <c r="Z1018" s="382" t="s">
        <v>934</v>
      </c>
      <c r="AA1018" s="372">
        <v>291.34565509999999</v>
      </c>
      <c r="AB1018" s="372">
        <v>373.74927589999999</v>
      </c>
      <c r="AC1018" s="372">
        <v>373.76811259999999</v>
      </c>
      <c r="AD1018" s="372">
        <v>494.13146360000002</v>
      </c>
      <c r="AE1018" s="372">
        <v>0</v>
      </c>
      <c r="AF1018" s="372">
        <v>0</v>
      </c>
      <c r="AG1018" s="372">
        <v>0</v>
      </c>
      <c r="AH1018" s="372">
        <v>0</v>
      </c>
    </row>
    <row r="1019" spans="1:34">
      <c r="A1019" s="372" t="s">
        <v>7165</v>
      </c>
      <c r="B1019" s="373" t="s">
        <v>7166</v>
      </c>
      <c r="C1019" s="372" t="s">
        <v>7167</v>
      </c>
      <c r="D1019" s="374">
        <v>1201110185810</v>
      </c>
      <c r="E1019" s="372" t="s">
        <v>7168</v>
      </c>
      <c r="F1019" s="375" t="s">
        <v>1313</v>
      </c>
      <c r="G1019" s="375" t="s">
        <v>1313</v>
      </c>
      <c r="H1019" s="375" t="s">
        <v>868</v>
      </c>
      <c r="I1019" s="375" t="s">
        <v>869</v>
      </c>
      <c r="J1019" s="375">
        <v>127409.9759</v>
      </c>
      <c r="K1019" s="375">
        <v>-3169.9579600000002</v>
      </c>
      <c r="L1019" s="375">
        <v>-368.16264000000001</v>
      </c>
      <c r="M1019" s="375">
        <v>148194.13506</v>
      </c>
      <c r="N1019" s="372">
        <v>0.91800000000000004</v>
      </c>
      <c r="O1019" s="703">
        <v>32.836695164091225</v>
      </c>
      <c r="P1019" s="375" t="s">
        <v>623</v>
      </c>
      <c r="Q1019" s="372" t="s">
        <v>623</v>
      </c>
      <c r="R1019" s="695">
        <v>20170427</v>
      </c>
      <c r="S1019" s="372" t="s">
        <v>7169</v>
      </c>
      <c r="T1019" s="696" t="s">
        <v>772</v>
      </c>
      <c r="U1019" s="372" t="s">
        <v>7170</v>
      </c>
      <c r="V1019" s="722">
        <v>40.06</v>
      </c>
      <c r="W1019" s="722">
        <v>1.39</v>
      </c>
      <c r="X1019" s="722">
        <v>1.34</v>
      </c>
      <c r="Y1019" s="722" t="s">
        <v>774</v>
      </c>
      <c r="Z1019" s="382" t="s">
        <v>934</v>
      </c>
      <c r="AA1019" s="372">
        <v>1135.4685451</v>
      </c>
      <c r="AB1019" s="372">
        <v>1255.6728306</v>
      </c>
      <c r="AC1019" s="372">
        <v>1305.6717799999999</v>
      </c>
      <c r="AD1019" s="372">
        <v>1274.0997589999999</v>
      </c>
      <c r="AE1019" s="372">
        <v>1529</v>
      </c>
      <c r="AF1019" s="372">
        <v>0</v>
      </c>
      <c r="AG1019" s="372">
        <v>0</v>
      </c>
      <c r="AH1019" s="372">
        <v>0</v>
      </c>
    </row>
    <row r="1020" spans="1:34">
      <c r="A1020" s="372" t="s">
        <v>7171</v>
      </c>
      <c r="B1020" s="373" t="s">
        <v>7172</v>
      </c>
      <c r="C1020" s="372" t="s">
        <v>7173</v>
      </c>
      <c r="D1020" s="374">
        <v>1101110834378</v>
      </c>
      <c r="E1020" s="372" t="s">
        <v>7174</v>
      </c>
      <c r="F1020" s="375" t="s">
        <v>982</v>
      </c>
      <c r="G1020" s="375" t="s">
        <v>983</v>
      </c>
      <c r="H1020" s="375" t="s">
        <v>1693</v>
      </c>
      <c r="I1020" s="375" t="s">
        <v>869</v>
      </c>
      <c r="J1020" s="375">
        <v>365240.55833000003</v>
      </c>
      <c r="K1020" s="375">
        <v>5213.31448</v>
      </c>
      <c r="L1020" s="375">
        <v>-302.32709999999997</v>
      </c>
      <c r="M1020" s="375">
        <v>75861.349610000005</v>
      </c>
      <c r="N1020" s="372">
        <v>1.1080000000000001</v>
      </c>
      <c r="O1020" s="703">
        <v>52.858152494364433</v>
      </c>
      <c r="P1020" s="375" t="s">
        <v>623</v>
      </c>
      <c r="Q1020" s="372" t="s">
        <v>623</v>
      </c>
      <c r="R1020" s="695">
        <v>19990728</v>
      </c>
      <c r="S1020" s="372" t="s">
        <v>7175</v>
      </c>
      <c r="T1020" s="696" t="s">
        <v>772</v>
      </c>
      <c r="U1020" s="372" t="s">
        <v>7176</v>
      </c>
      <c r="V1020" s="722">
        <v>20.25</v>
      </c>
      <c r="W1020" s="722">
        <v>1.59</v>
      </c>
      <c r="X1020" s="722">
        <v>0.34</v>
      </c>
      <c r="Y1020" s="722" t="s">
        <v>774</v>
      </c>
      <c r="Z1020" s="382" t="s">
        <v>934</v>
      </c>
      <c r="AA1020" s="372">
        <v>2419.9299228</v>
      </c>
      <c r="AB1020" s="372">
        <v>2583.0833044999999</v>
      </c>
      <c r="AC1020" s="372">
        <v>3145.0629939999999</v>
      </c>
      <c r="AD1020" s="372">
        <v>3652.4055833000002</v>
      </c>
      <c r="AE1020" s="372">
        <v>0</v>
      </c>
      <c r="AF1020" s="372">
        <v>0</v>
      </c>
      <c r="AG1020" s="372">
        <v>0</v>
      </c>
      <c r="AH1020" s="372">
        <v>0</v>
      </c>
    </row>
    <row r="1021" spans="1:34">
      <c r="A1021" s="372" t="s">
        <v>7177</v>
      </c>
      <c r="B1021" s="373" t="s">
        <v>7178</v>
      </c>
      <c r="C1021" s="372" t="s">
        <v>7179</v>
      </c>
      <c r="D1021" s="374">
        <v>1101110352156</v>
      </c>
      <c r="E1021" s="372" t="s">
        <v>7180</v>
      </c>
      <c r="F1021" s="375" t="s">
        <v>1334</v>
      </c>
      <c r="G1021" s="375" t="s">
        <v>1334</v>
      </c>
      <c r="H1021" s="375" t="s">
        <v>868</v>
      </c>
      <c r="I1021" s="375" t="s">
        <v>869</v>
      </c>
      <c r="J1021" s="375">
        <v>215686.30535000001</v>
      </c>
      <c r="K1021" s="375">
        <v>14616.04796</v>
      </c>
      <c r="L1021" s="375">
        <v>14740.701129999999</v>
      </c>
      <c r="M1021" s="375">
        <v>110444.8885</v>
      </c>
      <c r="N1021" s="372">
        <v>0.91800000000000004</v>
      </c>
      <c r="O1021" s="703">
        <v>24.018530427543503</v>
      </c>
      <c r="P1021" s="375" t="s">
        <v>623</v>
      </c>
      <c r="Q1021" s="372" t="s">
        <v>623</v>
      </c>
      <c r="R1021" s="695">
        <v>20180213</v>
      </c>
      <c r="S1021" s="372" t="s">
        <v>7181</v>
      </c>
      <c r="T1021" s="696">
        <v>0.20900000000000002</v>
      </c>
      <c r="U1021" s="372" t="s">
        <v>7182</v>
      </c>
      <c r="V1021" s="722">
        <v>8.77</v>
      </c>
      <c r="W1021" s="722">
        <v>1.37</v>
      </c>
      <c r="X1021" s="722">
        <v>0.75</v>
      </c>
      <c r="Y1021" s="722">
        <v>13.64</v>
      </c>
      <c r="Z1021" s="382" t="s">
        <v>934</v>
      </c>
      <c r="AA1021" s="372">
        <v>1392.1581398000001</v>
      </c>
      <c r="AB1021" s="372">
        <v>1551.4921079999999</v>
      </c>
      <c r="AC1021" s="372">
        <v>1949.8776473999999</v>
      </c>
      <c r="AD1021" s="372">
        <v>2156.8630535000002</v>
      </c>
      <c r="AE1021" s="372">
        <v>0</v>
      </c>
      <c r="AF1021" s="372">
        <v>0</v>
      </c>
      <c r="AG1021" s="372">
        <v>0</v>
      </c>
      <c r="AH1021" s="372">
        <v>0</v>
      </c>
    </row>
    <row r="1022" spans="1:34">
      <c r="A1022" s="372" t="s">
        <v>7183</v>
      </c>
      <c r="B1022" s="373" t="s">
        <v>7184</v>
      </c>
      <c r="C1022" s="372" t="s">
        <v>7185</v>
      </c>
      <c r="D1022" s="374">
        <v>1614110012349</v>
      </c>
      <c r="E1022" s="372" t="s">
        <v>7186</v>
      </c>
      <c r="F1022" s="375" t="s">
        <v>1104</v>
      </c>
      <c r="G1022" s="375" t="s">
        <v>5909</v>
      </c>
      <c r="H1022" s="375" t="s">
        <v>832</v>
      </c>
      <c r="I1022" s="375" t="s">
        <v>755</v>
      </c>
      <c r="J1022" s="375">
        <v>282345.76218999998</v>
      </c>
      <c r="K1022" s="375">
        <v>4952.1763700000001</v>
      </c>
      <c r="L1022" s="375">
        <v>795.93358999999998</v>
      </c>
      <c r="M1022" s="375">
        <v>120368.82523</v>
      </c>
      <c r="N1022" s="372">
        <v>1.119</v>
      </c>
      <c r="O1022" s="703">
        <v>27.313281587263543</v>
      </c>
      <c r="P1022" s="375" t="s">
        <v>623</v>
      </c>
      <c r="Q1022" s="375" t="s">
        <v>623</v>
      </c>
      <c r="R1022" s="695">
        <v>20051020</v>
      </c>
      <c r="S1022" s="375" t="s">
        <v>7187</v>
      </c>
      <c r="T1022" s="696">
        <v>0.20900000000000002</v>
      </c>
      <c r="U1022" s="372" t="s">
        <v>7188</v>
      </c>
      <c r="V1022" s="722">
        <v>0</v>
      </c>
      <c r="W1022" s="722">
        <v>1.31</v>
      </c>
      <c r="X1022" s="722">
        <v>0</v>
      </c>
      <c r="Y1022" s="722">
        <v>0</v>
      </c>
      <c r="Z1022" s="382" t="s">
        <v>934</v>
      </c>
      <c r="AA1022" s="372">
        <v>2423.9800111999998</v>
      </c>
      <c r="AB1022" s="372">
        <v>2862.2427017999998</v>
      </c>
      <c r="AC1022" s="372">
        <v>3249.2735634999999</v>
      </c>
      <c r="AD1022" s="372">
        <v>2823.4576219</v>
      </c>
      <c r="AE1022" s="372">
        <v>0</v>
      </c>
      <c r="AF1022" s="372">
        <v>0</v>
      </c>
      <c r="AG1022" s="372">
        <v>0</v>
      </c>
      <c r="AH1022" s="372">
        <v>0</v>
      </c>
    </row>
    <row r="1023" spans="1:34">
      <c r="A1023" s="372" t="s">
        <v>7189</v>
      </c>
      <c r="B1023" s="373" t="s">
        <v>7190</v>
      </c>
      <c r="C1023" s="372" t="s">
        <v>7191</v>
      </c>
      <c r="D1023" s="374">
        <v>1201110615990</v>
      </c>
      <c r="E1023" s="372" t="s">
        <v>7192</v>
      </c>
      <c r="F1023" s="375" t="s">
        <v>1005</v>
      </c>
      <c r="G1023" s="375" t="s">
        <v>7193</v>
      </c>
      <c r="H1023" s="375" t="s">
        <v>1388</v>
      </c>
      <c r="I1023" s="375" t="s">
        <v>869</v>
      </c>
      <c r="J1023" s="375">
        <v>280218.06040999998</v>
      </c>
      <c r="K1023" s="375">
        <v>14686.766750000001</v>
      </c>
      <c r="L1023" s="375">
        <v>8872.8865499999993</v>
      </c>
      <c r="M1023" s="375">
        <v>132431.24191000001</v>
      </c>
      <c r="N1023" s="372">
        <v>0.86799999999999999</v>
      </c>
      <c r="O1023" s="703">
        <v>39.680043447371702</v>
      </c>
      <c r="P1023" s="375" t="s">
        <v>623</v>
      </c>
      <c r="Q1023" s="375" t="s">
        <v>623</v>
      </c>
      <c r="R1023" s="695">
        <v>20181221</v>
      </c>
      <c r="S1023" s="375" t="s">
        <v>7194</v>
      </c>
      <c r="T1023" s="696">
        <v>0.20900000000000002</v>
      </c>
      <c r="U1023" s="375" t="s">
        <v>7195</v>
      </c>
      <c r="V1023" s="722">
        <v>7</v>
      </c>
      <c r="W1023" s="722">
        <v>1.19</v>
      </c>
      <c r="X1023" s="722">
        <v>0.56000000000000005</v>
      </c>
      <c r="Y1023" s="722">
        <v>35.979999999999997</v>
      </c>
      <c r="Z1023" s="382" t="s">
        <v>934</v>
      </c>
      <c r="AA1023" s="372">
        <v>3461.4617867000002</v>
      </c>
      <c r="AB1023" s="372">
        <v>3152.4152860999998</v>
      </c>
      <c r="AC1023" s="372">
        <v>3635.4294522999999</v>
      </c>
      <c r="AD1023" s="372">
        <v>2802.1806041</v>
      </c>
      <c r="AE1023" s="372">
        <v>3561</v>
      </c>
      <c r="AF1023" s="372">
        <v>4808</v>
      </c>
      <c r="AG1023" s="372">
        <v>0</v>
      </c>
      <c r="AH1023" s="372">
        <v>0</v>
      </c>
    </row>
    <row r="1024" spans="1:34">
      <c r="A1024" s="372" t="s">
        <v>7196</v>
      </c>
      <c r="B1024" s="373" t="s">
        <v>7197</v>
      </c>
      <c r="C1024" s="372" t="s">
        <v>7198</v>
      </c>
      <c r="D1024" s="374">
        <v>1101113783457</v>
      </c>
      <c r="E1024" s="372" t="s">
        <v>7199</v>
      </c>
      <c r="F1024" s="375" t="s">
        <v>1970</v>
      </c>
      <c r="G1024" s="375" t="s">
        <v>2522</v>
      </c>
      <c r="H1024" s="375" t="s">
        <v>868</v>
      </c>
      <c r="I1024" s="375" t="s">
        <v>869</v>
      </c>
      <c r="J1024" s="375">
        <v>416317.35965</v>
      </c>
      <c r="K1024" s="375">
        <v>-32001.572609999999</v>
      </c>
      <c r="L1024" s="375">
        <v>-44292.321980000001</v>
      </c>
      <c r="M1024" s="375">
        <v>949362.67905999999</v>
      </c>
      <c r="N1024" s="372">
        <v>1.044</v>
      </c>
      <c r="O1024" s="703">
        <v>200.1367832259711</v>
      </c>
      <c r="P1024" s="375" t="s">
        <v>623</v>
      </c>
      <c r="Q1024" s="372" t="s">
        <v>623</v>
      </c>
      <c r="R1024" s="695">
        <v>20110426</v>
      </c>
      <c r="S1024" s="372" t="s">
        <v>7200</v>
      </c>
      <c r="T1024" s="696" t="s">
        <v>772</v>
      </c>
      <c r="U1024" s="372" t="s">
        <v>7201</v>
      </c>
      <c r="V1024" s="722">
        <v>0</v>
      </c>
      <c r="W1024" s="722">
        <v>0.17</v>
      </c>
      <c r="X1024" s="722">
        <v>0</v>
      </c>
      <c r="Y1024" s="722">
        <v>0</v>
      </c>
      <c r="Z1024" s="382" t="s">
        <v>934</v>
      </c>
      <c r="AA1024" s="372">
        <v>4293.0269528999997</v>
      </c>
      <c r="AB1024" s="372">
        <v>6939.0328086</v>
      </c>
      <c r="AC1024" s="372">
        <v>6209.8217433999998</v>
      </c>
      <c r="AD1024" s="372">
        <v>4163.1735964999998</v>
      </c>
      <c r="AE1024" s="372">
        <v>0</v>
      </c>
      <c r="AF1024" s="372">
        <v>0</v>
      </c>
      <c r="AG1024" s="372">
        <v>0</v>
      </c>
      <c r="AH1024" s="372">
        <v>0</v>
      </c>
    </row>
    <row r="1025" spans="1:34">
      <c r="A1025" s="372" t="s">
        <v>7202</v>
      </c>
      <c r="B1025" s="373" t="s">
        <v>7203</v>
      </c>
      <c r="C1025" s="372" t="s">
        <v>7204</v>
      </c>
      <c r="D1025" s="374">
        <v>1201110905317</v>
      </c>
      <c r="E1025" s="372" t="s">
        <v>7205</v>
      </c>
      <c r="F1025" s="372" t="s">
        <v>7206</v>
      </c>
      <c r="G1025" s="375" t="s">
        <v>7207</v>
      </c>
      <c r="H1025" s="375" t="s">
        <v>3127</v>
      </c>
      <c r="I1025" s="375" t="s">
        <v>869</v>
      </c>
      <c r="J1025" s="375">
        <v>237778.58752</v>
      </c>
      <c r="K1025" s="375">
        <v>5736.2034299999996</v>
      </c>
      <c r="L1025" s="375">
        <v>-213.01107999999999</v>
      </c>
      <c r="M1025" s="375">
        <v>65478.755530000002</v>
      </c>
      <c r="N1025" s="372">
        <v>0.59599999999999997</v>
      </c>
      <c r="O1025" s="703">
        <v>19.261452846621157</v>
      </c>
      <c r="P1025" s="375" t="s">
        <v>623</v>
      </c>
      <c r="Q1025" s="372" t="s">
        <v>623</v>
      </c>
      <c r="R1025" s="695">
        <v>20220603</v>
      </c>
      <c r="S1025" s="375" t="s">
        <v>7208</v>
      </c>
      <c r="T1025" s="696" t="s">
        <v>772</v>
      </c>
      <c r="U1025" s="372" t="s">
        <v>7209</v>
      </c>
      <c r="V1025" s="722">
        <v>21.42</v>
      </c>
      <c r="W1025" s="722">
        <v>2.39</v>
      </c>
      <c r="X1025" s="722">
        <v>0.65</v>
      </c>
      <c r="Y1025" s="722" t="s">
        <v>774</v>
      </c>
      <c r="Z1025" s="382" t="s">
        <v>934</v>
      </c>
      <c r="AA1025" s="372">
        <v>770.16648999999995</v>
      </c>
      <c r="AB1025" s="372">
        <v>1443.4766761999999</v>
      </c>
      <c r="AC1025" s="372">
        <v>2162.9848004999999</v>
      </c>
      <c r="AD1025" s="372">
        <v>2377.7858752000002</v>
      </c>
      <c r="AE1025" s="372">
        <v>3589</v>
      </c>
      <c r="AF1025" s="372">
        <v>0</v>
      </c>
      <c r="AG1025" s="372">
        <v>0</v>
      </c>
      <c r="AH1025" s="372">
        <v>0</v>
      </c>
    </row>
    <row r="1026" spans="1:34">
      <c r="A1026" s="372" t="s">
        <v>7210</v>
      </c>
      <c r="B1026" s="373" t="s">
        <v>7211</v>
      </c>
      <c r="C1026" s="372" t="s">
        <v>7212</v>
      </c>
      <c r="D1026" s="374">
        <v>1101115723120</v>
      </c>
      <c r="E1026" s="372" t="s">
        <v>7213</v>
      </c>
      <c r="F1026" s="375" t="s">
        <v>1782</v>
      </c>
      <c r="G1026" s="375" t="s">
        <v>1782</v>
      </c>
      <c r="H1026" s="375" t="s">
        <v>868</v>
      </c>
      <c r="I1026" s="375" t="s">
        <v>869</v>
      </c>
      <c r="J1026" s="375">
        <v>47464.098460000001</v>
      </c>
      <c r="K1026" s="375">
        <v>3433.7246599999999</v>
      </c>
      <c r="L1026" s="375">
        <v>900.30962</v>
      </c>
      <c r="M1026" s="375">
        <v>61682.968339999999</v>
      </c>
      <c r="N1026" s="372">
        <v>1.2909999999999999</v>
      </c>
      <c r="O1026" s="703">
        <v>15.558031900111333</v>
      </c>
      <c r="P1026" s="375" t="s">
        <v>623</v>
      </c>
      <c r="Q1026" s="375" t="s">
        <v>623</v>
      </c>
      <c r="R1026" s="695">
        <v>20150727</v>
      </c>
      <c r="S1026" s="375" t="s">
        <v>7214</v>
      </c>
      <c r="T1026" s="696">
        <v>0.20900000000000002</v>
      </c>
      <c r="U1026" s="375" t="s">
        <v>7215</v>
      </c>
      <c r="V1026" s="722">
        <v>0</v>
      </c>
      <c r="W1026" s="722">
        <v>3.08</v>
      </c>
      <c r="X1026" s="722">
        <v>0</v>
      </c>
      <c r="Y1026" s="722">
        <v>0</v>
      </c>
      <c r="Z1026" s="382" t="s">
        <v>934</v>
      </c>
      <c r="AA1026" s="372">
        <v>435.39514709999997</v>
      </c>
      <c r="AB1026" s="372">
        <v>482.9472131</v>
      </c>
      <c r="AC1026" s="372">
        <v>570.25284590000001</v>
      </c>
      <c r="AD1026" s="372">
        <v>474.64098460000002</v>
      </c>
      <c r="AE1026" s="372">
        <v>0</v>
      </c>
      <c r="AF1026" s="372">
        <v>0</v>
      </c>
      <c r="AG1026" s="372">
        <v>0</v>
      </c>
      <c r="AH1026" s="372">
        <v>0</v>
      </c>
    </row>
    <row r="1027" spans="1:34">
      <c r="A1027" s="372" t="s">
        <v>7216</v>
      </c>
      <c r="B1027" s="373" t="s">
        <v>7217</v>
      </c>
      <c r="C1027" s="372" t="s">
        <v>7218</v>
      </c>
      <c r="D1027" s="374">
        <v>1701110002676</v>
      </c>
      <c r="E1027" s="372" t="s">
        <v>7219</v>
      </c>
      <c r="F1027" s="375" t="s">
        <v>2063</v>
      </c>
      <c r="G1027" s="375" t="s">
        <v>7220</v>
      </c>
      <c r="H1027" s="375" t="s">
        <v>3127</v>
      </c>
      <c r="I1027" s="375" t="s">
        <v>869</v>
      </c>
      <c r="J1027" s="375">
        <v>126695.38834999999</v>
      </c>
      <c r="K1027" s="375">
        <v>86.98115</v>
      </c>
      <c r="L1027" s="375">
        <v>1401.14285</v>
      </c>
      <c r="M1027" s="375">
        <v>79095.399269999994</v>
      </c>
      <c r="N1027" s="372">
        <v>0.92</v>
      </c>
      <c r="O1027" s="703">
        <v>4.5657835628254455</v>
      </c>
      <c r="P1027" s="375" t="s">
        <v>623</v>
      </c>
      <c r="Q1027" s="372" t="s">
        <v>623</v>
      </c>
      <c r="R1027" s="695">
        <v>19941130</v>
      </c>
      <c r="S1027" s="372" t="s">
        <v>7221</v>
      </c>
      <c r="T1027" s="696">
        <v>0.20900000000000002</v>
      </c>
      <c r="U1027" s="372" t="s">
        <v>7222</v>
      </c>
      <c r="V1027" s="722">
        <v>0</v>
      </c>
      <c r="W1027" s="722">
        <v>1.5</v>
      </c>
      <c r="X1027" s="722">
        <v>0</v>
      </c>
      <c r="Y1027" s="722">
        <v>0</v>
      </c>
      <c r="Z1027" s="382" t="s">
        <v>934</v>
      </c>
      <c r="AA1027" s="372">
        <v>1148.4373479000001</v>
      </c>
      <c r="AB1027" s="372">
        <v>1322.1373017999999</v>
      </c>
      <c r="AC1027" s="372">
        <v>1467.1769049</v>
      </c>
      <c r="AD1027" s="372">
        <v>1266.9538835000001</v>
      </c>
      <c r="AE1027" s="372">
        <v>0</v>
      </c>
      <c r="AF1027" s="372">
        <v>0</v>
      </c>
      <c r="AG1027" s="372">
        <v>0</v>
      </c>
      <c r="AH1027" s="372">
        <v>0</v>
      </c>
    </row>
    <row r="1028" spans="1:34">
      <c r="A1028" s="372" t="s">
        <v>7223</v>
      </c>
      <c r="B1028" s="373" t="s">
        <v>7224</v>
      </c>
      <c r="C1028" s="372" t="s">
        <v>7225</v>
      </c>
      <c r="D1028" s="374">
        <v>1341110160494</v>
      </c>
      <c r="E1028" s="372" t="s">
        <v>7226</v>
      </c>
      <c r="F1028" s="372" t="s">
        <v>830</v>
      </c>
      <c r="G1028" s="375" t="s">
        <v>1524</v>
      </c>
      <c r="H1028" s="375" t="s">
        <v>1388</v>
      </c>
      <c r="I1028" s="375" t="s">
        <v>869</v>
      </c>
      <c r="J1028" s="375">
        <v>113358.80107</v>
      </c>
      <c r="K1028" s="375">
        <v>-16045.37139</v>
      </c>
      <c r="L1028" s="375">
        <v>-33900.271780000003</v>
      </c>
      <c r="M1028" s="375">
        <v>109750.19017</v>
      </c>
      <c r="N1028" s="372">
        <v>0.79500000000000004</v>
      </c>
      <c r="O1028" s="703">
        <v>91.935275439804713</v>
      </c>
      <c r="P1028" s="375" t="s">
        <v>623</v>
      </c>
      <c r="Q1028" s="372" t="s">
        <v>623</v>
      </c>
      <c r="R1028" s="695">
        <v>20131008</v>
      </c>
      <c r="S1028" s="372" t="s">
        <v>7227</v>
      </c>
      <c r="T1028" s="696" t="s">
        <v>772</v>
      </c>
      <c r="U1028" s="372" t="s">
        <v>7228</v>
      </c>
      <c r="V1028" s="722" t="s">
        <v>774</v>
      </c>
      <c r="W1028" s="722">
        <v>1.59</v>
      </c>
      <c r="X1028" s="722">
        <v>1.21</v>
      </c>
      <c r="Y1028" s="722" t="s">
        <v>774</v>
      </c>
      <c r="Z1028" s="382" t="s">
        <v>934</v>
      </c>
      <c r="AA1028" s="372">
        <v>947.75793269999997</v>
      </c>
      <c r="AB1028" s="372">
        <v>782.85335650000002</v>
      </c>
      <c r="AC1028" s="372">
        <v>2194.2734341</v>
      </c>
      <c r="AD1028" s="372">
        <v>1133.5880107</v>
      </c>
      <c r="AE1028" s="372">
        <v>0</v>
      </c>
      <c r="AF1028" s="372">
        <v>0</v>
      </c>
      <c r="AG1028" s="372">
        <v>0</v>
      </c>
      <c r="AH1028" s="372">
        <v>0</v>
      </c>
    </row>
    <row r="1029" spans="1:34">
      <c r="A1029" s="372" t="s">
        <v>7229</v>
      </c>
      <c r="B1029" s="373" t="s">
        <v>7230</v>
      </c>
      <c r="C1029" s="372" t="s">
        <v>7231</v>
      </c>
      <c r="D1029" s="374">
        <v>1341110000567</v>
      </c>
      <c r="E1029" s="372" t="s">
        <v>7232</v>
      </c>
      <c r="F1029" s="375" t="s">
        <v>1838</v>
      </c>
      <c r="G1029" s="375" t="s">
        <v>1839</v>
      </c>
      <c r="H1029" s="375" t="s">
        <v>754</v>
      </c>
      <c r="I1029" s="375" t="s">
        <v>755</v>
      </c>
      <c r="J1029" s="375">
        <v>1498606.5444100001</v>
      </c>
      <c r="K1029" s="375">
        <v>43720.038990000001</v>
      </c>
      <c r="L1029" s="375">
        <v>28393.053779999998</v>
      </c>
      <c r="M1029" s="375">
        <v>331011.44300000003</v>
      </c>
      <c r="N1029" s="372">
        <v>0.88500000000000001</v>
      </c>
      <c r="O1029" s="703">
        <v>53.233703508822629</v>
      </c>
      <c r="P1029" s="375" t="s">
        <v>623</v>
      </c>
      <c r="Q1029" s="372" t="s">
        <v>623</v>
      </c>
      <c r="R1029" s="695">
        <v>19870608</v>
      </c>
      <c r="S1029" s="372" t="s">
        <v>7233</v>
      </c>
      <c r="T1029" s="696">
        <v>0.23100000000000001</v>
      </c>
      <c r="U1029" s="372" t="s">
        <v>7234</v>
      </c>
      <c r="V1029" s="722">
        <v>4.13</v>
      </c>
      <c r="W1029" s="722">
        <v>0.47</v>
      </c>
      <c r="X1029" s="722">
        <v>0.1</v>
      </c>
      <c r="Y1029" s="722">
        <v>7.97</v>
      </c>
      <c r="Z1029" s="382" t="s">
        <v>934</v>
      </c>
      <c r="AA1029" s="372">
        <v>8574.1524905999995</v>
      </c>
      <c r="AB1029" s="372">
        <v>10703.832047899999</v>
      </c>
      <c r="AC1029" s="372">
        <v>14164.5440433</v>
      </c>
      <c r="AD1029" s="372">
        <v>14986.065444100001</v>
      </c>
      <c r="AE1029" s="372">
        <v>17220</v>
      </c>
      <c r="AF1029" s="372">
        <v>0</v>
      </c>
      <c r="AG1029" s="372">
        <v>0</v>
      </c>
      <c r="AH1029" s="372">
        <v>0</v>
      </c>
    </row>
    <row r="1030" spans="1:34">
      <c r="A1030" s="372" t="s">
        <v>7235</v>
      </c>
      <c r="B1030" s="373" t="s">
        <v>7236</v>
      </c>
      <c r="C1030" s="372" t="s">
        <v>7237</v>
      </c>
      <c r="D1030" s="374">
        <v>1101110339956</v>
      </c>
      <c r="E1030" s="372" t="s">
        <v>7238</v>
      </c>
      <c r="F1030" s="375" t="s">
        <v>1272</v>
      </c>
      <c r="G1030" s="375" t="s">
        <v>1273</v>
      </c>
      <c r="H1030" s="375" t="s">
        <v>1274</v>
      </c>
      <c r="I1030" s="375" t="s">
        <v>755</v>
      </c>
      <c r="J1030" s="375">
        <v>266062.36355000001</v>
      </c>
      <c r="K1030" s="375">
        <v>21296.499820000001</v>
      </c>
      <c r="L1030" s="375">
        <v>15740.69644</v>
      </c>
      <c r="M1030" s="375">
        <v>1173885.26462</v>
      </c>
      <c r="N1030" s="372">
        <v>0.88800000000000001</v>
      </c>
      <c r="O1030" s="703">
        <v>2255.3166822970225</v>
      </c>
      <c r="P1030" s="375" t="s">
        <v>623</v>
      </c>
      <c r="Q1030" s="375" t="s">
        <v>623</v>
      </c>
      <c r="R1030" s="695">
        <v>19880627</v>
      </c>
      <c r="S1030" s="372" t="s">
        <v>7239</v>
      </c>
      <c r="T1030" s="696">
        <v>0.20900000000000002</v>
      </c>
      <c r="U1030" s="372" t="s">
        <v>7240</v>
      </c>
      <c r="V1030" s="722">
        <v>0</v>
      </c>
      <c r="W1030" s="722">
        <v>0.16</v>
      </c>
      <c r="X1030" s="722">
        <v>0.14000000000000001</v>
      </c>
      <c r="Y1030" s="722">
        <v>26.48</v>
      </c>
      <c r="Z1030" s="382" t="s">
        <v>934</v>
      </c>
      <c r="AA1030" s="372">
        <v>3808.4151486000001</v>
      </c>
      <c r="AB1030" s="372">
        <v>4274.8987520999999</v>
      </c>
      <c r="AC1030" s="372">
        <v>2505.2453356000001</v>
      </c>
      <c r="AD1030" s="372">
        <v>2660.6236355000001</v>
      </c>
      <c r="AE1030" s="372">
        <v>0</v>
      </c>
      <c r="AF1030" s="372">
        <v>0</v>
      </c>
      <c r="AG1030" s="372">
        <v>0</v>
      </c>
      <c r="AH1030" s="372">
        <v>0</v>
      </c>
    </row>
    <row r="1031" spans="1:34">
      <c r="A1031" s="372" t="s">
        <v>7241</v>
      </c>
      <c r="B1031" s="373" t="s">
        <v>7242</v>
      </c>
      <c r="C1031" s="372" t="s">
        <v>7243</v>
      </c>
      <c r="D1031" s="374">
        <v>1101110113384</v>
      </c>
      <c r="E1031" s="372" t="s">
        <v>7244</v>
      </c>
      <c r="F1031" s="375" t="s">
        <v>2193</v>
      </c>
      <c r="G1031" s="375" t="s">
        <v>2194</v>
      </c>
      <c r="H1031" s="375" t="s">
        <v>1481</v>
      </c>
      <c r="I1031" s="375" t="s">
        <v>755</v>
      </c>
      <c r="J1031" s="375">
        <v>620719.68469000002</v>
      </c>
      <c r="K1031" s="375">
        <v>44748.806750000003</v>
      </c>
      <c r="L1031" s="375">
        <v>44272.686900000001</v>
      </c>
      <c r="M1031" s="375">
        <v>331255.79728</v>
      </c>
      <c r="N1031" s="372">
        <v>1.1000000000000001</v>
      </c>
      <c r="O1031" s="703">
        <v>133.36741150691768</v>
      </c>
      <c r="P1031" s="375" t="s">
        <v>623</v>
      </c>
      <c r="Q1031" s="375" t="s">
        <v>623</v>
      </c>
      <c r="R1031" s="695">
        <v>19720104</v>
      </c>
      <c r="S1031" s="375" t="s">
        <v>7245</v>
      </c>
      <c r="T1031" s="696">
        <v>0.23100000000000001</v>
      </c>
      <c r="U1031" s="372" t="s">
        <v>7246</v>
      </c>
      <c r="V1031" s="722">
        <v>5.18</v>
      </c>
      <c r="W1031" s="722">
        <v>0.61</v>
      </c>
      <c r="X1031" s="722">
        <v>0.28999999999999998</v>
      </c>
      <c r="Y1031" s="722">
        <v>5.41</v>
      </c>
      <c r="Z1031" s="382" t="s">
        <v>934</v>
      </c>
      <c r="AA1031" s="372">
        <v>4395.2794211</v>
      </c>
      <c r="AB1031" s="372">
        <v>4714.2901755000003</v>
      </c>
      <c r="AC1031" s="372">
        <v>5198.8600284000004</v>
      </c>
      <c r="AD1031" s="372">
        <v>6207.1968469000003</v>
      </c>
      <c r="AE1031" s="372">
        <v>6644</v>
      </c>
      <c r="AF1031" s="372">
        <v>0</v>
      </c>
      <c r="AG1031" s="372">
        <v>0</v>
      </c>
      <c r="AH1031" s="372">
        <v>0</v>
      </c>
    </row>
    <row r="1032" spans="1:34">
      <c r="A1032" s="372" t="s">
        <v>7247</v>
      </c>
      <c r="B1032" s="373" t="s">
        <v>7248</v>
      </c>
      <c r="C1032" s="372" t="s">
        <v>7249</v>
      </c>
      <c r="D1032" s="374">
        <v>0</v>
      </c>
      <c r="E1032" s="372" t="s">
        <v>7250</v>
      </c>
      <c r="F1032" s="375" t="s">
        <v>7251</v>
      </c>
      <c r="G1032" s="375" t="s">
        <v>7251</v>
      </c>
      <c r="H1032" s="375">
        <v>0</v>
      </c>
      <c r="I1032" s="375" t="s">
        <v>869</v>
      </c>
      <c r="J1032" s="375">
        <v>0</v>
      </c>
      <c r="K1032" s="375">
        <v>-55617.962</v>
      </c>
      <c r="L1032" s="375">
        <v>-53303.211000000003</v>
      </c>
      <c r="M1032" s="375">
        <v>74856.372000000003</v>
      </c>
      <c r="N1032" s="372">
        <v>1.4970000000000001</v>
      </c>
      <c r="O1032" s="703">
        <v>2.1599363521052051</v>
      </c>
      <c r="P1032" s="375" t="s">
        <v>623</v>
      </c>
      <c r="Q1032" s="372" t="s">
        <v>623</v>
      </c>
      <c r="R1032" s="695">
        <v>20210316</v>
      </c>
      <c r="S1032" s="372" t="s">
        <v>7252</v>
      </c>
      <c r="T1032" s="696" t="s">
        <v>772</v>
      </c>
      <c r="U1032" s="375" t="s">
        <v>7253</v>
      </c>
      <c r="V1032" s="722" t="s">
        <v>774</v>
      </c>
      <c r="W1032" s="722">
        <v>2.67</v>
      </c>
      <c r="X1032" s="722">
        <v>0</v>
      </c>
      <c r="Y1032" s="722" t="s">
        <v>774</v>
      </c>
      <c r="Z1032" s="382" t="s">
        <v>774</v>
      </c>
      <c r="AA1032" s="372">
        <v>0</v>
      </c>
      <c r="AB1032" s="372">
        <v>0</v>
      </c>
      <c r="AC1032" s="372">
        <v>0</v>
      </c>
      <c r="AD1032" s="372">
        <v>0</v>
      </c>
      <c r="AE1032" s="372">
        <v>0</v>
      </c>
      <c r="AF1032" s="372">
        <v>0</v>
      </c>
      <c r="AG1032" s="372">
        <v>0</v>
      </c>
      <c r="AH1032" s="372">
        <v>0</v>
      </c>
    </row>
    <row r="1033" spans="1:34">
      <c r="A1033" s="372" t="s">
        <v>7254</v>
      </c>
      <c r="B1033" s="373" t="s">
        <v>7255</v>
      </c>
      <c r="C1033" s="372" t="s">
        <v>7256</v>
      </c>
      <c r="D1033" s="374">
        <v>1942110310912</v>
      </c>
      <c r="E1033" s="372" t="s">
        <v>7257</v>
      </c>
      <c r="F1033" s="375" t="s">
        <v>2098</v>
      </c>
      <c r="G1033" s="375" t="s">
        <v>2099</v>
      </c>
      <c r="H1033" s="375" t="s">
        <v>868</v>
      </c>
      <c r="I1033" s="375" t="s">
        <v>869</v>
      </c>
      <c r="J1033" s="375">
        <v>0</v>
      </c>
      <c r="K1033" s="375">
        <v>0</v>
      </c>
      <c r="L1033" s="375">
        <v>0</v>
      </c>
      <c r="M1033" s="375">
        <v>105896.61749999999</v>
      </c>
      <c r="N1033" s="372">
        <v>1.242</v>
      </c>
      <c r="O1033" s="703">
        <v>5.8569311430141964</v>
      </c>
      <c r="P1033" s="375" t="s">
        <v>623</v>
      </c>
      <c r="Q1033" s="372" t="s">
        <v>623</v>
      </c>
      <c r="R1033" s="695">
        <v>20220617</v>
      </c>
      <c r="S1033" s="372" t="s">
        <v>7258</v>
      </c>
      <c r="T1033" s="696" t="s">
        <v>772</v>
      </c>
      <c r="U1033" s="372" t="s">
        <v>7259</v>
      </c>
      <c r="V1033" s="722">
        <v>0</v>
      </c>
      <c r="W1033" s="722">
        <v>1.62</v>
      </c>
      <c r="X1033" s="722">
        <v>0</v>
      </c>
      <c r="Y1033" s="722">
        <v>0</v>
      </c>
      <c r="Z1033" s="382">
        <v>0.2293553706607534</v>
      </c>
      <c r="AA1033" s="372">
        <v>319.0020806</v>
      </c>
      <c r="AB1033" s="372">
        <v>460.7481348</v>
      </c>
      <c r="AC1033" s="372">
        <v>506.612255</v>
      </c>
      <c r="AD1033" s="372">
        <v>305.15676810000002</v>
      </c>
      <c r="AE1033" s="372">
        <v>409</v>
      </c>
      <c r="AF1033" s="372">
        <v>563</v>
      </c>
      <c r="AG1033" s="372">
        <v>697</v>
      </c>
      <c r="AH1033" s="372">
        <v>0</v>
      </c>
    </row>
    <row r="1034" spans="1:34">
      <c r="A1034" s="372" t="s">
        <v>7260</v>
      </c>
      <c r="B1034" s="373" t="s">
        <v>7261</v>
      </c>
      <c r="C1034" s="372" t="s">
        <v>7262</v>
      </c>
      <c r="D1034" s="374">
        <v>1101116652790</v>
      </c>
      <c r="E1034" s="372" t="s">
        <v>7263</v>
      </c>
      <c r="F1034" s="375" t="s">
        <v>5954</v>
      </c>
      <c r="G1034" s="375" t="s">
        <v>5954</v>
      </c>
      <c r="H1034" s="375" t="s">
        <v>1348</v>
      </c>
      <c r="I1034" s="375" t="s">
        <v>869</v>
      </c>
      <c r="J1034" s="375">
        <v>35334.979950000001</v>
      </c>
      <c r="K1034" s="375">
        <v>-3695.82998</v>
      </c>
      <c r="L1034" s="375">
        <v>-4285.6290099999997</v>
      </c>
      <c r="M1034" s="375">
        <v>33537.609700000001</v>
      </c>
      <c r="N1034" s="372">
        <v>1.1579999999999999</v>
      </c>
      <c r="O1034" s="703">
        <v>13.516531127619894</v>
      </c>
      <c r="P1034" s="375" t="s">
        <v>623</v>
      </c>
      <c r="Q1034" s="375" t="s">
        <v>623</v>
      </c>
      <c r="R1034" s="695">
        <v>20180913</v>
      </c>
      <c r="S1034" s="375" t="s">
        <v>7264</v>
      </c>
      <c r="T1034" s="696" t="s">
        <v>772</v>
      </c>
      <c r="U1034" s="372" t="s">
        <v>7265</v>
      </c>
      <c r="V1034" s="722" t="s">
        <v>774</v>
      </c>
      <c r="W1034" s="722">
        <v>4.71</v>
      </c>
      <c r="X1034" s="722">
        <v>3.97</v>
      </c>
      <c r="Y1034" s="722" t="s">
        <v>774</v>
      </c>
      <c r="Z1034" s="382" t="s">
        <v>934</v>
      </c>
      <c r="AA1034" s="372">
        <v>226.07630380000001</v>
      </c>
      <c r="AB1034" s="372">
        <v>248.71771369999999</v>
      </c>
      <c r="AC1034" s="372">
        <v>398.44510659999997</v>
      </c>
      <c r="AD1034" s="372">
        <v>353.34979950000002</v>
      </c>
      <c r="AE1034" s="372">
        <v>500</v>
      </c>
      <c r="AF1034" s="372">
        <v>0</v>
      </c>
      <c r="AG1034" s="372">
        <v>0</v>
      </c>
      <c r="AH1034" s="372">
        <v>0</v>
      </c>
    </row>
    <row r="1035" spans="1:34">
      <c r="A1035" s="372" t="s">
        <v>7266</v>
      </c>
      <c r="B1035" s="373" t="s">
        <v>7267</v>
      </c>
      <c r="C1035" s="372" t="s">
        <v>7268</v>
      </c>
      <c r="D1035" s="374">
        <v>1201110018300</v>
      </c>
      <c r="E1035" s="372" t="s">
        <v>7269</v>
      </c>
      <c r="F1035" s="375" t="s">
        <v>5680</v>
      </c>
      <c r="G1035" s="375" t="s">
        <v>5680</v>
      </c>
      <c r="H1035" s="375" t="s">
        <v>754</v>
      </c>
      <c r="I1035" s="375" t="s">
        <v>755</v>
      </c>
      <c r="J1035" s="375">
        <v>333655.57799999998</v>
      </c>
      <c r="K1035" s="375">
        <v>9371.6830000000009</v>
      </c>
      <c r="L1035" s="375">
        <v>8947.5400000000009</v>
      </c>
      <c r="M1035" s="375">
        <v>106563.024</v>
      </c>
      <c r="N1035" s="372">
        <v>1.0209999999999999</v>
      </c>
      <c r="O1035" s="703">
        <v>29.072842260122211</v>
      </c>
      <c r="P1035" s="375" t="s">
        <v>623</v>
      </c>
      <c r="Q1035" s="375" t="s">
        <v>623</v>
      </c>
      <c r="R1035" s="695">
        <v>19840811</v>
      </c>
      <c r="S1035" s="375" t="s">
        <v>7270</v>
      </c>
      <c r="T1035" s="696">
        <v>0.20900000000000002</v>
      </c>
      <c r="U1035" s="372" t="s">
        <v>7271</v>
      </c>
      <c r="V1035" s="722">
        <v>12.46</v>
      </c>
      <c r="W1035" s="722">
        <v>1.58</v>
      </c>
      <c r="X1035" s="722">
        <v>0.5</v>
      </c>
      <c r="Y1035" s="722">
        <v>23.82</v>
      </c>
      <c r="Z1035" s="382" t="s">
        <v>934</v>
      </c>
      <c r="AA1035" s="372">
        <v>2647.47352</v>
      </c>
      <c r="AB1035" s="372">
        <v>3598.4836799999998</v>
      </c>
      <c r="AC1035" s="372">
        <v>4803.8746899999996</v>
      </c>
      <c r="AD1035" s="372">
        <v>3336.5557800000001</v>
      </c>
      <c r="AE1035" s="372">
        <v>0</v>
      </c>
      <c r="AF1035" s="372">
        <v>0</v>
      </c>
      <c r="AG1035" s="372">
        <v>0</v>
      </c>
      <c r="AH1035" s="372">
        <v>0</v>
      </c>
    </row>
    <row r="1036" spans="1:34">
      <c r="A1036" s="372" t="s">
        <v>7272</v>
      </c>
      <c r="B1036" s="373" t="s">
        <v>7273</v>
      </c>
      <c r="C1036" s="372" t="s">
        <v>7274</v>
      </c>
      <c r="D1036" s="374">
        <v>1243110011322</v>
      </c>
      <c r="E1036" s="372" t="s">
        <v>7275</v>
      </c>
      <c r="F1036" s="375" t="s">
        <v>7276</v>
      </c>
      <c r="G1036" s="375" t="s">
        <v>7276</v>
      </c>
      <c r="H1036" s="375" t="s">
        <v>868</v>
      </c>
      <c r="I1036" s="375" t="s">
        <v>869</v>
      </c>
      <c r="J1036" s="375">
        <v>555628.85346000001</v>
      </c>
      <c r="K1036" s="375">
        <v>67368.809280000001</v>
      </c>
      <c r="L1036" s="375">
        <v>75706.053450000007</v>
      </c>
      <c r="M1036" s="375">
        <v>609419.89578999998</v>
      </c>
      <c r="N1036" s="372">
        <v>0.84399999999999997</v>
      </c>
      <c r="O1036" s="703">
        <v>39.568133216449617</v>
      </c>
      <c r="P1036" s="375" t="s">
        <v>623</v>
      </c>
      <c r="Q1036" s="375" t="s">
        <v>623</v>
      </c>
      <c r="R1036" s="695">
        <v>19941019</v>
      </c>
      <c r="S1036" s="375" t="s">
        <v>7277</v>
      </c>
      <c r="T1036" s="696">
        <v>0.23100000000000001</v>
      </c>
      <c r="U1036" s="372" t="s">
        <v>7278</v>
      </c>
      <c r="V1036" s="722">
        <v>2.35</v>
      </c>
      <c r="W1036" s="722">
        <v>0.28000000000000003</v>
      </c>
      <c r="X1036" s="722">
        <v>0.27</v>
      </c>
      <c r="Y1036" s="722">
        <v>2.85</v>
      </c>
      <c r="Z1036" s="382" t="s">
        <v>934</v>
      </c>
      <c r="AA1036" s="372">
        <v>4034.4553385999998</v>
      </c>
      <c r="AB1036" s="372">
        <v>5340.2210424000004</v>
      </c>
      <c r="AC1036" s="372">
        <v>5820.1093941999998</v>
      </c>
      <c r="AD1036" s="372">
        <v>5556.2885346000003</v>
      </c>
      <c r="AE1036" s="372">
        <v>0</v>
      </c>
      <c r="AF1036" s="372">
        <v>0</v>
      </c>
      <c r="AG1036" s="372">
        <v>0</v>
      </c>
      <c r="AH1036" s="372">
        <v>0</v>
      </c>
    </row>
    <row r="1037" spans="1:34">
      <c r="A1037" s="372" t="s">
        <v>7279</v>
      </c>
      <c r="B1037" s="373" t="s">
        <v>7280</v>
      </c>
      <c r="C1037" s="372" t="s">
        <v>7281</v>
      </c>
      <c r="D1037" s="374">
        <v>1101110924765</v>
      </c>
      <c r="E1037" s="372" t="s">
        <v>7282</v>
      </c>
      <c r="F1037" s="372" t="s">
        <v>6673</v>
      </c>
      <c r="G1037" s="375" t="s">
        <v>6673</v>
      </c>
      <c r="H1037" s="375" t="s">
        <v>1388</v>
      </c>
      <c r="I1037" s="375" t="s">
        <v>869</v>
      </c>
      <c r="J1037" s="375">
        <v>92292.591369999995</v>
      </c>
      <c r="K1037" s="375">
        <v>-1251.9083700000001</v>
      </c>
      <c r="L1037" s="375">
        <v>-98763.82789</v>
      </c>
      <c r="M1037" s="375">
        <v>301425.71853000001</v>
      </c>
      <c r="N1037" s="372">
        <v>0.81699999999999995</v>
      </c>
      <c r="O1037" s="703">
        <v>37.003622455456536</v>
      </c>
      <c r="P1037" s="375" t="s">
        <v>623</v>
      </c>
      <c r="Q1037" s="372" t="s">
        <v>623</v>
      </c>
      <c r="R1037" s="695">
        <v>20000620</v>
      </c>
      <c r="S1037" s="372" t="s">
        <v>7283</v>
      </c>
      <c r="T1037" s="696" t="s">
        <v>772</v>
      </c>
      <c r="U1037" s="372" t="s">
        <v>7284</v>
      </c>
      <c r="V1037" s="722">
        <v>48.62</v>
      </c>
      <c r="W1037" s="722">
        <v>0.49</v>
      </c>
      <c r="X1037" s="722">
        <v>1.59</v>
      </c>
      <c r="Y1037" s="722" t="s">
        <v>774</v>
      </c>
      <c r="Z1037" s="382" t="s">
        <v>934</v>
      </c>
      <c r="AA1037" s="372">
        <v>4049.8403131999999</v>
      </c>
      <c r="AB1037" s="372">
        <v>737.82946400000003</v>
      </c>
      <c r="AC1037" s="372">
        <v>807.14212759999998</v>
      </c>
      <c r="AD1037" s="372">
        <v>922.92591370000002</v>
      </c>
      <c r="AE1037" s="372">
        <v>0</v>
      </c>
      <c r="AF1037" s="372">
        <v>0</v>
      </c>
      <c r="AG1037" s="372">
        <v>0</v>
      </c>
      <c r="AH1037" s="372">
        <v>0</v>
      </c>
    </row>
    <row r="1038" spans="1:34">
      <c r="A1038" s="372" t="s">
        <v>7285</v>
      </c>
      <c r="B1038" s="373" t="s">
        <v>7286</v>
      </c>
      <c r="C1038" s="372" t="s">
        <v>7287</v>
      </c>
      <c r="D1038" s="374">
        <v>1101110014433</v>
      </c>
      <c r="E1038" s="372" t="s">
        <v>7288</v>
      </c>
      <c r="F1038" s="375" t="s">
        <v>1700</v>
      </c>
      <c r="G1038" s="375" t="s">
        <v>1701</v>
      </c>
      <c r="H1038" s="375" t="s">
        <v>832</v>
      </c>
      <c r="I1038" s="375" t="s">
        <v>755</v>
      </c>
      <c r="J1038" s="375">
        <v>631381.87577000004</v>
      </c>
      <c r="K1038" s="375">
        <v>25826.733520000002</v>
      </c>
      <c r="L1038" s="375">
        <v>19134.39343</v>
      </c>
      <c r="M1038" s="375">
        <v>309053.61134</v>
      </c>
      <c r="N1038" s="372">
        <v>1.222</v>
      </c>
      <c r="O1038" s="703">
        <v>79.822943811613868</v>
      </c>
      <c r="P1038" s="375" t="s">
        <v>623</v>
      </c>
      <c r="Q1038" s="375" t="s">
        <v>623</v>
      </c>
      <c r="R1038" s="695">
        <v>19930910</v>
      </c>
      <c r="S1038" s="375" t="s">
        <v>7289</v>
      </c>
      <c r="T1038" s="696">
        <v>0.20900000000000002</v>
      </c>
      <c r="U1038" s="372" t="s">
        <v>7290</v>
      </c>
      <c r="V1038" s="722">
        <v>6.5</v>
      </c>
      <c r="W1038" s="722">
        <v>0.53</v>
      </c>
      <c r="X1038" s="722">
        <v>0.28999999999999998</v>
      </c>
      <c r="Y1038" s="722">
        <v>11.18</v>
      </c>
      <c r="Z1038" s="382" t="s">
        <v>934</v>
      </c>
      <c r="AA1038" s="372">
        <v>5517.1883266000004</v>
      </c>
      <c r="AB1038" s="372">
        <v>6316.0590069</v>
      </c>
      <c r="AC1038" s="372">
        <v>6460.3953165000003</v>
      </c>
      <c r="AD1038" s="372">
        <v>6313.8187576999999</v>
      </c>
      <c r="AE1038" s="372">
        <v>0</v>
      </c>
      <c r="AF1038" s="372">
        <v>0</v>
      </c>
      <c r="AG1038" s="372">
        <v>0</v>
      </c>
      <c r="AH1038" s="372">
        <v>0</v>
      </c>
    </row>
    <row r="1039" spans="1:34">
      <c r="A1039" s="372" t="s">
        <v>7291</v>
      </c>
      <c r="B1039" s="373" t="s">
        <v>7292</v>
      </c>
      <c r="C1039" s="372" t="s">
        <v>7293</v>
      </c>
      <c r="D1039" s="374">
        <v>1101110018592</v>
      </c>
      <c r="E1039" s="372" t="s">
        <v>7294</v>
      </c>
      <c r="F1039" s="372" t="s">
        <v>1069</v>
      </c>
      <c r="G1039" s="375" t="s">
        <v>1069</v>
      </c>
      <c r="H1039" s="375" t="s">
        <v>998</v>
      </c>
      <c r="I1039" s="375" t="s">
        <v>755</v>
      </c>
      <c r="J1039" s="375">
        <v>99811.312699999995</v>
      </c>
      <c r="K1039" s="375">
        <v>446.80403999999999</v>
      </c>
      <c r="L1039" s="375">
        <v>-29437.171620000001</v>
      </c>
      <c r="M1039" s="375">
        <v>38350.40928</v>
      </c>
      <c r="N1039" s="372">
        <v>0.92900000000000005</v>
      </c>
      <c r="O1039" s="703">
        <v>12.213959701350511</v>
      </c>
      <c r="P1039" s="375" t="s">
        <v>623</v>
      </c>
      <c r="Q1039" s="375" t="s">
        <v>623</v>
      </c>
      <c r="R1039" s="695">
        <v>19850117</v>
      </c>
      <c r="S1039" s="375" t="s">
        <v>7295</v>
      </c>
      <c r="T1039" s="696" t="s">
        <v>772</v>
      </c>
      <c r="U1039" s="375" t="s">
        <v>7296</v>
      </c>
      <c r="V1039" s="722">
        <v>72.849999999999994</v>
      </c>
      <c r="W1039" s="722">
        <v>3.5</v>
      </c>
      <c r="X1039" s="722">
        <v>1.42</v>
      </c>
      <c r="Y1039" s="722" t="s">
        <v>774</v>
      </c>
      <c r="Z1039" s="382" t="s">
        <v>934</v>
      </c>
      <c r="AA1039" s="372">
        <v>578.17812930000002</v>
      </c>
      <c r="AB1039" s="372">
        <v>716.65525209999998</v>
      </c>
      <c r="AC1039" s="372">
        <v>766.78321789999995</v>
      </c>
      <c r="AD1039" s="372">
        <v>998.11312699999996</v>
      </c>
      <c r="AE1039" s="372">
        <v>0</v>
      </c>
      <c r="AF1039" s="372">
        <v>0</v>
      </c>
      <c r="AG1039" s="372">
        <v>0</v>
      </c>
      <c r="AH1039" s="372">
        <v>0</v>
      </c>
    </row>
    <row r="1040" spans="1:34">
      <c r="A1040" s="372" t="s">
        <v>7297</v>
      </c>
      <c r="B1040" s="373" t="s">
        <v>7298</v>
      </c>
      <c r="C1040" s="372" t="s">
        <v>7299</v>
      </c>
      <c r="D1040" s="374">
        <v>1101110746474</v>
      </c>
      <c r="E1040" s="372" t="s">
        <v>7300</v>
      </c>
      <c r="F1040" s="372" t="s">
        <v>1285</v>
      </c>
      <c r="G1040" s="375" t="s">
        <v>1285</v>
      </c>
      <c r="H1040" s="375" t="s">
        <v>868</v>
      </c>
      <c r="I1040" s="375" t="s">
        <v>869</v>
      </c>
      <c r="J1040" s="375">
        <v>0</v>
      </c>
      <c r="K1040" s="375">
        <v>0</v>
      </c>
      <c r="L1040" s="375">
        <v>0</v>
      </c>
      <c r="M1040" s="375">
        <v>0</v>
      </c>
      <c r="N1040" s="372">
        <v>0.90100000000000002</v>
      </c>
      <c r="O1040" s="703">
        <v>0</v>
      </c>
      <c r="P1040" s="375" t="s">
        <v>623</v>
      </c>
      <c r="Q1040" s="375" t="s">
        <v>623</v>
      </c>
      <c r="R1040" s="695">
        <v>20020419</v>
      </c>
      <c r="S1040" s="375" t="s">
        <v>7301</v>
      </c>
      <c r="T1040" s="696" t="s">
        <v>772</v>
      </c>
      <c r="U1040" s="372" t="s">
        <v>7302</v>
      </c>
      <c r="V1040" s="722">
        <v>0</v>
      </c>
      <c r="W1040" s="722">
        <v>0</v>
      </c>
      <c r="X1040" s="722">
        <v>0</v>
      </c>
      <c r="Y1040" s="722">
        <v>0</v>
      </c>
      <c r="Z1040" s="382" t="s">
        <v>774</v>
      </c>
      <c r="AA1040" s="372">
        <v>234.7790838</v>
      </c>
      <c r="AB1040" s="372">
        <v>271.10628409999998</v>
      </c>
      <c r="AC1040" s="372">
        <v>418.57755020000002</v>
      </c>
      <c r="AD1040" s="372">
        <v>0</v>
      </c>
      <c r="AE1040" s="372">
        <v>0</v>
      </c>
      <c r="AF1040" s="372">
        <v>0</v>
      </c>
      <c r="AG1040" s="372">
        <v>0</v>
      </c>
      <c r="AH1040" s="372">
        <v>0</v>
      </c>
    </row>
    <row r="1041" spans="1:34">
      <c r="A1041" s="372" t="s">
        <v>7303</v>
      </c>
      <c r="B1041" s="373" t="s">
        <v>7304</v>
      </c>
      <c r="C1041" s="372" t="s">
        <v>7305</v>
      </c>
      <c r="D1041" s="374">
        <v>1101114460046</v>
      </c>
      <c r="E1041" s="372" t="s">
        <v>7306</v>
      </c>
      <c r="F1041" s="375" t="s">
        <v>2055</v>
      </c>
      <c r="G1041" s="375" t="s">
        <v>7307</v>
      </c>
      <c r="H1041" s="375" t="s">
        <v>1950</v>
      </c>
      <c r="I1041" s="375" t="s">
        <v>869</v>
      </c>
      <c r="J1041" s="375">
        <v>23161.814200000001</v>
      </c>
      <c r="K1041" s="375">
        <v>861.04665999999997</v>
      </c>
      <c r="L1041" s="375">
        <v>1700.5136299999999</v>
      </c>
      <c r="M1041" s="375">
        <v>36852.474549999999</v>
      </c>
      <c r="N1041" s="372" t="s">
        <v>1033</v>
      </c>
      <c r="O1041" s="703">
        <v>0.33323671041167097</v>
      </c>
      <c r="P1041" s="375" t="s">
        <v>623</v>
      </c>
      <c r="Q1041" s="372" t="s">
        <v>623</v>
      </c>
      <c r="R1041" s="695">
        <v>20230207</v>
      </c>
      <c r="S1041" s="375" t="s">
        <v>7308</v>
      </c>
      <c r="T1041" s="696">
        <v>0.20900000000000002</v>
      </c>
      <c r="U1041" s="375" t="s">
        <v>7309</v>
      </c>
      <c r="V1041" s="722">
        <v>88.61</v>
      </c>
      <c r="W1041" s="722">
        <v>3.91</v>
      </c>
      <c r="X1041" s="722">
        <v>6.59</v>
      </c>
      <c r="Y1041" s="722">
        <v>60.94</v>
      </c>
      <c r="Z1041" s="382" t="s">
        <v>934</v>
      </c>
      <c r="AA1041" s="372">
        <v>170.1529261</v>
      </c>
      <c r="AB1041" s="372">
        <v>143.89618820000001</v>
      </c>
      <c r="AC1041" s="372">
        <v>257.81360549999999</v>
      </c>
      <c r="AD1041" s="372">
        <v>231.61814200000001</v>
      </c>
      <c r="AE1041" s="372">
        <v>258</v>
      </c>
      <c r="AF1041" s="372">
        <v>304</v>
      </c>
      <c r="AG1041" s="372">
        <v>0</v>
      </c>
      <c r="AH1041" s="372">
        <v>0</v>
      </c>
    </row>
    <row r="1042" spans="1:34">
      <c r="A1042" s="372" t="s">
        <v>7310</v>
      </c>
      <c r="B1042" s="373" t="s">
        <v>7311</v>
      </c>
      <c r="C1042" s="372" t="s">
        <v>7312</v>
      </c>
      <c r="D1042" s="374">
        <v>1101110115885</v>
      </c>
      <c r="E1042" s="372" t="s">
        <v>7313</v>
      </c>
      <c r="F1042" s="375" t="s">
        <v>1897</v>
      </c>
      <c r="G1042" s="375" t="s">
        <v>1897</v>
      </c>
      <c r="H1042" s="375" t="s">
        <v>4894</v>
      </c>
      <c r="I1042" s="375" t="s">
        <v>869</v>
      </c>
      <c r="J1042" s="375">
        <v>232863.67429</v>
      </c>
      <c r="K1042" s="375">
        <v>2490.7094000000002</v>
      </c>
      <c r="L1042" s="375">
        <v>-2703.5927499999998</v>
      </c>
      <c r="M1042" s="375">
        <v>103614.33256</v>
      </c>
      <c r="N1042" s="372">
        <v>1.0509999999999999</v>
      </c>
      <c r="O1042" s="703">
        <v>18.885943844581778</v>
      </c>
      <c r="P1042" s="375" t="s">
        <v>623</v>
      </c>
      <c r="Q1042" s="372" t="s">
        <v>623</v>
      </c>
      <c r="R1042" s="695">
        <v>19970806</v>
      </c>
      <c r="S1042" s="372" t="s">
        <v>7314</v>
      </c>
      <c r="T1042" s="696" t="s">
        <v>772</v>
      </c>
      <c r="U1042" s="372" t="s">
        <v>7315</v>
      </c>
      <c r="V1042" s="722">
        <v>12.31</v>
      </c>
      <c r="W1042" s="722">
        <v>1.34</v>
      </c>
      <c r="X1042" s="722">
        <v>0.59</v>
      </c>
      <c r="Y1042" s="722" t="s">
        <v>774</v>
      </c>
      <c r="Z1042" s="382" t="s">
        <v>934</v>
      </c>
      <c r="AA1042" s="372">
        <v>1988.5895984000001</v>
      </c>
      <c r="AB1042" s="372">
        <v>2320.1036021999998</v>
      </c>
      <c r="AC1042" s="372">
        <v>2029.5803383</v>
      </c>
      <c r="AD1042" s="372">
        <v>2328.6367429000002</v>
      </c>
      <c r="AE1042" s="372">
        <v>0</v>
      </c>
      <c r="AF1042" s="372">
        <v>0</v>
      </c>
      <c r="AG1042" s="372">
        <v>0</v>
      </c>
      <c r="AH1042" s="372">
        <v>0</v>
      </c>
    </row>
    <row r="1043" spans="1:34">
      <c r="A1043" s="372" t="s">
        <v>7316</v>
      </c>
      <c r="B1043" s="373" t="s">
        <v>7317</v>
      </c>
      <c r="C1043" s="372" t="s">
        <v>7318</v>
      </c>
      <c r="D1043" s="374">
        <v>1101114495598</v>
      </c>
      <c r="E1043" s="372" t="s">
        <v>7319</v>
      </c>
      <c r="F1043" s="375" t="s">
        <v>1381</v>
      </c>
      <c r="G1043" s="375" t="s">
        <v>1381</v>
      </c>
      <c r="H1043" s="375" t="s">
        <v>1693</v>
      </c>
      <c r="I1043" s="375" t="s">
        <v>869</v>
      </c>
      <c r="J1043" s="375">
        <v>42820.685709999998</v>
      </c>
      <c r="K1043" s="375">
        <v>4102.23542</v>
      </c>
      <c r="L1043" s="375">
        <v>-1101.41408</v>
      </c>
      <c r="M1043" s="375">
        <v>40385.096409999998</v>
      </c>
      <c r="N1043" s="372" t="s">
        <v>1033</v>
      </c>
      <c r="O1043" s="703">
        <v>0.77116184943666399</v>
      </c>
      <c r="P1043" s="375" t="s">
        <v>623</v>
      </c>
      <c r="Q1043" s="372" t="s">
        <v>623</v>
      </c>
      <c r="R1043" s="695">
        <v>20230316</v>
      </c>
      <c r="S1043" s="372" t="s">
        <v>7320</v>
      </c>
      <c r="T1043" s="696" t="s">
        <v>772</v>
      </c>
      <c r="U1043" s="372" t="s">
        <v>7321</v>
      </c>
      <c r="V1043" s="722">
        <v>0</v>
      </c>
      <c r="W1043" s="722">
        <v>4.3</v>
      </c>
      <c r="X1043" s="722">
        <v>0</v>
      </c>
      <c r="Y1043" s="722">
        <v>0</v>
      </c>
      <c r="Z1043" s="382" t="s">
        <v>934</v>
      </c>
      <c r="AA1043" s="372">
        <v>236.4765893</v>
      </c>
      <c r="AB1043" s="372">
        <v>311.01319489999997</v>
      </c>
      <c r="AC1043" s="372">
        <v>382.9925351</v>
      </c>
      <c r="AD1043" s="372">
        <v>428.20685709999998</v>
      </c>
      <c r="AE1043" s="372">
        <v>0</v>
      </c>
      <c r="AF1043" s="372">
        <v>0</v>
      </c>
      <c r="AG1043" s="372">
        <v>0</v>
      </c>
      <c r="AH1043" s="372">
        <v>0</v>
      </c>
    </row>
    <row r="1044" spans="1:34">
      <c r="A1044" s="372" t="s">
        <v>7322</v>
      </c>
      <c r="B1044" s="373" t="s">
        <v>7323</v>
      </c>
      <c r="C1044" s="372" t="s">
        <v>7324</v>
      </c>
      <c r="D1044" s="374">
        <v>1101114474659</v>
      </c>
      <c r="E1044" s="372" t="s">
        <v>7325</v>
      </c>
      <c r="F1044" s="375" t="s">
        <v>5655</v>
      </c>
      <c r="G1044" s="375" t="s">
        <v>5655</v>
      </c>
      <c r="H1044" s="375" t="s">
        <v>1693</v>
      </c>
      <c r="I1044" s="375" t="s">
        <v>869</v>
      </c>
      <c r="J1044" s="375">
        <v>0</v>
      </c>
      <c r="K1044" s="375">
        <v>0</v>
      </c>
      <c r="L1044" s="375">
        <v>0</v>
      </c>
      <c r="M1044" s="375">
        <v>32123.143769999999</v>
      </c>
      <c r="N1044" s="372" t="s">
        <v>1033</v>
      </c>
      <c r="O1044" s="703">
        <v>1.6992714988495348</v>
      </c>
      <c r="P1044" s="375" t="s">
        <v>623</v>
      </c>
      <c r="Q1044" s="375" t="s">
        <v>623</v>
      </c>
      <c r="R1044" s="695">
        <v>20230720</v>
      </c>
      <c r="S1044" s="375" t="s">
        <v>7326</v>
      </c>
      <c r="T1044" s="696" t="s">
        <v>772</v>
      </c>
      <c r="U1044" s="372" t="s">
        <v>7327</v>
      </c>
      <c r="V1044" s="722">
        <v>0</v>
      </c>
      <c r="W1044" s="722">
        <v>4.1399999999999997</v>
      </c>
      <c r="X1044" s="722">
        <v>0</v>
      </c>
      <c r="Y1044" s="722">
        <v>0</v>
      </c>
      <c r="Z1044" s="382" t="s">
        <v>934</v>
      </c>
      <c r="AA1044" s="372">
        <v>53.713071599999999</v>
      </c>
      <c r="AB1044" s="372">
        <v>216.56372089999999</v>
      </c>
      <c r="AC1044" s="372">
        <v>297.80531999999999</v>
      </c>
      <c r="AD1044" s="372">
        <v>194.17877179999999</v>
      </c>
      <c r="AE1044" s="372">
        <v>452</v>
      </c>
      <c r="AF1044" s="372">
        <v>0</v>
      </c>
      <c r="AG1044" s="372">
        <v>0</v>
      </c>
      <c r="AH1044" s="372">
        <v>0</v>
      </c>
    </row>
    <row r="1045" spans="1:34">
      <c r="A1045" s="372" t="s">
        <v>7328</v>
      </c>
      <c r="B1045" s="373" t="s">
        <v>7329</v>
      </c>
      <c r="C1045" s="372" t="s">
        <v>7330</v>
      </c>
      <c r="D1045" s="374">
        <v>1101111343930</v>
      </c>
      <c r="E1045" s="372" t="s">
        <v>7331</v>
      </c>
      <c r="F1045" s="375" t="s">
        <v>1124</v>
      </c>
      <c r="G1045" s="375" t="s">
        <v>1347</v>
      </c>
      <c r="H1045" s="375" t="s">
        <v>1348</v>
      </c>
      <c r="I1045" s="375" t="s">
        <v>869</v>
      </c>
      <c r="J1045" s="375">
        <v>4201.6226699999997</v>
      </c>
      <c r="K1045" s="375">
        <v>-35245.452810000003</v>
      </c>
      <c r="L1045" s="375">
        <v>-64280.427629999998</v>
      </c>
      <c r="M1045" s="375">
        <v>153721.75263</v>
      </c>
      <c r="N1045" s="372">
        <v>1.18</v>
      </c>
      <c r="O1045" s="703">
        <v>9.3573427853332323</v>
      </c>
      <c r="P1045" s="375" t="s">
        <v>623</v>
      </c>
      <c r="Q1045" s="375" t="s">
        <v>623</v>
      </c>
      <c r="R1045" s="695">
        <v>20051229</v>
      </c>
      <c r="S1045" s="375" t="s">
        <v>7332</v>
      </c>
      <c r="T1045" s="696" t="s">
        <v>772</v>
      </c>
      <c r="U1045" s="372" t="s">
        <v>16040</v>
      </c>
      <c r="V1045" s="722" t="s">
        <v>774</v>
      </c>
      <c r="W1045" s="722">
        <v>1.92</v>
      </c>
      <c r="X1045" s="722">
        <v>61</v>
      </c>
      <c r="Y1045" s="722" t="s">
        <v>774</v>
      </c>
      <c r="Z1045" s="382" t="s">
        <v>934</v>
      </c>
      <c r="AA1045" s="372">
        <v>42.482988800000001</v>
      </c>
      <c r="AB1045" s="372">
        <v>23.1624385</v>
      </c>
      <c r="AC1045" s="372">
        <v>27.996074700000001</v>
      </c>
      <c r="AD1045" s="372">
        <v>42.016226699999997</v>
      </c>
      <c r="AE1045" s="372">
        <v>0</v>
      </c>
      <c r="AF1045" s="372">
        <v>0</v>
      </c>
      <c r="AG1045" s="372">
        <v>0</v>
      </c>
      <c r="AH1045" s="372">
        <v>0</v>
      </c>
    </row>
    <row r="1046" spans="1:34">
      <c r="A1046" s="372" t="s">
        <v>7333</v>
      </c>
      <c r="B1046" s="373" t="s">
        <v>7334</v>
      </c>
      <c r="C1046" s="372" t="s">
        <v>7335</v>
      </c>
      <c r="D1046" s="374">
        <v>2341110096698</v>
      </c>
      <c r="E1046" s="372" t="s">
        <v>7336</v>
      </c>
      <c r="F1046" s="372" t="s">
        <v>1173</v>
      </c>
      <c r="G1046" s="375" t="s">
        <v>1174</v>
      </c>
      <c r="H1046" s="375" t="s">
        <v>832</v>
      </c>
      <c r="I1046" s="375" t="s">
        <v>755</v>
      </c>
      <c r="J1046" s="375">
        <v>167633.13889999999</v>
      </c>
      <c r="K1046" s="375">
        <v>12451.39962</v>
      </c>
      <c r="L1046" s="375">
        <v>12927.34326</v>
      </c>
      <c r="M1046" s="375">
        <v>386752.65336</v>
      </c>
      <c r="N1046" s="372">
        <v>0.58799999999999997</v>
      </c>
      <c r="O1046" s="703">
        <v>11.329259414951046</v>
      </c>
      <c r="P1046" s="375" t="s">
        <v>623</v>
      </c>
      <c r="Q1046" s="372" t="s">
        <v>623</v>
      </c>
      <c r="R1046" s="695">
        <v>20171129</v>
      </c>
      <c r="S1046" s="372" t="s">
        <v>7337</v>
      </c>
      <c r="T1046" s="696">
        <v>0.20900000000000002</v>
      </c>
      <c r="U1046" s="372" t="s">
        <v>7338</v>
      </c>
      <c r="V1046" s="722">
        <v>9.19</v>
      </c>
      <c r="W1046" s="722">
        <v>0.43</v>
      </c>
      <c r="X1046" s="722">
        <v>0.98</v>
      </c>
      <c r="Y1046" s="722">
        <v>16.95</v>
      </c>
      <c r="Z1046" s="382" t="s">
        <v>934</v>
      </c>
      <c r="AA1046" s="372">
        <v>1431.6558090999999</v>
      </c>
      <c r="AB1046" s="372">
        <v>1795.5547314</v>
      </c>
      <c r="AC1046" s="372">
        <v>2057.4414754999998</v>
      </c>
      <c r="AD1046" s="372">
        <v>1676.3313889999999</v>
      </c>
      <c r="AE1046" s="372">
        <v>0</v>
      </c>
      <c r="AF1046" s="372">
        <v>0</v>
      </c>
      <c r="AG1046" s="372">
        <v>0</v>
      </c>
      <c r="AH1046" s="372">
        <v>0</v>
      </c>
    </row>
    <row r="1047" spans="1:34">
      <c r="A1047" s="372" t="s">
        <v>7339</v>
      </c>
      <c r="B1047" s="373" t="s">
        <v>7340</v>
      </c>
      <c r="C1047" s="372" t="s">
        <v>7341</v>
      </c>
      <c r="D1047" s="374">
        <v>1101110301111</v>
      </c>
      <c r="E1047" s="372" t="s">
        <v>7342</v>
      </c>
      <c r="F1047" s="372" t="s">
        <v>1479</v>
      </c>
      <c r="G1047" s="375" t="s">
        <v>7343</v>
      </c>
      <c r="H1047" s="375" t="s">
        <v>1481</v>
      </c>
      <c r="I1047" s="375" t="s">
        <v>755</v>
      </c>
      <c r="J1047" s="375">
        <v>294162.11408999999</v>
      </c>
      <c r="K1047" s="375">
        <v>40076.503360000002</v>
      </c>
      <c r="L1047" s="375">
        <v>43259.948250000001</v>
      </c>
      <c r="M1047" s="375">
        <v>292902.44310999999</v>
      </c>
      <c r="N1047" s="372">
        <v>0.89800000000000002</v>
      </c>
      <c r="O1047" s="703">
        <v>10.074654995856747</v>
      </c>
      <c r="P1047" s="375" t="s">
        <v>623</v>
      </c>
      <c r="Q1047" s="375" t="s">
        <v>623</v>
      </c>
      <c r="R1047" s="695">
        <v>19910307</v>
      </c>
      <c r="S1047" s="375" t="s">
        <v>7344</v>
      </c>
      <c r="T1047" s="696">
        <v>0.23100000000000001</v>
      </c>
      <c r="U1047" s="372" t="s">
        <v>7345</v>
      </c>
      <c r="V1047" s="722">
        <v>5.74</v>
      </c>
      <c r="W1047" s="722">
        <v>0.93</v>
      </c>
      <c r="X1047" s="722">
        <v>0.62</v>
      </c>
      <c r="Y1047" s="722">
        <v>7.63</v>
      </c>
      <c r="Z1047" s="382" t="s">
        <v>934</v>
      </c>
      <c r="AA1047" s="372">
        <v>1653.4526965</v>
      </c>
      <c r="AB1047" s="372">
        <v>1951.5704354</v>
      </c>
      <c r="AC1047" s="372">
        <v>3450.5121202999999</v>
      </c>
      <c r="AD1047" s="372">
        <v>2941.6211408999998</v>
      </c>
      <c r="AE1047" s="372">
        <v>0</v>
      </c>
      <c r="AF1047" s="372">
        <v>0</v>
      </c>
      <c r="AG1047" s="372">
        <v>0</v>
      </c>
      <c r="AH1047" s="372">
        <v>0</v>
      </c>
    </row>
    <row r="1048" spans="1:34">
      <c r="A1048" s="372" t="s">
        <v>7346</v>
      </c>
      <c r="B1048" s="373" t="s">
        <v>7347</v>
      </c>
      <c r="C1048" s="372" t="s">
        <v>7348</v>
      </c>
      <c r="D1048" s="374">
        <v>1101115576438</v>
      </c>
      <c r="E1048" s="372" t="s">
        <v>7349</v>
      </c>
      <c r="F1048" s="375" t="s">
        <v>1714</v>
      </c>
      <c r="G1048" s="375" t="s">
        <v>1714</v>
      </c>
      <c r="H1048" s="375" t="s">
        <v>1693</v>
      </c>
      <c r="I1048" s="375" t="s">
        <v>869</v>
      </c>
      <c r="J1048" s="375">
        <v>0</v>
      </c>
      <c r="K1048" s="375">
        <v>0</v>
      </c>
      <c r="L1048" s="375">
        <v>0</v>
      </c>
      <c r="M1048" s="375">
        <v>54315.426650000001</v>
      </c>
      <c r="N1048" s="372" t="s">
        <v>1033</v>
      </c>
      <c r="O1048" s="703">
        <v>4.5311884716929516</v>
      </c>
      <c r="P1048" s="375" t="s">
        <v>623</v>
      </c>
      <c r="Q1048" s="372" t="s">
        <v>623</v>
      </c>
      <c r="R1048" s="695">
        <v>20231006</v>
      </c>
      <c r="S1048" s="372" t="s">
        <v>7350</v>
      </c>
      <c r="T1048" s="696" t="s">
        <v>772</v>
      </c>
      <c r="U1048" s="372" t="s">
        <v>7351</v>
      </c>
      <c r="V1048" s="722">
        <v>0</v>
      </c>
      <c r="W1048" s="722">
        <v>3.69</v>
      </c>
      <c r="X1048" s="722">
        <v>0</v>
      </c>
      <c r="Y1048" s="722">
        <v>0</v>
      </c>
      <c r="Z1048" s="382">
        <v>0.14990185780606202</v>
      </c>
      <c r="AA1048" s="372">
        <v>173.03875619999999</v>
      </c>
      <c r="AB1048" s="372">
        <v>229.85129359999999</v>
      </c>
      <c r="AC1048" s="372">
        <v>402.68701490000001</v>
      </c>
      <c r="AD1048" s="372">
        <v>515.89751390000004</v>
      </c>
      <c r="AE1048" s="372">
        <v>616.75</v>
      </c>
      <c r="AF1048" s="372">
        <v>752.67</v>
      </c>
      <c r="AG1048" s="372">
        <v>902</v>
      </c>
      <c r="AH1048" s="372">
        <v>0</v>
      </c>
    </row>
    <row r="1049" spans="1:34">
      <c r="A1049" s="372" t="s">
        <v>7352</v>
      </c>
      <c r="B1049" s="373" t="s">
        <v>7353</v>
      </c>
      <c r="C1049" s="372" t="s">
        <v>7354</v>
      </c>
      <c r="D1049" s="374">
        <v>1101111315286</v>
      </c>
      <c r="E1049" s="372" t="s">
        <v>7355</v>
      </c>
      <c r="F1049" s="375" t="s">
        <v>900</v>
      </c>
      <c r="G1049" s="375" t="s">
        <v>901</v>
      </c>
      <c r="H1049" s="375" t="s">
        <v>902</v>
      </c>
      <c r="I1049" s="375" t="s">
        <v>869</v>
      </c>
      <c r="J1049" s="375">
        <v>41047.387920000001</v>
      </c>
      <c r="K1049" s="375">
        <v>-18603.97739</v>
      </c>
      <c r="L1049" s="375">
        <v>21060.55949</v>
      </c>
      <c r="M1049" s="375">
        <v>224655.10691</v>
      </c>
      <c r="N1049" s="372">
        <v>0.85899999999999999</v>
      </c>
      <c r="O1049" s="703">
        <v>67.155528158178228</v>
      </c>
      <c r="P1049" s="375" t="s">
        <v>623</v>
      </c>
      <c r="Q1049" s="372" t="s">
        <v>623</v>
      </c>
      <c r="R1049" s="695">
        <v>20011130</v>
      </c>
      <c r="S1049" s="375" t="s">
        <v>7356</v>
      </c>
      <c r="T1049" s="696">
        <v>0.23100000000000001</v>
      </c>
      <c r="U1049" s="375" t="s">
        <v>16041</v>
      </c>
      <c r="V1049" s="722" t="s">
        <v>774</v>
      </c>
      <c r="W1049" s="722">
        <v>0.59</v>
      </c>
      <c r="X1049" s="722">
        <v>3.33</v>
      </c>
      <c r="Y1049" s="722">
        <v>10.69</v>
      </c>
      <c r="Z1049" s="382" t="s">
        <v>934</v>
      </c>
      <c r="AA1049" s="372">
        <v>253.45952539999999</v>
      </c>
      <c r="AB1049" s="372">
        <v>394.1552125</v>
      </c>
      <c r="AC1049" s="372">
        <v>408.2193403</v>
      </c>
      <c r="AD1049" s="372">
        <v>410.4738792</v>
      </c>
      <c r="AE1049" s="372">
        <v>470</v>
      </c>
      <c r="AF1049" s="372">
        <v>0</v>
      </c>
      <c r="AG1049" s="372">
        <v>0</v>
      </c>
      <c r="AH1049" s="372">
        <v>0</v>
      </c>
    </row>
    <row r="1050" spans="1:34">
      <c r="A1050" s="372" t="s">
        <v>7357</v>
      </c>
      <c r="B1050" s="373" t="s">
        <v>7358</v>
      </c>
      <c r="C1050" s="372" t="s">
        <v>7359</v>
      </c>
      <c r="D1050" s="374">
        <v>1311110000718</v>
      </c>
      <c r="E1050" s="372" t="s">
        <v>7360</v>
      </c>
      <c r="F1050" s="372" t="s">
        <v>1286</v>
      </c>
      <c r="G1050" s="375" t="s">
        <v>7361</v>
      </c>
      <c r="H1050" s="375" t="s">
        <v>868</v>
      </c>
      <c r="I1050" s="375" t="s">
        <v>869</v>
      </c>
      <c r="J1050" s="375">
        <v>125029.84778</v>
      </c>
      <c r="K1050" s="375">
        <v>-4711.5547500000002</v>
      </c>
      <c r="L1050" s="375">
        <v>-4344.7188500000002</v>
      </c>
      <c r="M1050" s="375">
        <v>113274.87783</v>
      </c>
      <c r="N1050" s="372">
        <v>1.3839999999999999</v>
      </c>
      <c r="O1050" s="703">
        <v>6.7772916114749453</v>
      </c>
      <c r="P1050" s="375" t="s">
        <v>623</v>
      </c>
      <c r="Q1050" s="372" t="s">
        <v>623</v>
      </c>
      <c r="R1050" s="695">
        <v>20020628</v>
      </c>
      <c r="S1050" s="375" t="s">
        <v>7362</v>
      </c>
      <c r="T1050" s="696" t="s">
        <v>772</v>
      </c>
      <c r="U1050" s="375" t="s">
        <v>7363</v>
      </c>
      <c r="V1050" s="722">
        <v>132.44</v>
      </c>
      <c r="W1050" s="722">
        <v>1.74</v>
      </c>
      <c r="X1050" s="722">
        <v>1.57</v>
      </c>
      <c r="Y1050" s="722" t="s">
        <v>774</v>
      </c>
      <c r="Z1050" s="382" t="s">
        <v>934</v>
      </c>
      <c r="AA1050" s="372">
        <v>1241.1963742999999</v>
      </c>
      <c r="AB1050" s="372">
        <v>1476.7712294</v>
      </c>
      <c r="AC1050" s="372">
        <v>1646.9675698999999</v>
      </c>
      <c r="AD1050" s="372">
        <v>1250.2984778</v>
      </c>
      <c r="AE1050" s="372">
        <v>1450</v>
      </c>
      <c r="AF1050" s="372">
        <v>1640</v>
      </c>
      <c r="AG1050" s="372">
        <v>0</v>
      </c>
      <c r="AH1050" s="372">
        <v>0</v>
      </c>
    </row>
    <row r="1051" spans="1:34">
      <c r="A1051" s="372" t="s">
        <v>7364</v>
      </c>
      <c r="B1051" s="373" t="s">
        <v>7365</v>
      </c>
      <c r="C1051" s="372" t="s">
        <v>7366</v>
      </c>
      <c r="D1051" s="374">
        <v>1301110058560</v>
      </c>
      <c r="E1051" s="372" t="s">
        <v>7367</v>
      </c>
      <c r="F1051" s="372" t="s">
        <v>1195</v>
      </c>
      <c r="G1051" s="375" t="s">
        <v>1196</v>
      </c>
      <c r="H1051" s="375" t="s">
        <v>1388</v>
      </c>
      <c r="I1051" s="375" t="s">
        <v>869</v>
      </c>
      <c r="J1051" s="375">
        <v>62273.75099</v>
      </c>
      <c r="K1051" s="375">
        <v>-37213.580419999998</v>
      </c>
      <c r="L1051" s="375">
        <v>-41870.789680000002</v>
      </c>
      <c r="M1051" s="375">
        <v>130646.3771</v>
      </c>
      <c r="N1051" s="372">
        <v>0.95099999999999996</v>
      </c>
      <c r="O1051" s="703">
        <v>10.684345860777597</v>
      </c>
      <c r="P1051" s="375" t="s">
        <v>623</v>
      </c>
      <c r="Q1051" s="372" t="s">
        <v>623</v>
      </c>
      <c r="R1051" s="695">
        <v>20110805</v>
      </c>
      <c r="S1051" s="372" t="s">
        <v>7368</v>
      </c>
      <c r="T1051" s="696" t="s">
        <v>772</v>
      </c>
      <c r="U1051" s="372" t="s">
        <v>7369</v>
      </c>
      <c r="V1051" s="722" t="s">
        <v>774</v>
      </c>
      <c r="W1051" s="722">
        <v>1.07</v>
      </c>
      <c r="X1051" s="722">
        <v>2.67</v>
      </c>
      <c r="Y1051" s="722" t="s">
        <v>774</v>
      </c>
      <c r="Z1051" s="382" t="s">
        <v>934</v>
      </c>
      <c r="AA1051" s="372">
        <v>3089.6525353000002</v>
      </c>
      <c r="AB1051" s="372">
        <v>1157.6937777000001</v>
      </c>
      <c r="AC1051" s="372">
        <v>1509.4490636</v>
      </c>
      <c r="AD1051" s="372">
        <v>622.73750989999996</v>
      </c>
      <c r="AE1051" s="372">
        <v>2131</v>
      </c>
      <c r="AF1051" s="372">
        <v>0</v>
      </c>
      <c r="AG1051" s="372">
        <v>0</v>
      </c>
      <c r="AH1051" s="372">
        <v>0</v>
      </c>
    </row>
    <row r="1052" spans="1:34">
      <c r="A1052" s="372" t="s">
        <v>7370</v>
      </c>
      <c r="B1052" s="373" t="s">
        <v>7371</v>
      </c>
      <c r="C1052" s="372" t="s">
        <v>7372</v>
      </c>
      <c r="D1052" s="374">
        <v>1601110362866</v>
      </c>
      <c r="E1052" s="372" t="s">
        <v>7373</v>
      </c>
      <c r="F1052" s="375" t="s">
        <v>1814</v>
      </c>
      <c r="G1052" s="375" t="s">
        <v>1815</v>
      </c>
      <c r="H1052" s="375" t="s">
        <v>1693</v>
      </c>
      <c r="I1052" s="375" t="s">
        <v>869</v>
      </c>
      <c r="J1052" s="375">
        <v>10223.567290000001</v>
      </c>
      <c r="K1052" s="375">
        <v>-3856.5396500000002</v>
      </c>
      <c r="L1052" s="375">
        <v>-5552.8528800000004</v>
      </c>
      <c r="M1052" s="375">
        <v>20056.198420000001</v>
      </c>
      <c r="N1052" s="372">
        <v>1.2769999999999999</v>
      </c>
      <c r="O1052" s="703">
        <v>18.117316660204622</v>
      </c>
      <c r="P1052" s="375" t="s">
        <v>623</v>
      </c>
      <c r="Q1052" s="372" t="s">
        <v>623</v>
      </c>
      <c r="R1052" s="695">
        <v>20211123</v>
      </c>
      <c r="S1052" s="372" t="s">
        <v>7374</v>
      </c>
      <c r="T1052" s="696" t="s">
        <v>772</v>
      </c>
      <c r="U1052" s="372" t="s">
        <v>7375</v>
      </c>
      <c r="V1052" s="722" t="s">
        <v>774</v>
      </c>
      <c r="W1052" s="722">
        <v>7.95</v>
      </c>
      <c r="X1052" s="722">
        <v>15.58</v>
      </c>
      <c r="Y1052" s="722" t="s">
        <v>774</v>
      </c>
      <c r="Z1052" s="382" t="s">
        <v>934</v>
      </c>
      <c r="AA1052" s="372">
        <v>100.1354284</v>
      </c>
      <c r="AB1052" s="372">
        <v>69.789779800000005</v>
      </c>
      <c r="AC1052" s="372">
        <v>82.436763400000004</v>
      </c>
      <c r="AD1052" s="372">
        <v>102.2356729</v>
      </c>
      <c r="AE1052" s="372">
        <v>151</v>
      </c>
      <c r="AF1052" s="372">
        <v>193</v>
      </c>
      <c r="AG1052" s="372">
        <v>0</v>
      </c>
      <c r="AH1052" s="372">
        <v>0</v>
      </c>
    </row>
    <row r="1053" spans="1:34">
      <c r="A1053" s="372" t="s">
        <v>7376</v>
      </c>
      <c r="B1053" s="373" t="s">
        <v>7377</v>
      </c>
      <c r="C1053" s="372" t="s">
        <v>7378</v>
      </c>
      <c r="D1053" s="374">
        <v>1101115530111</v>
      </c>
      <c r="E1053" s="372" t="s">
        <v>7379</v>
      </c>
      <c r="F1053" s="375" t="s">
        <v>1768</v>
      </c>
      <c r="G1053" s="375" t="s">
        <v>1768</v>
      </c>
      <c r="H1053" s="375" t="s">
        <v>868</v>
      </c>
      <c r="I1053" s="375" t="s">
        <v>869</v>
      </c>
      <c r="J1053" s="375">
        <v>29812.77101</v>
      </c>
      <c r="K1053" s="375">
        <v>3345.8797199999999</v>
      </c>
      <c r="L1053" s="375">
        <v>3858.0228699999998</v>
      </c>
      <c r="M1053" s="375">
        <v>60096.93664</v>
      </c>
      <c r="N1053" s="372">
        <v>0.55000000000000004</v>
      </c>
      <c r="O1053" s="703">
        <v>2.6495375250745212</v>
      </c>
      <c r="P1053" s="375" t="s">
        <v>623</v>
      </c>
      <c r="Q1053" s="372" t="s">
        <v>623</v>
      </c>
      <c r="R1053" s="695">
        <v>20141217</v>
      </c>
      <c r="S1053" s="372" t="s">
        <v>7380</v>
      </c>
      <c r="T1053" s="696">
        <v>0.20900000000000002</v>
      </c>
      <c r="U1053" s="372" t="s">
        <v>7381</v>
      </c>
      <c r="V1053" s="722">
        <v>40.26</v>
      </c>
      <c r="W1053" s="722">
        <v>2.91</v>
      </c>
      <c r="X1053" s="722">
        <v>5.55</v>
      </c>
      <c r="Y1053" s="722">
        <v>32</v>
      </c>
      <c r="Z1053" s="382" t="s">
        <v>934</v>
      </c>
      <c r="AA1053" s="372">
        <v>211.5235054</v>
      </c>
      <c r="AB1053" s="372">
        <v>290.89193740000002</v>
      </c>
      <c r="AC1053" s="372">
        <v>276.85710219999999</v>
      </c>
      <c r="AD1053" s="372">
        <v>298.1277101</v>
      </c>
      <c r="AE1053" s="372">
        <v>0</v>
      </c>
      <c r="AF1053" s="372">
        <v>0</v>
      </c>
      <c r="AG1053" s="372">
        <v>0</v>
      </c>
      <c r="AH1053" s="372">
        <v>0</v>
      </c>
    </row>
    <row r="1054" spans="1:34">
      <c r="A1054" s="372" t="s">
        <v>7382</v>
      </c>
      <c r="B1054" s="373" t="s">
        <v>7383</v>
      </c>
      <c r="C1054" s="372" t="s">
        <v>7384</v>
      </c>
      <c r="D1054" s="374">
        <v>1801110039396</v>
      </c>
      <c r="E1054" s="372" t="s">
        <v>7385</v>
      </c>
      <c r="F1054" s="375" t="s">
        <v>887</v>
      </c>
      <c r="G1054" s="375" t="s">
        <v>887</v>
      </c>
      <c r="H1054" s="375" t="s">
        <v>797</v>
      </c>
      <c r="I1054" s="375" t="s">
        <v>755</v>
      </c>
      <c r="J1054" s="375">
        <v>372122.59023999999</v>
      </c>
      <c r="K1054" s="375">
        <v>46442.960959999997</v>
      </c>
      <c r="L1054" s="375">
        <v>48846.44485</v>
      </c>
      <c r="M1054" s="375">
        <v>272538.65742</v>
      </c>
      <c r="N1054" s="372">
        <v>0.89300000000000002</v>
      </c>
      <c r="O1054" s="703">
        <v>4.303740772792005</v>
      </c>
      <c r="P1054" s="375" t="s">
        <v>623</v>
      </c>
      <c r="Q1054" s="375" t="s">
        <v>623</v>
      </c>
      <c r="R1054" s="695">
        <v>19890725</v>
      </c>
      <c r="S1054" s="375" t="s">
        <v>7386</v>
      </c>
      <c r="T1054" s="696">
        <v>0.23100000000000001</v>
      </c>
      <c r="U1054" s="372" t="s">
        <v>7387</v>
      </c>
      <c r="V1054" s="722">
        <v>3.39</v>
      </c>
      <c r="W1054" s="722">
        <v>0.63</v>
      </c>
      <c r="X1054" s="722">
        <v>0.47</v>
      </c>
      <c r="Y1054" s="722">
        <v>5.14</v>
      </c>
      <c r="Z1054" s="382" t="s">
        <v>934</v>
      </c>
      <c r="AA1054" s="372">
        <v>2644.7223168999999</v>
      </c>
      <c r="AB1054" s="372">
        <v>3544.3966178999999</v>
      </c>
      <c r="AC1054" s="372">
        <v>4214.9765783000003</v>
      </c>
      <c r="AD1054" s="372">
        <v>3721.2259024</v>
      </c>
      <c r="AE1054" s="372">
        <v>4640</v>
      </c>
      <c r="AF1054" s="372">
        <v>0</v>
      </c>
      <c r="AG1054" s="372">
        <v>0</v>
      </c>
      <c r="AH1054" s="372">
        <v>0</v>
      </c>
    </row>
    <row r="1055" spans="1:34">
      <c r="A1055" s="372" t="s">
        <v>7388</v>
      </c>
      <c r="B1055" s="373" t="s">
        <v>7389</v>
      </c>
      <c r="C1055" s="372" t="s">
        <v>7390</v>
      </c>
      <c r="D1055" s="374">
        <v>1344110035203</v>
      </c>
      <c r="E1055" s="372" t="s">
        <v>7391</v>
      </c>
      <c r="F1055" s="375" t="s">
        <v>3266</v>
      </c>
      <c r="G1055" s="375" t="s">
        <v>3266</v>
      </c>
      <c r="H1055" s="375" t="s">
        <v>1388</v>
      </c>
      <c r="I1055" s="375" t="s">
        <v>869</v>
      </c>
      <c r="J1055" s="375">
        <v>93742.317670000004</v>
      </c>
      <c r="K1055" s="375">
        <v>-22880.495210000001</v>
      </c>
      <c r="L1055" s="375">
        <v>-22873.578420000002</v>
      </c>
      <c r="M1055" s="375">
        <v>98080.675459999999</v>
      </c>
      <c r="N1055" s="372">
        <v>1.034</v>
      </c>
      <c r="O1055" s="703">
        <v>38.487915056079927</v>
      </c>
      <c r="P1055" s="375" t="s">
        <v>623</v>
      </c>
      <c r="Q1055" s="372" t="s">
        <v>623</v>
      </c>
      <c r="R1055" s="695">
        <v>20141226</v>
      </c>
      <c r="S1055" s="375" t="s">
        <v>7392</v>
      </c>
      <c r="T1055" s="696" t="s">
        <v>772</v>
      </c>
      <c r="U1055" s="372" t="s">
        <v>7393</v>
      </c>
      <c r="V1055" s="722">
        <v>0</v>
      </c>
      <c r="W1055" s="722">
        <v>1.3</v>
      </c>
      <c r="X1055" s="722">
        <v>0</v>
      </c>
      <c r="Y1055" s="722">
        <v>0</v>
      </c>
      <c r="Z1055" s="382" t="s">
        <v>934</v>
      </c>
      <c r="AA1055" s="372">
        <v>496.3003167</v>
      </c>
      <c r="AB1055" s="372">
        <v>472.17098399999998</v>
      </c>
      <c r="AC1055" s="372">
        <v>736.46384260000002</v>
      </c>
      <c r="AD1055" s="372">
        <v>937.4231767</v>
      </c>
      <c r="AE1055" s="372">
        <v>0</v>
      </c>
      <c r="AF1055" s="372">
        <v>0</v>
      </c>
      <c r="AG1055" s="372">
        <v>0</v>
      </c>
      <c r="AH1055" s="372">
        <v>0</v>
      </c>
    </row>
    <row r="1056" spans="1:34">
      <c r="A1056" s="372" t="s">
        <v>7394</v>
      </c>
      <c r="B1056" s="373" t="s">
        <v>7395</v>
      </c>
      <c r="C1056" s="372" t="s">
        <v>7396</v>
      </c>
      <c r="D1056" s="374">
        <v>1243110046030</v>
      </c>
      <c r="E1056" s="372" t="s">
        <v>7397</v>
      </c>
      <c r="F1056" s="375" t="s">
        <v>1195</v>
      </c>
      <c r="G1056" s="375" t="s">
        <v>1196</v>
      </c>
      <c r="H1056" s="375" t="s">
        <v>1388</v>
      </c>
      <c r="I1056" s="375" t="s">
        <v>869</v>
      </c>
      <c r="J1056" s="375">
        <v>72087.353780000005</v>
      </c>
      <c r="K1056" s="375">
        <v>-371.08992000000001</v>
      </c>
      <c r="L1056" s="375">
        <v>-3113.8298300000001</v>
      </c>
      <c r="M1056" s="375">
        <v>167522.86035999999</v>
      </c>
      <c r="N1056" s="372">
        <v>1.0069999999999999</v>
      </c>
      <c r="O1056" s="703">
        <v>0.87449228360086639</v>
      </c>
      <c r="P1056" s="375" t="s">
        <v>623</v>
      </c>
      <c r="Q1056" s="372" t="s">
        <v>623</v>
      </c>
      <c r="R1056" s="695">
        <v>20070110</v>
      </c>
      <c r="S1056" s="375" t="s">
        <v>7398</v>
      </c>
      <c r="T1056" s="696" t="s">
        <v>772</v>
      </c>
      <c r="U1056" s="372" t="s">
        <v>7399</v>
      </c>
      <c r="V1056" s="722">
        <v>77.099999999999994</v>
      </c>
      <c r="W1056" s="722">
        <v>0.99</v>
      </c>
      <c r="X1056" s="722">
        <v>2.3199999999999998</v>
      </c>
      <c r="Y1056" s="722" t="s">
        <v>774</v>
      </c>
      <c r="Z1056" s="382">
        <v>0.6335334996547608</v>
      </c>
      <c r="AA1056" s="372">
        <v>1144.4867558999999</v>
      </c>
      <c r="AB1056" s="372">
        <v>818.38114599999994</v>
      </c>
      <c r="AC1056" s="372">
        <v>1439.3969737</v>
      </c>
      <c r="AD1056" s="372">
        <v>720.87353780000001</v>
      </c>
      <c r="AE1056" s="372">
        <v>1735</v>
      </c>
      <c r="AF1056" s="372">
        <v>3562</v>
      </c>
      <c r="AG1056" s="372">
        <v>5133</v>
      </c>
      <c r="AH1056" s="372">
        <v>0</v>
      </c>
    </row>
    <row r="1057" spans="1:34">
      <c r="A1057" s="372" t="s">
        <v>7400</v>
      </c>
      <c r="B1057" s="373" t="s">
        <v>7401</v>
      </c>
      <c r="C1057" s="372" t="s">
        <v>7402</v>
      </c>
      <c r="D1057" s="374">
        <v>1311110475341</v>
      </c>
      <c r="E1057" s="372" t="s">
        <v>7403</v>
      </c>
      <c r="F1057" s="375" t="s">
        <v>6673</v>
      </c>
      <c r="G1057" s="375" t="s">
        <v>6673</v>
      </c>
      <c r="H1057" s="375" t="s">
        <v>1388</v>
      </c>
      <c r="I1057" s="375" t="s">
        <v>869</v>
      </c>
      <c r="J1057" s="375">
        <v>150278.20236</v>
      </c>
      <c r="K1057" s="375">
        <v>29038.98503</v>
      </c>
      <c r="L1057" s="375">
        <v>32763.65252</v>
      </c>
      <c r="M1057" s="375">
        <v>165092.08502999999</v>
      </c>
      <c r="N1057" s="372">
        <v>0.70899999999999996</v>
      </c>
      <c r="O1057" s="703">
        <v>7.8994802008521141</v>
      </c>
      <c r="P1057" s="375" t="s">
        <v>623</v>
      </c>
      <c r="Q1057" s="372" t="s">
        <v>623</v>
      </c>
      <c r="R1057" s="695">
        <v>20170331</v>
      </c>
      <c r="S1057" s="372" t="s">
        <v>7404</v>
      </c>
      <c r="T1057" s="696">
        <v>0.23100000000000001</v>
      </c>
      <c r="U1057" s="372" t="s">
        <v>5588</v>
      </c>
      <c r="V1057" s="722">
        <v>5.1100000000000003</v>
      </c>
      <c r="W1057" s="722">
        <v>1.01</v>
      </c>
      <c r="X1057" s="722">
        <v>1.1100000000000001</v>
      </c>
      <c r="Y1057" s="722">
        <v>6.43</v>
      </c>
      <c r="Z1057" s="382" t="s">
        <v>934</v>
      </c>
      <c r="AA1057" s="372">
        <v>1104.608649</v>
      </c>
      <c r="AB1057" s="372">
        <v>1390.8836272000001</v>
      </c>
      <c r="AC1057" s="372">
        <v>1337.2282631</v>
      </c>
      <c r="AD1057" s="372">
        <v>1502.7820236</v>
      </c>
      <c r="AE1057" s="372">
        <v>0</v>
      </c>
      <c r="AF1057" s="372">
        <v>0</v>
      </c>
      <c r="AG1057" s="372">
        <v>0</v>
      </c>
      <c r="AH1057" s="372">
        <v>0</v>
      </c>
    </row>
    <row r="1058" spans="1:34">
      <c r="A1058" s="372" t="s">
        <v>7405</v>
      </c>
      <c r="B1058" s="373" t="s">
        <v>7406</v>
      </c>
      <c r="C1058" s="372" t="s">
        <v>7407</v>
      </c>
      <c r="D1058" s="374">
        <v>1801110025147</v>
      </c>
      <c r="E1058" s="372" t="s">
        <v>7408</v>
      </c>
      <c r="F1058" s="375" t="s">
        <v>1881</v>
      </c>
      <c r="G1058" s="375" t="s">
        <v>1882</v>
      </c>
      <c r="H1058" s="375" t="s">
        <v>797</v>
      </c>
      <c r="I1058" s="375" t="s">
        <v>755</v>
      </c>
      <c r="J1058" s="375">
        <v>728664.90252</v>
      </c>
      <c r="K1058" s="375">
        <v>36108.435120000002</v>
      </c>
      <c r="L1058" s="375">
        <v>29660.28037</v>
      </c>
      <c r="M1058" s="375">
        <v>160517.01003</v>
      </c>
      <c r="N1058" s="372">
        <v>1.335</v>
      </c>
      <c r="O1058" s="703">
        <v>126.22420153444406</v>
      </c>
      <c r="P1058" s="375" t="s">
        <v>623</v>
      </c>
      <c r="Q1058" s="375" t="s">
        <v>623</v>
      </c>
      <c r="R1058" s="695">
        <v>20071018</v>
      </c>
      <c r="S1058" s="375" t="s">
        <v>7409</v>
      </c>
      <c r="T1058" s="696">
        <v>0.23100000000000001</v>
      </c>
      <c r="U1058" s="375" t="s">
        <v>7410</v>
      </c>
      <c r="V1058" s="722">
        <v>6.41</v>
      </c>
      <c r="W1058" s="722">
        <v>1.42</v>
      </c>
      <c r="X1058" s="722">
        <v>0.27</v>
      </c>
      <c r="Y1058" s="722">
        <v>5.27</v>
      </c>
      <c r="Z1058" s="382" t="s">
        <v>934</v>
      </c>
      <c r="AA1058" s="372">
        <v>4933.8737975000004</v>
      </c>
      <c r="AB1058" s="372">
        <v>5901.3204558999996</v>
      </c>
      <c r="AC1058" s="372">
        <v>6958.9022156999999</v>
      </c>
      <c r="AD1058" s="372">
        <v>7286.6490252000003</v>
      </c>
      <c r="AE1058" s="372">
        <v>0</v>
      </c>
      <c r="AF1058" s="372">
        <v>0</v>
      </c>
      <c r="AG1058" s="372">
        <v>0</v>
      </c>
      <c r="AH1058" s="372">
        <v>0</v>
      </c>
    </row>
    <row r="1059" spans="1:34">
      <c r="A1059" s="372" t="s">
        <v>7411</v>
      </c>
      <c r="B1059" s="373" t="s">
        <v>7412</v>
      </c>
      <c r="C1059" s="372" t="s">
        <v>7413</v>
      </c>
      <c r="D1059" s="374">
        <v>2111110000042</v>
      </c>
      <c r="E1059" s="372" t="s">
        <v>7414</v>
      </c>
      <c r="F1059" s="375" t="s">
        <v>5414</v>
      </c>
      <c r="G1059" s="375" t="s">
        <v>7415</v>
      </c>
      <c r="H1059" s="375" t="s">
        <v>3998</v>
      </c>
      <c r="I1059" s="375" t="s">
        <v>755</v>
      </c>
      <c r="J1059" s="375">
        <v>362071.69605999999</v>
      </c>
      <c r="K1059" s="375">
        <v>31156.677380000001</v>
      </c>
      <c r="L1059" s="375">
        <v>9844.2510999999995</v>
      </c>
      <c r="M1059" s="375">
        <v>295154.59074000001</v>
      </c>
      <c r="N1059" s="372">
        <v>1.0389999999999999</v>
      </c>
      <c r="O1059" s="703">
        <v>95.175606213252422</v>
      </c>
      <c r="P1059" s="375" t="s">
        <v>623</v>
      </c>
      <c r="Q1059" s="372" t="s">
        <v>623</v>
      </c>
      <c r="R1059" s="695">
        <v>19760626</v>
      </c>
      <c r="S1059" s="372" t="s">
        <v>7416</v>
      </c>
      <c r="T1059" s="696">
        <v>0.20900000000000002</v>
      </c>
      <c r="U1059" s="372" t="s">
        <v>7417</v>
      </c>
      <c r="V1059" s="722">
        <v>5.01</v>
      </c>
      <c r="W1059" s="722">
        <v>0.54</v>
      </c>
      <c r="X1059" s="722">
        <v>0.22</v>
      </c>
      <c r="Y1059" s="722">
        <v>5.21</v>
      </c>
      <c r="Z1059" s="382" t="s">
        <v>934</v>
      </c>
      <c r="AA1059" s="372">
        <v>4840.6448153000001</v>
      </c>
      <c r="AB1059" s="372">
        <v>4352.8269596</v>
      </c>
      <c r="AC1059" s="372">
        <v>4099.5704143000003</v>
      </c>
      <c r="AD1059" s="372">
        <v>3620.7169606000002</v>
      </c>
      <c r="AE1059" s="372">
        <v>0</v>
      </c>
      <c r="AF1059" s="372">
        <v>0</v>
      </c>
      <c r="AG1059" s="372">
        <v>0</v>
      </c>
      <c r="AH1059" s="372">
        <v>0</v>
      </c>
    </row>
    <row r="1060" spans="1:34">
      <c r="A1060" s="372" t="s">
        <v>7418</v>
      </c>
      <c r="B1060" s="373" t="s">
        <v>7419</v>
      </c>
      <c r="C1060" s="372" t="s">
        <v>7420</v>
      </c>
      <c r="D1060" s="374">
        <v>1346110012687</v>
      </c>
      <c r="E1060" s="372" t="s">
        <v>7421</v>
      </c>
      <c r="F1060" s="375" t="s">
        <v>2450</v>
      </c>
      <c r="G1060" s="375" t="s">
        <v>2451</v>
      </c>
      <c r="H1060" s="375" t="s">
        <v>868</v>
      </c>
      <c r="I1060" s="375" t="s">
        <v>869</v>
      </c>
      <c r="J1060" s="375">
        <v>164525.35183999999</v>
      </c>
      <c r="K1060" s="375">
        <v>28921.463110000001</v>
      </c>
      <c r="L1060" s="375">
        <v>43010.354330000002</v>
      </c>
      <c r="M1060" s="375">
        <v>360141.84229</v>
      </c>
      <c r="N1060" s="372">
        <v>1.117</v>
      </c>
      <c r="O1060" s="703">
        <v>53.968727038775256</v>
      </c>
      <c r="P1060" s="375" t="s">
        <v>623</v>
      </c>
      <c r="Q1060" s="372" t="s">
        <v>623</v>
      </c>
      <c r="R1060" s="695">
        <v>20040924</v>
      </c>
      <c r="S1060" s="372" t="s">
        <v>7422</v>
      </c>
      <c r="T1060" s="696">
        <v>0.23100000000000001</v>
      </c>
      <c r="U1060" s="372" t="s">
        <v>7423</v>
      </c>
      <c r="V1060" s="722">
        <v>6.08</v>
      </c>
      <c r="W1060" s="722">
        <v>0.52</v>
      </c>
      <c r="X1060" s="722">
        <v>1.01</v>
      </c>
      <c r="Y1060" s="722">
        <v>8.23</v>
      </c>
      <c r="Z1060" s="382" t="s">
        <v>934</v>
      </c>
      <c r="AA1060" s="372">
        <v>2269.0250245000002</v>
      </c>
      <c r="AB1060" s="372">
        <v>2253.9363220999999</v>
      </c>
      <c r="AC1060" s="372">
        <v>3170.478654</v>
      </c>
      <c r="AD1060" s="372">
        <v>1645.2535184000001</v>
      </c>
      <c r="AE1060" s="372">
        <v>2400</v>
      </c>
      <c r="AF1060" s="372">
        <v>3179</v>
      </c>
      <c r="AG1060" s="372">
        <v>0</v>
      </c>
      <c r="AH1060" s="372">
        <v>0</v>
      </c>
    </row>
    <row r="1061" spans="1:34">
      <c r="A1061" s="372" t="s">
        <v>7424</v>
      </c>
      <c r="B1061" s="373" t="s">
        <v>7425</v>
      </c>
      <c r="C1061" s="372" t="s">
        <v>7426</v>
      </c>
      <c r="D1061" s="374">
        <v>1701110008913</v>
      </c>
      <c r="E1061" s="372" t="s">
        <v>7427</v>
      </c>
      <c r="F1061" s="375" t="s">
        <v>3020</v>
      </c>
      <c r="G1061" s="375" t="s">
        <v>3020</v>
      </c>
      <c r="H1061" s="375" t="s">
        <v>868</v>
      </c>
      <c r="I1061" s="375" t="s">
        <v>869</v>
      </c>
      <c r="J1061" s="375">
        <v>764289.80390000006</v>
      </c>
      <c r="K1061" s="375">
        <v>83852.404920000001</v>
      </c>
      <c r="L1061" s="375">
        <v>64231.266069999998</v>
      </c>
      <c r="M1061" s="375">
        <v>291915.72515999997</v>
      </c>
      <c r="N1061" s="372">
        <v>1.208</v>
      </c>
      <c r="O1061" s="703">
        <v>341.50760132970004</v>
      </c>
      <c r="P1061" s="375" t="s">
        <v>623</v>
      </c>
      <c r="Q1061" s="372" t="s">
        <v>623</v>
      </c>
      <c r="R1061" s="695">
        <v>19970930</v>
      </c>
      <c r="S1061" s="375" t="s">
        <v>5897</v>
      </c>
      <c r="T1061" s="696">
        <v>0.23100000000000001</v>
      </c>
      <c r="U1061" s="375" t="s">
        <v>7428</v>
      </c>
      <c r="V1061" s="722">
        <v>3.21</v>
      </c>
      <c r="W1061" s="722">
        <v>0.59</v>
      </c>
      <c r="X1061" s="722">
        <v>0.22</v>
      </c>
      <c r="Y1061" s="722">
        <v>3.36</v>
      </c>
      <c r="Z1061" s="382" t="s">
        <v>934</v>
      </c>
      <c r="AA1061" s="372">
        <v>4407.0388295000002</v>
      </c>
      <c r="AB1061" s="372">
        <v>4793.3185045999999</v>
      </c>
      <c r="AC1061" s="372">
        <v>5977.7052154000003</v>
      </c>
      <c r="AD1061" s="372">
        <v>7642.8980389999997</v>
      </c>
      <c r="AE1061" s="372">
        <v>0</v>
      </c>
      <c r="AF1061" s="372">
        <v>0</v>
      </c>
      <c r="AG1061" s="372">
        <v>0</v>
      </c>
      <c r="AH1061" s="372">
        <v>0</v>
      </c>
    </row>
    <row r="1062" spans="1:34">
      <c r="A1062" s="372" t="s">
        <v>7429</v>
      </c>
      <c r="B1062" s="373" t="s">
        <v>7430</v>
      </c>
      <c r="C1062" s="372" t="s">
        <v>7431</v>
      </c>
      <c r="D1062" s="374">
        <v>1313110109110</v>
      </c>
      <c r="E1062" s="372" t="s">
        <v>7432</v>
      </c>
      <c r="F1062" s="372" t="s">
        <v>1985</v>
      </c>
      <c r="G1062" s="375" t="s">
        <v>1985</v>
      </c>
      <c r="H1062" s="375" t="s">
        <v>868</v>
      </c>
      <c r="I1062" s="375" t="s">
        <v>869</v>
      </c>
      <c r="J1062" s="375">
        <v>261126.66008999999</v>
      </c>
      <c r="K1062" s="375">
        <v>1992.4444000000001</v>
      </c>
      <c r="L1062" s="375">
        <v>-7352.5972300000003</v>
      </c>
      <c r="M1062" s="375">
        <v>97410.02188</v>
      </c>
      <c r="N1062" s="372">
        <v>1.1359999999999999</v>
      </c>
      <c r="O1062" s="703">
        <v>53.543713144473912</v>
      </c>
      <c r="P1062" s="375" t="s">
        <v>623</v>
      </c>
      <c r="Q1062" s="375" t="s">
        <v>623</v>
      </c>
      <c r="R1062" s="695">
        <v>20171030</v>
      </c>
      <c r="S1062" s="375" t="s">
        <v>7433</v>
      </c>
      <c r="T1062" s="696" t="s">
        <v>772</v>
      </c>
      <c r="U1062" s="375" t="s">
        <v>7434</v>
      </c>
      <c r="V1062" s="722">
        <v>62.46</v>
      </c>
      <c r="W1062" s="722">
        <v>2.35</v>
      </c>
      <c r="X1062" s="722">
        <v>0.85</v>
      </c>
      <c r="Y1062" s="722" t="s">
        <v>774</v>
      </c>
      <c r="Z1062" s="382" t="s">
        <v>934</v>
      </c>
      <c r="AA1062" s="372">
        <v>457.32695039999999</v>
      </c>
      <c r="AB1062" s="372">
        <v>673.19918059999998</v>
      </c>
      <c r="AC1062" s="372">
        <v>1487.8306312</v>
      </c>
      <c r="AD1062" s="372">
        <v>2611.2666009</v>
      </c>
      <c r="AE1062" s="372">
        <v>3283</v>
      </c>
      <c r="AF1062" s="372">
        <v>3576</v>
      </c>
      <c r="AG1062" s="372">
        <v>0</v>
      </c>
      <c r="AH1062" s="372">
        <v>0</v>
      </c>
    </row>
    <row r="1063" spans="1:34">
      <c r="A1063" s="372" t="s">
        <v>7435</v>
      </c>
      <c r="B1063" s="373" t="s">
        <v>7436</v>
      </c>
      <c r="C1063" s="372" t="s">
        <v>7437</v>
      </c>
      <c r="D1063" s="374">
        <v>1345110083218</v>
      </c>
      <c r="E1063" s="372" t="s">
        <v>7438</v>
      </c>
      <c r="F1063" s="375" t="s">
        <v>1334</v>
      </c>
      <c r="G1063" s="375" t="s">
        <v>1334</v>
      </c>
      <c r="H1063" s="375" t="s">
        <v>868</v>
      </c>
      <c r="I1063" s="375" t="s">
        <v>869</v>
      </c>
      <c r="J1063" s="375">
        <v>120534.66495000001</v>
      </c>
      <c r="K1063" s="375">
        <v>10457.1908</v>
      </c>
      <c r="L1063" s="375">
        <v>8249.3009500000007</v>
      </c>
      <c r="M1063" s="375">
        <v>100386.71391999999</v>
      </c>
      <c r="N1063" s="372">
        <v>0.78</v>
      </c>
      <c r="O1063" s="703">
        <v>20.15789714104552</v>
      </c>
      <c r="P1063" s="375" t="s">
        <v>623</v>
      </c>
      <c r="Q1063" s="372" t="s">
        <v>623</v>
      </c>
      <c r="R1063" s="695">
        <v>20191014</v>
      </c>
      <c r="S1063" s="372" t="s">
        <v>7439</v>
      </c>
      <c r="T1063" s="696">
        <v>0.20900000000000002</v>
      </c>
      <c r="U1063" s="372" t="s">
        <v>7440</v>
      </c>
      <c r="V1063" s="722">
        <v>0</v>
      </c>
      <c r="W1063" s="722">
        <v>1.44</v>
      </c>
      <c r="X1063" s="722">
        <v>0</v>
      </c>
      <c r="Y1063" s="722">
        <v>0</v>
      </c>
      <c r="Z1063" s="382" t="s">
        <v>934</v>
      </c>
      <c r="AA1063" s="372">
        <v>756.03023350000001</v>
      </c>
      <c r="AB1063" s="372">
        <v>909.67528800000002</v>
      </c>
      <c r="AC1063" s="372">
        <v>1097.2911667000001</v>
      </c>
      <c r="AD1063" s="372">
        <v>1205.3466495</v>
      </c>
      <c r="AE1063" s="372">
        <v>0</v>
      </c>
      <c r="AF1063" s="372">
        <v>0</v>
      </c>
      <c r="AG1063" s="372">
        <v>0</v>
      </c>
      <c r="AH1063" s="372">
        <v>0</v>
      </c>
    </row>
    <row r="1064" spans="1:34">
      <c r="A1064" s="372" t="s">
        <v>7441</v>
      </c>
      <c r="B1064" s="373" t="s">
        <v>7442</v>
      </c>
      <c r="C1064" s="372" t="s">
        <v>7443</v>
      </c>
      <c r="D1064" s="374">
        <v>1358110168906</v>
      </c>
      <c r="E1064" s="372" t="s">
        <v>7444</v>
      </c>
      <c r="F1064" s="375" t="s">
        <v>1124</v>
      </c>
      <c r="G1064" s="375" t="s">
        <v>1347</v>
      </c>
      <c r="H1064" s="375" t="s">
        <v>1348</v>
      </c>
      <c r="I1064" s="375" t="s">
        <v>869</v>
      </c>
      <c r="J1064" s="375">
        <v>0</v>
      </c>
      <c r="K1064" s="375">
        <v>0</v>
      </c>
      <c r="L1064" s="375">
        <v>0</v>
      </c>
      <c r="M1064" s="375">
        <v>61363.391000000003</v>
      </c>
      <c r="N1064" s="372">
        <v>1.2170000000000001</v>
      </c>
      <c r="O1064" s="703">
        <v>9.8250583501060085</v>
      </c>
      <c r="P1064" s="375" t="s">
        <v>623</v>
      </c>
      <c r="Q1064" s="375" t="s">
        <v>623</v>
      </c>
      <c r="R1064" s="695">
        <v>20190612</v>
      </c>
      <c r="S1064" s="375" t="s">
        <v>7445</v>
      </c>
      <c r="T1064" s="696" t="s">
        <v>772</v>
      </c>
      <c r="U1064" s="375" t="s">
        <v>7446</v>
      </c>
      <c r="V1064" s="722">
        <v>0</v>
      </c>
      <c r="W1064" s="722">
        <v>3.44</v>
      </c>
      <c r="X1064" s="722">
        <v>0</v>
      </c>
      <c r="Y1064" s="722">
        <v>0</v>
      </c>
      <c r="Z1064" s="382" t="s">
        <v>934</v>
      </c>
      <c r="AA1064" s="372">
        <v>3.4104420000000002</v>
      </c>
      <c r="AB1064" s="372">
        <v>2.2367675</v>
      </c>
      <c r="AC1064" s="372">
        <v>0.48352850000000003</v>
      </c>
      <c r="AD1064" s="372">
        <v>3.2386881000000001</v>
      </c>
      <c r="AE1064" s="372">
        <v>0</v>
      </c>
      <c r="AF1064" s="372">
        <v>0</v>
      </c>
      <c r="AG1064" s="372">
        <v>0</v>
      </c>
      <c r="AH1064" s="372">
        <v>0</v>
      </c>
    </row>
    <row r="1065" spans="1:34">
      <c r="A1065" s="372" t="s">
        <v>7447</v>
      </c>
      <c r="B1065" s="373" t="s">
        <v>7448</v>
      </c>
      <c r="C1065" s="372" t="s">
        <v>7449</v>
      </c>
      <c r="D1065" s="374">
        <v>1350110103198</v>
      </c>
      <c r="E1065" s="372" t="s">
        <v>7450</v>
      </c>
      <c r="F1065" s="375" t="s">
        <v>2245</v>
      </c>
      <c r="G1065" s="375" t="s">
        <v>2245</v>
      </c>
      <c r="H1065" s="375" t="s">
        <v>868</v>
      </c>
      <c r="I1065" s="375" t="s">
        <v>869</v>
      </c>
      <c r="J1065" s="375">
        <v>1263943.7823399999</v>
      </c>
      <c r="K1065" s="375">
        <v>25996.237349999999</v>
      </c>
      <c r="L1065" s="375">
        <v>21729.356690000001</v>
      </c>
      <c r="M1065" s="375">
        <v>251102.84667999999</v>
      </c>
      <c r="N1065" s="372">
        <v>1.258</v>
      </c>
      <c r="O1065" s="703">
        <v>70.470158950662608</v>
      </c>
      <c r="P1065" s="375" t="s">
        <v>623</v>
      </c>
      <c r="Q1065" s="375" t="s">
        <v>623</v>
      </c>
      <c r="R1065" s="695">
        <v>20050729</v>
      </c>
      <c r="S1065" s="375" t="s">
        <v>7452</v>
      </c>
      <c r="T1065" s="696">
        <v>0.23100000000000001</v>
      </c>
      <c r="U1065" s="375" t="s">
        <v>7453</v>
      </c>
      <c r="V1065" s="722">
        <v>3.66</v>
      </c>
      <c r="W1065" s="722">
        <v>0.78</v>
      </c>
      <c r="X1065" s="722">
        <v>0.13</v>
      </c>
      <c r="Y1065" s="722">
        <v>10.25</v>
      </c>
      <c r="Z1065" s="382" t="s">
        <v>934</v>
      </c>
      <c r="AA1065" s="372">
        <v>16233.8277672</v>
      </c>
      <c r="AB1065" s="372">
        <v>15433.1150072</v>
      </c>
      <c r="AC1065" s="372">
        <v>13550.5648279</v>
      </c>
      <c r="AD1065" s="372">
        <v>12639.4378234</v>
      </c>
      <c r="AE1065" s="372">
        <v>0</v>
      </c>
      <c r="AF1065" s="372">
        <v>0</v>
      </c>
      <c r="AG1065" s="372">
        <v>0</v>
      </c>
      <c r="AH1065" s="372">
        <v>0</v>
      </c>
    </row>
    <row r="1066" spans="1:34">
      <c r="A1066" s="372" t="s">
        <v>7454</v>
      </c>
      <c r="B1066" s="373" t="s">
        <v>7455</v>
      </c>
      <c r="C1066" s="372" t="s">
        <v>7456</v>
      </c>
      <c r="D1066" s="374">
        <v>1345110034097</v>
      </c>
      <c r="E1066" s="372" t="s">
        <v>7457</v>
      </c>
      <c r="F1066" s="375" t="s">
        <v>4233</v>
      </c>
      <c r="G1066" s="375" t="s">
        <v>4234</v>
      </c>
      <c r="H1066" s="375" t="s">
        <v>975</v>
      </c>
      <c r="I1066" s="375" t="s">
        <v>755</v>
      </c>
      <c r="J1066" s="375">
        <v>1585704.9389</v>
      </c>
      <c r="K1066" s="375">
        <v>-19852.125049999999</v>
      </c>
      <c r="L1066" s="375">
        <v>-40592.801959999997</v>
      </c>
      <c r="M1066" s="375">
        <v>402356.81041999999</v>
      </c>
      <c r="N1066" s="372">
        <v>0.88300000000000001</v>
      </c>
      <c r="O1066" s="703">
        <v>116.60934032299075</v>
      </c>
      <c r="P1066" s="375" t="s">
        <v>623</v>
      </c>
      <c r="Q1066" s="375" t="s">
        <v>623</v>
      </c>
      <c r="R1066" s="695">
        <v>20051122</v>
      </c>
      <c r="S1066" s="375" t="s">
        <v>7458</v>
      </c>
      <c r="T1066" s="696" t="s">
        <v>772</v>
      </c>
      <c r="U1066" s="372" t="s">
        <v>7459</v>
      </c>
      <c r="V1066" s="722">
        <v>29.42</v>
      </c>
      <c r="W1066" s="722">
        <v>0.39</v>
      </c>
      <c r="X1066" s="722">
        <v>0.1</v>
      </c>
      <c r="Y1066" s="722" t="s">
        <v>774</v>
      </c>
      <c r="Z1066" s="382">
        <v>3.8025093542766841E-2</v>
      </c>
      <c r="AA1066" s="372">
        <v>13846.296403599999</v>
      </c>
      <c r="AB1066" s="372">
        <v>14065.993119000001</v>
      </c>
      <c r="AC1066" s="372">
        <v>14957.011074599999</v>
      </c>
      <c r="AD1066" s="372">
        <v>15857.049389</v>
      </c>
      <c r="AE1066" s="372">
        <v>17506</v>
      </c>
      <c r="AF1066" s="372">
        <v>17447.5</v>
      </c>
      <c r="AG1066" s="372">
        <v>18410</v>
      </c>
      <c r="AH1066" s="372">
        <v>0</v>
      </c>
    </row>
    <row r="1067" spans="1:34">
      <c r="A1067" s="372" t="s">
        <v>7460</v>
      </c>
      <c r="B1067" s="373" t="s">
        <v>7461</v>
      </c>
      <c r="C1067" s="372" t="s">
        <v>7462</v>
      </c>
      <c r="D1067" s="374">
        <v>1748110000820</v>
      </c>
      <c r="E1067" s="372" t="s">
        <v>7463</v>
      </c>
      <c r="F1067" s="372" t="s">
        <v>1395</v>
      </c>
      <c r="G1067" s="375" t="s">
        <v>1396</v>
      </c>
      <c r="H1067" s="375" t="s">
        <v>4894</v>
      </c>
      <c r="I1067" s="375" t="s">
        <v>869</v>
      </c>
      <c r="J1067" s="375">
        <v>82743.77923</v>
      </c>
      <c r="K1067" s="375">
        <v>6340.7859500000004</v>
      </c>
      <c r="L1067" s="375">
        <v>9456.2196299999996</v>
      </c>
      <c r="M1067" s="375">
        <v>96697.553079999998</v>
      </c>
      <c r="N1067" s="372">
        <v>0.83299999999999996</v>
      </c>
      <c r="O1067" s="703">
        <v>0.38422326828917053</v>
      </c>
      <c r="P1067" s="375" t="s">
        <v>623</v>
      </c>
      <c r="Q1067" s="372" t="s">
        <v>623</v>
      </c>
      <c r="R1067" s="695">
        <v>19950731</v>
      </c>
      <c r="S1067" s="375" t="s">
        <v>7464</v>
      </c>
      <c r="T1067" s="696">
        <v>0.20900000000000002</v>
      </c>
      <c r="U1067" s="372" t="s">
        <v>7465</v>
      </c>
      <c r="V1067" s="722">
        <v>0</v>
      </c>
      <c r="W1067" s="722">
        <v>1.5</v>
      </c>
      <c r="X1067" s="722">
        <v>0</v>
      </c>
      <c r="Y1067" s="722">
        <v>0</v>
      </c>
      <c r="Z1067" s="382" t="s">
        <v>934</v>
      </c>
      <c r="AA1067" s="372">
        <v>354.99042969999999</v>
      </c>
      <c r="AB1067" s="372">
        <v>574.32513540000002</v>
      </c>
      <c r="AC1067" s="372">
        <v>503.01558590000002</v>
      </c>
      <c r="AD1067" s="372">
        <v>827.43779229999996</v>
      </c>
      <c r="AE1067" s="372">
        <v>0</v>
      </c>
      <c r="AF1067" s="372">
        <v>0</v>
      </c>
      <c r="AG1067" s="372">
        <v>0</v>
      </c>
      <c r="AH1067" s="372">
        <v>0</v>
      </c>
    </row>
    <row r="1068" spans="1:34">
      <c r="A1068" s="372" t="s">
        <v>7466</v>
      </c>
      <c r="B1068" s="373" t="s">
        <v>7467</v>
      </c>
      <c r="C1068" s="372" t="s">
        <v>7468</v>
      </c>
      <c r="D1068" s="374">
        <v>1601110097976</v>
      </c>
      <c r="E1068" s="372" t="s">
        <v>7469</v>
      </c>
      <c r="F1068" s="375" t="s">
        <v>1076</v>
      </c>
      <c r="G1068" s="375" t="s">
        <v>1076</v>
      </c>
      <c r="H1068" s="375" t="s">
        <v>3127</v>
      </c>
      <c r="I1068" s="375" t="s">
        <v>869</v>
      </c>
      <c r="J1068" s="375">
        <v>427096.09285999998</v>
      </c>
      <c r="K1068" s="375">
        <v>53112.519610000003</v>
      </c>
      <c r="L1068" s="375">
        <v>45677.084000000003</v>
      </c>
      <c r="M1068" s="375">
        <v>712627.63795</v>
      </c>
      <c r="N1068" s="372">
        <v>0.89300000000000002</v>
      </c>
      <c r="O1068" s="703">
        <v>149.17082467255392</v>
      </c>
      <c r="P1068" s="375" t="s">
        <v>623</v>
      </c>
      <c r="Q1068" s="375" t="s">
        <v>623</v>
      </c>
      <c r="R1068" s="695">
        <v>20110520</v>
      </c>
      <c r="S1068" s="375" t="s">
        <v>3501</v>
      </c>
      <c r="T1068" s="696">
        <v>0.23100000000000001</v>
      </c>
      <c r="U1068" s="372" t="s">
        <v>7470</v>
      </c>
      <c r="V1068" s="722">
        <v>5.08</v>
      </c>
      <c r="W1068" s="722">
        <v>0.23</v>
      </c>
      <c r="X1068" s="722">
        <v>0.38</v>
      </c>
      <c r="Y1068" s="722">
        <v>4.33</v>
      </c>
      <c r="Z1068" s="382" t="s">
        <v>934</v>
      </c>
      <c r="AA1068" s="372">
        <v>2920.2557781</v>
      </c>
      <c r="AB1068" s="372">
        <v>4176.8705308999997</v>
      </c>
      <c r="AC1068" s="372">
        <v>4887.5468400999998</v>
      </c>
      <c r="AD1068" s="372">
        <v>4270.9609286000004</v>
      </c>
      <c r="AE1068" s="372">
        <v>4554</v>
      </c>
      <c r="AF1068" s="372">
        <v>4986</v>
      </c>
      <c r="AG1068" s="372">
        <v>0</v>
      </c>
      <c r="AH1068" s="372">
        <v>0</v>
      </c>
    </row>
    <row r="1069" spans="1:34">
      <c r="A1069" s="372" t="s">
        <v>7471</v>
      </c>
      <c r="B1069" s="373" t="s">
        <v>7472</v>
      </c>
      <c r="C1069" s="372" t="s">
        <v>7473</v>
      </c>
      <c r="D1069" s="374">
        <v>1313110059571</v>
      </c>
      <c r="E1069" s="372" t="s">
        <v>7474</v>
      </c>
      <c r="F1069" s="375" t="s">
        <v>1285</v>
      </c>
      <c r="G1069" s="375" t="s">
        <v>1285</v>
      </c>
      <c r="H1069" s="375" t="s">
        <v>868</v>
      </c>
      <c r="I1069" s="375" t="s">
        <v>869</v>
      </c>
      <c r="J1069" s="375">
        <v>17811.07805</v>
      </c>
      <c r="K1069" s="375">
        <v>761.10231999999996</v>
      </c>
      <c r="L1069" s="375">
        <v>1911.0481400000001</v>
      </c>
      <c r="M1069" s="375">
        <v>50391.350380000003</v>
      </c>
      <c r="N1069" s="372">
        <v>1.4059999999999999</v>
      </c>
      <c r="O1069" s="703">
        <v>0.49151944546414073</v>
      </c>
      <c r="P1069" s="375" t="s">
        <v>623</v>
      </c>
      <c r="Q1069" s="375" t="s">
        <v>623</v>
      </c>
      <c r="R1069" s="695">
        <v>20211111</v>
      </c>
      <c r="S1069" s="375" t="s">
        <v>7475</v>
      </c>
      <c r="T1069" s="696">
        <v>0.20900000000000002</v>
      </c>
      <c r="U1069" s="375" t="s">
        <v>7476</v>
      </c>
      <c r="V1069" s="722">
        <v>0</v>
      </c>
      <c r="W1069" s="722">
        <v>2.98</v>
      </c>
      <c r="X1069" s="722">
        <v>0</v>
      </c>
      <c r="Y1069" s="722">
        <v>0</v>
      </c>
      <c r="Z1069" s="382" t="s">
        <v>934</v>
      </c>
      <c r="AA1069" s="372">
        <v>131.797674</v>
      </c>
      <c r="AB1069" s="372">
        <v>217.01626160000001</v>
      </c>
      <c r="AC1069" s="372">
        <v>286.3613363</v>
      </c>
      <c r="AD1069" s="372">
        <v>178.1107805</v>
      </c>
      <c r="AE1069" s="372">
        <v>0</v>
      </c>
      <c r="AF1069" s="372">
        <v>0</v>
      </c>
      <c r="AG1069" s="372">
        <v>0</v>
      </c>
      <c r="AH1069" s="372">
        <v>0</v>
      </c>
    </row>
    <row r="1070" spans="1:34">
      <c r="A1070" s="372" t="s">
        <v>7477</v>
      </c>
      <c r="B1070" s="373" t="s">
        <v>7478</v>
      </c>
      <c r="C1070" s="372" t="s">
        <v>7479</v>
      </c>
      <c r="D1070" s="374">
        <v>1101110222151</v>
      </c>
      <c r="E1070" s="372" t="s">
        <v>7480</v>
      </c>
      <c r="F1070" s="375" t="s">
        <v>852</v>
      </c>
      <c r="G1070" s="375" t="s">
        <v>852</v>
      </c>
      <c r="H1070" s="375" t="s">
        <v>3127</v>
      </c>
      <c r="I1070" s="375" t="s">
        <v>869</v>
      </c>
      <c r="J1070" s="375">
        <v>316061.90977000003</v>
      </c>
      <c r="K1070" s="375">
        <v>13806.865690000001</v>
      </c>
      <c r="L1070" s="375">
        <v>12123.27477</v>
      </c>
      <c r="M1070" s="375">
        <v>134256.34349999999</v>
      </c>
      <c r="N1070" s="372">
        <v>1.196</v>
      </c>
      <c r="O1070" s="703">
        <v>28.57808815017065</v>
      </c>
      <c r="P1070" s="375" t="s">
        <v>623</v>
      </c>
      <c r="Q1070" s="375" t="s">
        <v>623</v>
      </c>
      <c r="R1070" s="695">
        <v>20010727</v>
      </c>
      <c r="S1070" s="375" t="s">
        <v>7481</v>
      </c>
      <c r="T1070" s="696">
        <v>0.20900000000000002</v>
      </c>
      <c r="U1070" s="372" t="s">
        <v>7482</v>
      </c>
      <c r="V1070" s="722">
        <v>5.45</v>
      </c>
      <c r="W1070" s="722">
        <v>1.45</v>
      </c>
      <c r="X1070" s="722">
        <v>0.48</v>
      </c>
      <c r="Y1070" s="722">
        <v>24.35</v>
      </c>
      <c r="Z1070" s="382" t="s">
        <v>934</v>
      </c>
      <c r="AA1070" s="372">
        <v>2662.2746615999999</v>
      </c>
      <c r="AB1070" s="372">
        <v>2998.3292114000001</v>
      </c>
      <c r="AC1070" s="372">
        <v>3034.5385551999998</v>
      </c>
      <c r="AD1070" s="372">
        <v>3160.6190977000001</v>
      </c>
      <c r="AE1070" s="372">
        <v>2771</v>
      </c>
      <c r="AF1070" s="372">
        <v>0</v>
      </c>
      <c r="AG1070" s="372">
        <v>0</v>
      </c>
      <c r="AH1070" s="372">
        <v>0</v>
      </c>
    </row>
    <row r="1071" spans="1:34">
      <c r="A1071" s="372" t="s">
        <v>7483</v>
      </c>
      <c r="B1071" s="373" t="s">
        <v>7484</v>
      </c>
      <c r="C1071" s="372" t="s">
        <v>7485</v>
      </c>
      <c r="D1071" s="374">
        <v>1954110024732</v>
      </c>
      <c r="E1071" s="372" t="s">
        <v>7486</v>
      </c>
      <c r="F1071" s="375" t="s">
        <v>1136</v>
      </c>
      <c r="G1071" s="375" t="s">
        <v>7487</v>
      </c>
      <c r="H1071" s="375" t="s">
        <v>868</v>
      </c>
      <c r="I1071" s="375" t="s">
        <v>869</v>
      </c>
      <c r="J1071" s="375">
        <v>91142.703330000004</v>
      </c>
      <c r="K1071" s="375">
        <v>877.12513000000001</v>
      </c>
      <c r="L1071" s="375">
        <v>-1075.5039400000001</v>
      </c>
      <c r="M1071" s="375">
        <v>58410.70998</v>
      </c>
      <c r="N1071" s="372">
        <v>0.93200000000000005</v>
      </c>
      <c r="O1071" s="703">
        <v>43.55186647785834</v>
      </c>
      <c r="P1071" s="375" t="s">
        <v>623</v>
      </c>
      <c r="Q1071" s="372" t="s">
        <v>623</v>
      </c>
      <c r="R1071" s="695">
        <v>20200303</v>
      </c>
      <c r="S1071" s="372" t="s">
        <v>7488</v>
      </c>
      <c r="T1071" s="696" t="s">
        <v>772</v>
      </c>
      <c r="U1071" s="372" t="s">
        <v>7489</v>
      </c>
      <c r="V1071" s="722">
        <v>34.15</v>
      </c>
      <c r="W1071" s="722">
        <v>2.75</v>
      </c>
      <c r="X1071" s="722">
        <v>1.76</v>
      </c>
      <c r="Y1071" s="722" t="s">
        <v>774</v>
      </c>
      <c r="Z1071" s="382" t="s">
        <v>934</v>
      </c>
      <c r="AA1071" s="372">
        <v>316.47423959999998</v>
      </c>
      <c r="AB1071" s="372">
        <v>546.82087379999996</v>
      </c>
      <c r="AC1071" s="372">
        <v>758.55078820000006</v>
      </c>
      <c r="AD1071" s="372">
        <v>911.42703329999995</v>
      </c>
      <c r="AE1071" s="372">
        <v>1340</v>
      </c>
      <c r="AF1071" s="372">
        <v>1522</v>
      </c>
      <c r="AG1071" s="372">
        <v>0</v>
      </c>
      <c r="AH1071" s="372">
        <v>0</v>
      </c>
    </row>
    <row r="1072" spans="1:34">
      <c r="A1072" s="372" t="s">
        <v>7490</v>
      </c>
      <c r="B1072" s="373" t="s">
        <v>7491</v>
      </c>
      <c r="C1072" s="372" t="s">
        <v>7492</v>
      </c>
      <c r="D1072" s="374">
        <v>1812110000922</v>
      </c>
      <c r="E1072" s="372" t="s">
        <v>7493</v>
      </c>
      <c r="F1072" s="375" t="s">
        <v>2030</v>
      </c>
      <c r="G1072" s="375" t="s">
        <v>2030</v>
      </c>
      <c r="H1072" s="375" t="s">
        <v>797</v>
      </c>
      <c r="I1072" s="375" t="s">
        <v>755</v>
      </c>
      <c r="J1072" s="375">
        <v>1875890.05063</v>
      </c>
      <c r="K1072" s="375">
        <v>27728.234769999999</v>
      </c>
      <c r="L1072" s="375">
        <v>11121.28513</v>
      </c>
      <c r="M1072" s="375">
        <v>91061.754830000005</v>
      </c>
      <c r="N1072" s="372">
        <v>0.98899999999999999</v>
      </c>
      <c r="O1072" s="703">
        <v>32.504648366150853</v>
      </c>
      <c r="P1072" s="375" t="s">
        <v>623</v>
      </c>
      <c r="Q1072" s="375" t="s">
        <v>623</v>
      </c>
      <c r="R1072" s="695">
        <v>19970623</v>
      </c>
      <c r="S1072" s="375" t="s">
        <v>7494</v>
      </c>
      <c r="T1072" s="696">
        <v>0.20900000000000002</v>
      </c>
      <c r="U1072" s="375" t="s">
        <v>7495</v>
      </c>
      <c r="V1072" s="722">
        <v>4.78</v>
      </c>
      <c r="W1072" s="722">
        <v>2.02</v>
      </c>
      <c r="X1072" s="722">
        <v>0.1</v>
      </c>
      <c r="Y1072" s="722">
        <v>15.52</v>
      </c>
      <c r="Z1072" s="382" t="s">
        <v>934</v>
      </c>
      <c r="AA1072" s="372">
        <v>12920.249882</v>
      </c>
      <c r="AB1072" s="372">
        <v>13482.3691473</v>
      </c>
      <c r="AC1072" s="372">
        <v>15420.2624431</v>
      </c>
      <c r="AD1072" s="372">
        <v>18758.9005063</v>
      </c>
      <c r="AE1072" s="372">
        <v>0</v>
      </c>
      <c r="AF1072" s="372">
        <v>0</v>
      </c>
      <c r="AG1072" s="372">
        <v>0</v>
      </c>
      <c r="AH1072" s="372">
        <v>0</v>
      </c>
    </row>
    <row r="1073" spans="1:34">
      <c r="A1073" s="372" t="s">
        <v>7496</v>
      </c>
      <c r="B1073" s="373" t="s">
        <v>7497</v>
      </c>
      <c r="C1073" s="372" t="s">
        <v>7498</v>
      </c>
      <c r="D1073" s="374">
        <v>1614110049889</v>
      </c>
      <c r="E1073" s="372" t="s">
        <v>7499</v>
      </c>
      <c r="F1073" s="375" t="s">
        <v>887</v>
      </c>
      <c r="G1073" s="375" t="s">
        <v>887</v>
      </c>
      <c r="H1073" s="375" t="s">
        <v>868</v>
      </c>
      <c r="I1073" s="375" t="s">
        <v>869</v>
      </c>
      <c r="J1073" s="375">
        <v>0</v>
      </c>
      <c r="K1073" s="375">
        <v>0</v>
      </c>
      <c r="L1073" s="375">
        <v>0</v>
      </c>
      <c r="M1073" s="375">
        <v>102411.53817</v>
      </c>
      <c r="N1073" s="372" t="s">
        <v>1033</v>
      </c>
      <c r="O1073" s="703">
        <v>67.43342567632024</v>
      </c>
      <c r="P1073" s="375" t="s">
        <v>623</v>
      </c>
      <c r="Q1073" s="375" t="s">
        <v>623</v>
      </c>
      <c r="R1073" s="695">
        <v>20230203</v>
      </c>
      <c r="S1073" s="375" t="s">
        <v>7500</v>
      </c>
      <c r="T1073" s="696" t="s">
        <v>772</v>
      </c>
      <c r="U1073" s="372" t="s">
        <v>7501</v>
      </c>
      <c r="V1073" s="722">
        <v>0</v>
      </c>
      <c r="W1073" s="722">
        <v>2.29</v>
      </c>
      <c r="X1073" s="722">
        <v>0</v>
      </c>
      <c r="Y1073" s="722">
        <v>0</v>
      </c>
      <c r="Z1073" s="382" t="s">
        <v>934</v>
      </c>
      <c r="AA1073" s="372">
        <v>183.02782239999999</v>
      </c>
      <c r="AB1073" s="372">
        <v>1168.6128633000001</v>
      </c>
      <c r="AC1073" s="372">
        <v>1070.29528</v>
      </c>
      <c r="AD1073" s="372">
        <v>908.5353652</v>
      </c>
      <c r="AE1073" s="372">
        <v>0</v>
      </c>
      <c r="AF1073" s="372">
        <v>0</v>
      </c>
      <c r="AG1073" s="372">
        <v>0</v>
      </c>
      <c r="AH1073" s="372">
        <v>0</v>
      </c>
    </row>
    <row r="1074" spans="1:34">
      <c r="A1074" s="372" t="s">
        <v>7502</v>
      </c>
      <c r="B1074" s="373" t="s">
        <v>7503</v>
      </c>
      <c r="C1074" s="372" t="s">
        <v>7504</v>
      </c>
      <c r="D1074" s="374">
        <v>1942110094409</v>
      </c>
      <c r="E1074" s="372" t="s">
        <v>7505</v>
      </c>
      <c r="F1074" s="372" t="s">
        <v>3248</v>
      </c>
      <c r="G1074" s="375" t="s">
        <v>3248</v>
      </c>
      <c r="H1074" s="375" t="s">
        <v>868</v>
      </c>
      <c r="I1074" s="375" t="s">
        <v>869</v>
      </c>
      <c r="J1074" s="375">
        <v>323817.90840999997</v>
      </c>
      <c r="K1074" s="375">
        <v>13051.719129999999</v>
      </c>
      <c r="L1074" s="375">
        <v>8935.0074000000004</v>
      </c>
      <c r="M1074" s="375">
        <v>71389.274479999993</v>
      </c>
      <c r="N1074" s="372" t="s">
        <v>1033</v>
      </c>
      <c r="O1074" s="703">
        <v>47.430046403598325</v>
      </c>
      <c r="P1074" s="375" t="s">
        <v>623</v>
      </c>
      <c r="Q1074" s="375" t="s">
        <v>623</v>
      </c>
      <c r="R1074" s="695">
        <v>20221223</v>
      </c>
      <c r="S1074" s="375" t="s">
        <v>7506</v>
      </c>
      <c r="T1074" s="696">
        <v>0.20900000000000002</v>
      </c>
      <c r="U1074" s="372" t="s">
        <v>7507</v>
      </c>
      <c r="V1074" s="722">
        <v>11.44</v>
      </c>
      <c r="W1074" s="722">
        <v>1.72</v>
      </c>
      <c r="X1074" s="722">
        <v>0.38</v>
      </c>
      <c r="Y1074" s="722">
        <v>19.29</v>
      </c>
      <c r="Z1074" s="382" t="s">
        <v>934</v>
      </c>
      <c r="AA1074" s="372">
        <v>2153.8275614999998</v>
      </c>
      <c r="AB1074" s="372">
        <v>3433.2406080000001</v>
      </c>
      <c r="AC1074" s="372">
        <v>3810.3198659</v>
      </c>
      <c r="AD1074" s="372">
        <v>3238.1790841000002</v>
      </c>
      <c r="AE1074" s="372">
        <v>0</v>
      </c>
      <c r="AF1074" s="372">
        <v>0</v>
      </c>
      <c r="AG1074" s="372">
        <v>0</v>
      </c>
      <c r="AH1074" s="372">
        <v>0</v>
      </c>
    </row>
    <row r="1075" spans="1:34">
      <c r="A1075" s="372" t="s">
        <v>7508</v>
      </c>
      <c r="B1075" s="373" t="s">
        <v>7509</v>
      </c>
      <c r="C1075" s="372" t="s">
        <v>7510</v>
      </c>
      <c r="D1075" s="374">
        <v>1942110000133</v>
      </c>
      <c r="E1075" s="372" t="s">
        <v>7511</v>
      </c>
      <c r="F1075" s="372" t="s">
        <v>1633</v>
      </c>
      <c r="G1075" s="375" t="s">
        <v>1633</v>
      </c>
      <c r="H1075" s="375" t="s">
        <v>1050</v>
      </c>
      <c r="I1075" s="375" t="s">
        <v>755</v>
      </c>
      <c r="J1075" s="375">
        <v>173103.35092999999</v>
      </c>
      <c r="K1075" s="375">
        <v>2508.0743200000002</v>
      </c>
      <c r="L1075" s="375">
        <v>2943.43667</v>
      </c>
      <c r="M1075" s="375">
        <v>62336.376750000003</v>
      </c>
      <c r="N1075" s="372">
        <v>0.90900000000000003</v>
      </c>
      <c r="O1075" s="703">
        <v>4.1130555423012405</v>
      </c>
      <c r="P1075" s="375" t="s">
        <v>623</v>
      </c>
      <c r="Q1075" s="372" t="s">
        <v>623</v>
      </c>
      <c r="R1075" s="695">
        <v>19890510</v>
      </c>
      <c r="S1075" s="372" t="s">
        <v>7512</v>
      </c>
      <c r="T1075" s="696">
        <v>0.20900000000000002</v>
      </c>
      <c r="U1075" s="372" t="s">
        <v>7513</v>
      </c>
      <c r="V1075" s="722">
        <v>0</v>
      </c>
      <c r="W1075" s="722">
        <v>2.5299999999999998</v>
      </c>
      <c r="X1075" s="722">
        <v>0</v>
      </c>
      <c r="Y1075" s="722">
        <v>0</v>
      </c>
      <c r="Z1075" s="382" t="s">
        <v>934</v>
      </c>
      <c r="AA1075" s="372">
        <v>1320.7544989999999</v>
      </c>
      <c r="AB1075" s="372">
        <v>1366.9747768</v>
      </c>
      <c r="AC1075" s="372">
        <v>1601.5448994999999</v>
      </c>
      <c r="AD1075" s="372">
        <v>1731.0335093000001</v>
      </c>
      <c r="AE1075" s="372">
        <v>0</v>
      </c>
      <c r="AF1075" s="372">
        <v>0</v>
      </c>
      <c r="AG1075" s="372">
        <v>0</v>
      </c>
      <c r="AH1075" s="372">
        <v>0</v>
      </c>
    </row>
    <row r="1076" spans="1:34">
      <c r="A1076" s="372" t="s">
        <v>7514</v>
      </c>
      <c r="B1076" s="373" t="s">
        <v>7515</v>
      </c>
      <c r="C1076" s="372" t="s">
        <v>7516</v>
      </c>
      <c r="D1076" s="374">
        <v>1101112262890</v>
      </c>
      <c r="E1076" s="372" t="s">
        <v>7517</v>
      </c>
      <c r="F1076" s="375" t="s">
        <v>7518</v>
      </c>
      <c r="G1076" s="375" t="s">
        <v>7518</v>
      </c>
      <c r="H1076" s="375" t="s">
        <v>1348</v>
      </c>
      <c r="I1076" s="375" t="s">
        <v>869</v>
      </c>
      <c r="J1076" s="375">
        <v>46745.087440000003</v>
      </c>
      <c r="K1076" s="375">
        <v>-12084.04177</v>
      </c>
      <c r="L1076" s="375">
        <v>-26978.709709999999</v>
      </c>
      <c r="M1076" s="375">
        <v>28796.493310000002</v>
      </c>
      <c r="N1076" s="372" t="s">
        <v>1033</v>
      </c>
      <c r="O1076" s="703">
        <v>29.882120243805133</v>
      </c>
      <c r="P1076" s="375" t="s">
        <v>623</v>
      </c>
      <c r="Q1076" s="375" t="s">
        <v>623</v>
      </c>
      <c r="R1076" s="695">
        <v>20141215</v>
      </c>
      <c r="S1076" s="375" t="s">
        <v>7519</v>
      </c>
      <c r="T1076" s="696" t="s">
        <v>772</v>
      </c>
      <c r="U1076" s="372" t="s">
        <v>16042</v>
      </c>
      <c r="V1076" s="722" t="s">
        <v>774</v>
      </c>
      <c r="W1076" s="722">
        <v>8.43</v>
      </c>
      <c r="X1076" s="722">
        <v>3.74</v>
      </c>
      <c r="Y1076" s="722" t="s">
        <v>774</v>
      </c>
      <c r="Z1076" s="382" t="s">
        <v>934</v>
      </c>
      <c r="AA1076" s="372">
        <v>76.964253400000004</v>
      </c>
      <c r="AB1076" s="372">
        <v>74.702969999999993</v>
      </c>
      <c r="AC1076" s="372">
        <v>321.84379150000001</v>
      </c>
      <c r="AD1076" s="372">
        <v>467.45087439999998</v>
      </c>
      <c r="AE1076" s="372">
        <v>0</v>
      </c>
      <c r="AF1076" s="372">
        <v>0</v>
      </c>
      <c r="AG1076" s="372">
        <v>0</v>
      </c>
      <c r="AH1076" s="372">
        <v>0</v>
      </c>
    </row>
    <row r="1077" spans="1:34">
      <c r="A1077" s="372" t="s">
        <v>7520</v>
      </c>
      <c r="B1077" s="373" t="s">
        <v>7521</v>
      </c>
      <c r="C1077" s="372" t="s">
        <v>16161</v>
      </c>
      <c r="D1077" s="374">
        <v>1101110162191</v>
      </c>
      <c r="E1077" s="372" t="s">
        <v>16043</v>
      </c>
      <c r="F1077" s="375" t="s">
        <v>2509</v>
      </c>
      <c r="G1077" s="375" t="s">
        <v>2510</v>
      </c>
      <c r="H1077" s="375" t="s">
        <v>868</v>
      </c>
      <c r="I1077" s="375" t="s">
        <v>869</v>
      </c>
      <c r="J1077" s="375">
        <v>76780.298500000004</v>
      </c>
      <c r="K1077" s="375">
        <v>979.21839</v>
      </c>
      <c r="L1077" s="375">
        <v>-470.31682000000001</v>
      </c>
      <c r="M1077" s="375">
        <v>38094.157749999998</v>
      </c>
      <c r="N1077" s="372" t="s">
        <v>1033</v>
      </c>
      <c r="O1077" s="703">
        <v>17.233571764227051</v>
      </c>
      <c r="P1077" s="375" t="s">
        <v>623</v>
      </c>
      <c r="Q1077" s="375" t="s">
        <v>623</v>
      </c>
      <c r="R1077" s="695">
        <v>19900720</v>
      </c>
      <c r="S1077" s="375" t="s">
        <v>7522</v>
      </c>
      <c r="T1077" s="696" t="s">
        <v>772</v>
      </c>
      <c r="U1077" s="372" t="s">
        <v>7523</v>
      </c>
      <c r="V1077" s="722">
        <v>0</v>
      </c>
      <c r="W1077" s="722">
        <v>2.2999999999999998</v>
      </c>
      <c r="X1077" s="722">
        <v>0</v>
      </c>
      <c r="Y1077" s="722">
        <v>0</v>
      </c>
      <c r="Z1077" s="382" t="s">
        <v>934</v>
      </c>
      <c r="AA1077" s="372">
        <v>376.21830820000002</v>
      </c>
      <c r="AB1077" s="372">
        <v>456.03510030000001</v>
      </c>
      <c r="AC1077" s="372">
        <v>666.12579110000001</v>
      </c>
      <c r="AD1077" s="372">
        <v>767.80298500000004</v>
      </c>
      <c r="AE1077" s="372">
        <v>0</v>
      </c>
      <c r="AF1077" s="372">
        <v>0</v>
      </c>
      <c r="AG1077" s="372">
        <v>0</v>
      </c>
      <c r="AH1077" s="372">
        <v>0</v>
      </c>
    </row>
    <row r="1078" spans="1:34">
      <c r="A1078" s="372" t="s">
        <v>7524</v>
      </c>
      <c r="B1078" s="373" t="s">
        <v>7525</v>
      </c>
      <c r="C1078" s="372" t="s">
        <v>7526</v>
      </c>
      <c r="D1078" s="374">
        <v>1101112303305</v>
      </c>
      <c r="E1078" s="372" t="s">
        <v>7527</v>
      </c>
      <c r="F1078" s="375" t="s">
        <v>3210</v>
      </c>
      <c r="G1078" s="375" t="s">
        <v>3211</v>
      </c>
      <c r="H1078" s="375" t="s">
        <v>1348</v>
      </c>
      <c r="I1078" s="375" t="s">
        <v>869</v>
      </c>
      <c r="J1078" s="375">
        <v>41099.194539999997</v>
      </c>
      <c r="K1078" s="375">
        <v>12605.818939999999</v>
      </c>
      <c r="L1078" s="375">
        <v>14117.61817</v>
      </c>
      <c r="M1078" s="375">
        <v>45471.180899999999</v>
      </c>
      <c r="N1078" s="372">
        <v>0.56899999999999995</v>
      </c>
      <c r="O1078" s="703">
        <v>0.12293898298958654</v>
      </c>
      <c r="P1078" s="375" t="s">
        <v>623</v>
      </c>
      <c r="Q1078" s="375" t="s">
        <v>623</v>
      </c>
      <c r="R1078" s="695">
        <v>20081024</v>
      </c>
      <c r="S1078" s="375" t="s">
        <v>7528</v>
      </c>
      <c r="T1078" s="696">
        <v>0.20900000000000002</v>
      </c>
      <c r="U1078" s="375" t="s">
        <v>7529</v>
      </c>
      <c r="V1078" s="722">
        <v>12.33</v>
      </c>
      <c r="W1078" s="722">
        <v>3.68</v>
      </c>
      <c r="X1078" s="722">
        <v>4.07</v>
      </c>
      <c r="Y1078" s="722">
        <v>14.25</v>
      </c>
      <c r="Z1078" s="382" t="s">
        <v>934</v>
      </c>
      <c r="AA1078" s="372">
        <v>429.06193739999998</v>
      </c>
      <c r="AB1078" s="372">
        <v>457.03148449999998</v>
      </c>
      <c r="AC1078" s="372">
        <v>471.30065580000002</v>
      </c>
      <c r="AD1078" s="372">
        <v>410.99194540000002</v>
      </c>
      <c r="AE1078" s="372">
        <v>431</v>
      </c>
      <c r="AF1078" s="372">
        <v>458</v>
      </c>
      <c r="AG1078" s="372">
        <v>0</v>
      </c>
      <c r="AH1078" s="372">
        <v>0</v>
      </c>
    </row>
    <row r="1079" spans="1:34">
      <c r="A1079" s="372" t="s">
        <v>7530</v>
      </c>
      <c r="B1079" s="373" t="s">
        <v>7531</v>
      </c>
      <c r="C1079" s="372" t="s">
        <v>7532</v>
      </c>
      <c r="D1079" s="374">
        <v>1101111902835</v>
      </c>
      <c r="E1079" s="372" t="s">
        <v>7533</v>
      </c>
      <c r="F1079" s="375" t="s">
        <v>2880</v>
      </c>
      <c r="G1079" s="375" t="s">
        <v>2880</v>
      </c>
      <c r="H1079" s="375" t="s">
        <v>1348</v>
      </c>
      <c r="I1079" s="375" t="s">
        <v>869</v>
      </c>
      <c r="J1079" s="375">
        <v>211548.80300000001</v>
      </c>
      <c r="K1079" s="375">
        <v>25023.41373</v>
      </c>
      <c r="L1079" s="375">
        <v>21733.600869999998</v>
      </c>
      <c r="M1079" s="375">
        <v>168731.32290999999</v>
      </c>
      <c r="N1079" s="372">
        <v>0.65600000000000003</v>
      </c>
      <c r="O1079" s="703">
        <v>12.097523410452087</v>
      </c>
      <c r="P1079" s="375" t="s">
        <v>623</v>
      </c>
      <c r="Q1079" s="372" t="s">
        <v>623</v>
      </c>
      <c r="R1079" s="695">
        <v>20031015</v>
      </c>
      <c r="S1079" s="372" t="s">
        <v>7534</v>
      </c>
      <c r="T1079" s="696">
        <v>0.23100000000000001</v>
      </c>
      <c r="U1079" s="372" t="s">
        <v>7535</v>
      </c>
      <c r="V1079" s="722">
        <v>4.53</v>
      </c>
      <c r="W1079" s="722">
        <v>1.01</v>
      </c>
      <c r="X1079" s="722">
        <v>0.8</v>
      </c>
      <c r="Y1079" s="722">
        <v>13.47</v>
      </c>
      <c r="Z1079" s="382">
        <v>8.7969966384979781E-2</v>
      </c>
      <c r="AA1079" s="372">
        <v>1484.5062757999999</v>
      </c>
      <c r="AB1079" s="372">
        <v>1969.0439815</v>
      </c>
      <c r="AC1079" s="372">
        <v>2108.1758402</v>
      </c>
      <c r="AD1079" s="372">
        <v>2115.48803</v>
      </c>
      <c r="AE1079" s="372">
        <v>2428.67</v>
      </c>
      <c r="AF1079" s="372">
        <v>2814</v>
      </c>
      <c r="AG1079" s="372">
        <v>2964</v>
      </c>
      <c r="AH1079" s="372">
        <v>0</v>
      </c>
    </row>
    <row r="1080" spans="1:34">
      <c r="A1080" s="372" t="s">
        <v>7536</v>
      </c>
      <c r="B1080" s="373" t="s">
        <v>7537</v>
      </c>
      <c r="C1080" s="372" t="s">
        <v>7538</v>
      </c>
      <c r="D1080" s="374">
        <v>1344110046664</v>
      </c>
      <c r="E1080" s="372" t="s">
        <v>7539</v>
      </c>
      <c r="F1080" s="375" t="s">
        <v>5353</v>
      </c>
      <c r="G1080" s="375" t="s">
        <v>5353</v>
      </c>
      <c r="H1080" s="375" t="s">
        <v>1327</v>
      </c>
      <c r="I1080" s="375" t="s">
        <v>755</v>
      </c>
      <c r="J1080" s="375">
        <v>1906005.30112</v>
      </c>
      <c r="K1080" s="375">
        <v>97522.940180000005</v>
      </c>
      <c r="L1080" s="375">
        <v>31618.408879999999</v>
      </c>
      <c r="M1080" s="375">
        <v>443102.25631999999</v>
      </c>
      <c r="N1080" s="372">
        <v>1.0109999999999999</v>
      </c>
      <c r="O1080" s="703">
        <v>367.96863728436779</v>
      </c>
      <c r="P1080" s="375" t="s">
        <v>623</v>
      </c>
      <c r="Q1080" s="372" t="s">
        <v>623</v>
      </c>
      <c r="R1080" s="695">
        <v>20110216</v>
      </c>
      <c r="S1080" s="372" t="s">
        <v>7540</v>
      </c>
      <c r="T1080" s="696">
        <v>0.23100000000000001</v>
      </c>
      <c r="U1080" s="372" t="s">
        <v>7541</v>
      </c>
      <c r="V1080" s="722">
        <v>4.7</v>
      </c>
      <c r="W1080" s="722">
        <v>0.37</v>
      </c>
      <c r="X1080" s="722">
        <v>0.08</v>
      </c>
      <c r="Y1080" s="722">
        <v>11.31</v>
      </c>
      <c r="Z1080" s="382" t="s">
        <v>934</v>
      </c>
      <c r="AA1080" s="372">
        <v>13480.893430100001</v>
      </c>
      <c r="AB1080" s="372">
        <v>15287.4976121</v>
      </c>
      <c r="AC1080" s="372">
        <v>18707.811856299999</v>
      </c>
      <c r="AD1080" s="372">
        <v>19060.053011200001</v>
      </c>
      <c r="AE1080" s="372">
        <v>0</v>
      </c>
      <c r="AF1080" s="372">
        <v>0</v>
      </c>
      <c r="AG1080" s="372">
        <v>0</v>
      </c>
      <c r="AH1080" s="372">
        <v>0</v>
      </c>
    </row>
    <row r="1081" spans="1:34">
      <c r="A1081" s="372" t="s">
        <v>7542</v>
      </c>
      <c r="B1081" s="373" t="s">
        <v>7543</v>
      </c>
      <c r="C1081" s="372" t="s">
        <v>7544</v>
      </c>
      <c r="D1081" s="374">
        <v>1101110048490</v>
      </c>
      <c r="E1081" s="372" t="s">
        <v>7545</v>
      </c>
      <c r="F1081" s="375" t="s">
        <v>2193</v>
      </c>
      <c r="G1081" s="375" t="s">
        <v>2194</v>
      </c>
      <c r="H1081" s="375" t="s">
        <v>1481</v>
      </c>
      <c r="I1081" s="375" t="s">
        <v>755</v>
      </c>
      <c r="J1081" s="375">
        <v>679233.43558000005</v>
      </c>
      <c r="K1081" s="375">
        <v>15186.111919999999</v>
      </c>
      <c r="L1081" s="375">
        <v>13564.28989</v>
      </c>
      <c r="M1081" s="375">
        <v>177374.80966</v>
      </c>
      <c r="N1081" s="372">
        <v>0.96499999999999997</v>
      </c>
      <c r="O1081" s="703">
        <v>56.125119365322597</v>
      </c>
      <c r="P1081" s="375" t="s">
        <v>623</v>
      </c>
      <c r="Q1081" s="375" t="s">
        <v>623</v>
      </c>
      <c r="R1081" s="695">
        <v>19770625</v>
      </c>
      <c r="S1081" s="375" t="s">
        <v>7546</v>
      </c>
      <c r="T1081" s="696">
        <v>0.20900000000000002</v>
      </c>
      <c r="U1081" s="372" t="s">
        <v>7547</v>
      </c>
      <c r="V1081" s="722">
        <v>11.05</v>
      </c>
      <c r="W1081" s="722">
        <v>0.78</v>
      </c>
      <c r="X1081" s="722">
        <v>0.21</v>
      </c>
      <c r="Y1081" s="722">
        <v>9.65</v>
      </c>
      <c r="Z1081" s="382">
        <v>5.1328877460042222E-2</v>
      </c>
      <c r="AA1081" s="372">
        <v>4840.1321846999999</v>
      </c>
      <c r="AB1081" s="372">
        <v>6289.1239212999999</v>
      </c>
      <c r="AC1081" s="372">
        <v>7479.3598843999998</v>
      </c>
      <c r="AD1081" s="372">
        <v>6792.3343557999997</v>
      </c>
      <c r="AE1081" s="372">
        <v>7154</v>
      </c>
      <c r="AF1081" s="372">
        <v>7647</v>
      </c>
      <c r="AG1081" s="372">
        <v>8298</v>
      </c>
      <c r="AH1081" s="372">
        <v>0</v>
      </c>
    </row>
    <row r="1082" spans="1:34">
      <c r="A1082" s="372" t="s">
        <v>7548</v>
      </c>
      <c r="B1082" s="373" t="s">
        <v>7549</v>
      </c>
      <c r="C1082" s="372" t="s">
        <v>7550</v>
      </c>
      <c r="D1082" s="374">
        <v>1351110074149</v>
      </c>
      <c r="E1082" s="372" t="s">
        <v>7551</v>
      </c>
      <c r="F1082" s="375" t="s">
        <v>2742</v>
      </c>
      <c r="G1082" s="375" t="s">
        <v>2742</v>
      </c>
      <c r="H1082" s="375" t="s">
        <v>1388</v>
      </c>
      <c r="I1082" s="375" t="s">
        <v>869</v>
      </c>
      <c r="J1082" s="375">
        <v>83264.313850000006</v>
      </c>
      <c r="K1082" s="375">
        <v>-7176.0062399999997</v>
      </c>
      <c r="L1082" s="375">
        <v>-10359.885039999999</v>
      </c>
      <c r="M1082" s="375">
        <v>147468.84143999999</v>
      </c>
      <c r="N1082" s="372">
        <v>0.94399999999999995</v>
      </c>
      <c r="O1082" s="703">
        <v>25.867738940064132</v>
      </c>
      <c r="P1082" s="375" t="s">
        <v>623</v>
      </c>
      <c r="Q1082" s="372" t="s">
        <v>623</v>
      </c>
      <c r="R1082" s="695">
        <v>20101026</v>
      </c>
      <c r="S1082" s="372" t="s">
        <v>7552</v>
      </c>
      <c r="T1082" s="696" t="s">
        <v>772</v>
      </c>
      <c r="U1082" s="372" t="s">
        <v>7553</v>
      </c>
      <c r="V1082" s="722">
        <v>32.96</v>
      </c>
      <c r="W1082" s="722">
        <v>1.06</v>
      </c>
      <c r="X1082" s="722">
        <v>1.82</v>
      </c>
      <c r="Y1082" s="722" t="s">
        <v>774</v>
      </c>
      <c r="Z1082" s="382" t="s">
        <v>934</v>
      </c>
      <c r="AA1082" s="372">
        <v>455.68591029999999</v>
      </c>
      <c r="AB1082" s="372">
        <v>647.41204760000005</v>
      </c>
      <c r="AC1082" s="372">
        <v>766.53831100000002</v>
      </c>
      <c r="AD1082" s="372">
        <v>832.64313849999996</v>
      </c>
      <c r="AE1082" s="372">
        <v>0</v>
      </c>
      <c r="AF1082" s="372">
        <v>0</v>
      </c>
      <c r="AG1082" s="372">
        <v>0</v>
      </c>
      <c r="AH1082" s="372">
        <v>0</v>
      </c>
    </row>
    <row r="1083" spans="1:34">
      <c r="A1083" s="372" t="s">
        <v>7554</v>
      </c>
      <c r="B1083" s="373" t="s">
        <v>7555</v>
      </c>
      <c r="C1083" s="372" t="s">
        <v>7556</v>
      </c>
      <c r="D1083" s="374">
        <v>1601110119712</v>
      </c>
      <c r="E1083" s="372" t="s">
        <v>7557</v>
      </c>
      <c r="F1083" s="372" t="s">
        <v>3210</v>
      </c>
      <c r="G1083" s="375" t="s">
        <v>3211</v>
      </c>
      <c r="H1083" s="375" t="s">
        <v>823</v>
      </c>
      <c r="I1083" s="375" t="s">
        <v>755</v>
      </c>
      <c r="J1083" s="375">
        <v>1035365.64032</v>
      </c>
      <c r="K1083" s="375">
        <v>18723.573550000001</v>
      </c>
      <c r="L1083" s="375">
        <v>19981.952270000002</v>
      </c>
      <c r="M1083" s="375">
        <v>200050.48048</v>
      </c>
      <c r="N1083" s="372">
        <v>0.74399999999999999</v>
      </c>
      <c r="O1083" s="703">
        <v>0</v>
      </c>
      <c r="P1083" s="375" t="s">
        <v>623</v>
      </c>
      <c r="Q1083" s="372" t="s">
        <v>623</v>
      </c>
      <c r="R1083" s="695">
        <v>20100916</v>
      </c>
      <c r="S1083" s="372" t="s">
        <v>7558</v>
      </c>
      <c r="T1083" s="696">
        <v>0.20900000000000002</v>
      </c>
      <c r="U1083" s="372" t="s">
        <v>7559</v>
      </c>
      <c r="V1083" s="722">
        <v>4.17</v>
      </c>
      <c r="W1083" s="722">
        <v>0.76</v>
      </c>
      <c r="X1083" s="722">
        <v>0.15</v>
      </c>
      <c r="Y1083" s="722">
        <v>10.49</v>
      </c>
      <c r="Z1083" s="382" t="s">
        <v>934</v>
      </c>
      <c r="AA1083" s="372">
        <v>9317.0367425999993</v>
      </c>
      <c r="AB1083" s="372">
        <v>9657.2121518999993</v>
      </c>
      <c r="AC1083" s="372">
        <v>10294.6697004</v>
      </c>
      <c r="AD1083" s="372">
        <v>10353.656403200001</v>
      </c>
      <c r="AE1083" s="372">
        <v>0</v>
      </c>
      <c r="AF1083" s="372">
        <v>0</v>
      </c>
      <c r="AG1083" s="372">
        <v>0</v>
      </c>
      <c r="AH1083" s="372">
        <v>0</v>
      </c>
    </row>
    <row r="1084" spans="1:34">
      <c r="A1084" s="372" t="s">
        <v>7560</v>
      </c>
      <c r="B1084" s="373" t="s">
        <v>7561</v>
      </c>
      <c r="C1084" s="372" t="s">
        <v>7562</v>
      </c>
      <c r="D1084" s="374">
        <v>1311110164978</v>
      </c>
      <c r="E1084" s="372" t="s">
        <v>7563</v>
      </c>
      <c r="F1084" s="375" t="s">
        <v>1195</v>
      </c>
      <c r="G1084" s="375" t="s">
        <v>3144</v>
      </c>
      <c r="H1084" s="375" t="s">
        <v>868</v>
      </c>
      <c r="I1084" s="375" t="s">
        <v>869</v>
      </c>
      <c r="J1084" s="375">
        <v>81783.667509999999</v>
      </c>
      <c r="K1084" s="375">
        <v>1976.70227</v>
      </c>
      <c r="L1084" s="375">
        <v>-2812.7251500000002</v>
      </c>
      <c r="M1084" s="375">
        <v>132983.4363</v>
      </c>
      <c r="N1084" s="372">
        <v>0.94599999999999995</v>
      </c>
      <c r="O1084" s="703">
        <v>17.88493226283807</v>
      </c>
      <c r="P1084" s="375" t="s">
        <v>623</v>
      </c>
      <c r="Q1084" s="375" t="s">
        <v>623</v>
      </c>
      <c r="R1084" s="695">
        <v>20170713</v>
      </c>
      <c r="S1084" s="375" t="s">
        <v>7564</v>
      </c>
      <c r="T1084" s="696" t="s">
        <v>772</v>
      </c>
      <c r="U1084" s="372" t="s">
        <v>7565</v>
      </c>
      <c r="V1084" s="722">
        <v>46.53</v>
      </c>
      <c r="W1084" s="722">
        <v>1.43</v>
      </c>
      <c r="X1084" s="722">
        <v>2.16</v>
      </c>
      <c r="Y1084" s="722">
        <v>59.53</v>
      </c>
      <c r="Z1084" s="382" t="s">
        <v>934</v>
      </c>
      <c r="AA1084" s="372">
        <v>310.87428820000002</v>
      </c>
      <c r="AB1084" s="372">
        <v>510.90254370000002</v>
      </c>
      <c r="AC1084" s="372">
        <v>597.83165589999999</v>
      </c>
      <c r="AD1084" s="372">
        <v>817.83667509999998</v>
      </c>
      <c r="AE1084" s="372">
        <v>1239</v>
      </c>
      <c r="AF1084" s="372">
        <v>0</v>
      </c>
      <c r="AG1084" s="372">
        <v>0</v>
      </c>
      <c r="AH1084" s="372">
        <v>0</v>
      </c>
    </row>
    <row r="1085" spans="1:34">
      <c r="A1085" s="372" t="s">
        <v>7566</v>
      </c>
      <c r="B1085" s="373" t="s">
        <v>7567</v>
      </c>
      <c r="C1085" s="372" t="s">
        <v>7568</v>
      </c>
      <c r="D1085" s="374">
        <v>1201110228610</v>
      </c>
      <c r="E1085" s="372" t="s">
        <v>7569</v>
      </c>
      <c r="F1085" s="372" t="s">
        <v>1005</v>
      </c>
      <c r="G1085" s="375" t="s">
        <v>1006</v>
      </c>
      <c r="H1085" s="375" t="s">
        <v>1388</v>
      </c>
      <c r="I1085" s="375" t="s">
        <v>869</v>
      </c>
      <c r="J1085" s="375">
        <v>48569.682999999997</v>
      </c>
      <c r="K1085" s="375">
        <v>-3076.3739999999998</v>
      </c>
      <c r="L1085" s="375">
        <v>-2960.0749999999998</v>
      </c>
      <c r="M1085" s="375">
        <v>52802.721210000003</v>
      </c>
      <c r="N1085" s="372">
        <v>1.1870000000000001</v>
      </c>
      <c r="O1085" s="703">
        <v>4.3801078558122475</v>
      </c>
      <c r="P1085" s="375" t="s">
        <v>623</v>
      </c>
      <c r="Q1085" s="375" t="s">
        <v>623</v>
      </c>
      <c r="R1085" s="695">
        <v>20150925</v>
      </c>
      <c r="S1085" s="375" t="s">
        <v>7570</v>
      </c>
      <c r="T1085" s="696" t="s">
        <v>772</v>
      </c>
      <c r="U1085" s="372" t="s">
        <v>7571</v>
      </c>
      <c r="V1085" s="722">
        <v>0</v>
      </c>
      <c r="W1085" s="722">
        <v>2.39</v>
      </c>
      <c r="X1085" s="722">
        <v>0</v>
      </c>
      <c r="Y1085" s="722">
        <v>0</v>
      </c>
      <c r="Z1085" s="382" t="s">
        <v>934</v>
      </c>
      <c r="AA1085" s="372">
        <v>435.51647270000001</v>
      </c>
      <c r="AB1085" s="372">
        <v>503.17508770000001</v>
      </c>
      <c r="AC1085" s="372">
        <v>580.72251000000006</v>
      </c>
      <c r="AD1085" s="372">
        <v>485.69682999999998</v>
      </c>
      <c r="AE1085" s="372">
        <v>0</v>
      </c>
      <c r="AF1085" s="372">
        <v>0</v>
      </c>
      <c r="AG1085" s="372">
        <v>0</v>
      </c>
      <c r="AH1085" s="372">
        <v>0</v>
      </c>
    </row>
    <row r="1086" spans="1:34">
      <c r="A1086" s="372" t="s">
        <v>7572</v>
      </c>
      <c r="B1086" s="373" t="s">
        <v>7573</v>
      </c>
      <c r="C1086" s="372" t="s">
        <v>16162</v>
      </c>
      <c r="D1086" s="374">
        <v>1812110000758</v>
      </c>
      <c r="E1086" s="372" t="s">
        <v>16163</v>
      </c>
      <c r="F1086" s="372" t="s">
        <v>1881</v>
      </c>
      <c r="G1086" s="375" t="s">
        <v>1882</v>
      </c>
      <c r="H1086" s="375" t="s">
        <v>797</v>
      </c>
      <c r="I1086" s="375" t="s">
        <v>755</v>
      </c>
      <c r="J1086" s="375">
        <v>1792324.07528</v>
      </c>
      <c r="K1086" s="375">
        <v>51864.00245</v>
      </c>
      <c r="L1086" s="375">
        <v>33723.947180000003</v>
      </c>
      <c r="M1086" s="375">
        <v>411894.48797999998</v>
      </c>
      <c r="N1086" s="372">
        <v>1.282</v>
      </c>
      <c r="O1086" s="703">
        <v>161.51622051512612</v>
      </c>
      <c r="P1086" s="375" t="s">
        <v>623</v>
      </c>
      <c r="Q1086" s="375" t="s">
        <v>623</v>
      </c>
      <c r="R1086" s="695">
        <v>19971226</v>
      </c>
      <c r="S1086" s="375" t="s">
        <v>7574</v>
      </c>
      <c r="T1086" s="696">
        <v>0.23100000000000001</v>
      </c>
      <c r="U1086" s="375" t="s">
        <v>7575</v>
      </c>
      <c r="V1086" s="722">
        <v>2.1</v>
      </c>
      <c r="W1086" s="722">
        <v>0.39</v>
      </c>
      <c r="X1086" s="722">
        <v>0.09</v>
      </c>
      <c r="Y1086" s="722">
        <v>41.06</v>
      </c>
      <c r="Z1086" s="382" t="s">
        <v>934</v>
      </c>
      <c r="AA1086" s="372">
        <v>11827.744476600001</v>
      </c>
      <c r="AB1086" s="372">
        <v>15482.494047800001</v>
      </c>
      <c r="AC1086" s="372">
        <v>18583.242989400002</v>
      </c>
      <c r="AD1086" s="372">
        <v>17923.2407528</v>
      </c>
      <c r="AE1086" s="372">
        <v>0</v>
      </c>
      <c r="AF1086" s="372">
        <v>0</v>
      </c>
      <c r="AG1086" s="372">
        <v>0</v>
      </c>
      <c r="AH1086" s="372">
        <v>0</v>
      </c>
    </row>
    <row r="1087" spans="1:34">
      <c r="A1087" s="372" t="s">
        <v>7576</v>
      </c>
      <c r="B1087" s="373" t="s">
        <v>7577</v>
      </c>
      <c r="C1087" s="372" t="s">
        <v>16164</v>
      </c>
      <c r="D1087" s="374">
        <v>1101116384963</v>
      </c>
      <c r="E1087" s="372" t="s">
        <v>7578</v>
      </c>
      <c r="F1087" s="375" t="s">
        <v>1381</v>
      </c>
      <c r="G1087" s="375" t="s">
        <v>1381</v>
      </c>
      <c r="H1087" s="375" t="s">
        <v>1693</v>
      </c>
      <c r="I1087" s="375" t="s">
        <v>869</v>
      </c>
      <c r="J1087" s="375">
        <v>0</v>
      </c>
      <c r="K1087" s="375">
        <v>0</v>
      </c>
      <c r="L1087" s="375">
        <v>0</v>
      </c>
      <c r="M1087" s="375">
        <v>14712.478859999999</v>
      </c>
      <c r="N1087" s="372" t="s">
        <v>1033</v>
      </c>
      <c r="O1087" s="703">
        <v>12.370738177482469</v>
      </c>
      <c r="P1087" s="375" t="s">
        <v>623</v>
      </c>
      <c r="Q1087" s="372" t="s">
        <v>623</v>
      </c>
      <c r="R1087" s="695">
        <v>20230831</v>
      </c>
      <c r="S1087" s="375" t="s">
        <v>7579</v>
      </c>
      <c r="T1087" s="696" t="s">
        <v>772</v>
      </c>
      <c r="U1087" s="375" t="s">
        <v>7580</v>
      </c>
      <c r="V1087" s="722">
        <v>0</v>
      </c>
      <c r="W1087" s="722">
        <v>8.15</v>
      </c>
      <c r="X1087" s="722">
        <v>0</v>
      </c>
      <c r="Y1087" s="722">
        <v>0</v>
      </c>
      <c r="Z1087" s="382" t="s">
        <v>934</v>
      </c>
      <c r="AA1087" s="372">
        <v>73.954431999999997</v>
      </c>
      <c r="AB1087" s="372">
        <v>86.857901999999996</v>
      </c>
      <c r="AC1087" s="372">
        <v>118.9641967</v>
      </c>
      <c r="AD1087" s="372">
        <v>239.78460229999999</v>
      </c>
      <c r="AE1087" s="372">
        <v>0</v>
      </c>
      <c r="AF1087" s="372">
        <v>0</v>
      </c>
      <c r="AG1087" s="372">
        <v>0</v>
      </c>
      <c r="AH1087" s="372">
        <v>0</v>
      </c>
    </row>
    <row r="1088" spans="1:34">
      <c r="A1088" s="372" t="s">
        <v>7581</v>
      </c>
      <c r="B1088" s="373" t="s">
        <v>7582</v>
      </c>
      <c r="C1088" s="372" t="s">
        <v>7583</v>
      </c>
      <c r="D1088" s="374">
        <v>1341110002878</v>
      </c>
      <c r="E1088" s="372" t="s">
        <v>7584</v>
      </c>
      <c r="F1088" s="375" t="s">
        <v>900</v>
      </c>
      <c r="G1088" s="375" t="s">
        <v>901</v>
      </c>
      <c r="H1088" s="375" t="s">
        <v>862</v>
      </c>
      <c r="I1088" s="375" t="s">
        <v>755</v>
      </c>
      <c r="J1088" s="375">
        <v>1214616.5298299999</v>
      </c>
      <c r="K1088" s="375">
        <v>67435.854560000007</v>
      </c>
      <c r="L1088" s="375">
        <v>68926.554470000003</v>
      </c>
      <c r="M1088" s="375">
        <v>693791.64651999995</v>
      </c>
      <c r="N1088" s="372">
        <v>0.878</v>
      </c>
      <c r="O1088" s="703">
        <v>147.17954192630543</v>
      </c>
      <c r="P1088" s="375" t="s">
        <v>623</v>
      </c>
      <c r="Q1088" s="372" t="s">
        <v>623</v>
      </c>
      <c r="R1088" s="695">
        <v>19730810</v>
      </c>
      <c r="S1088" s="372" t="s">
        <v>2662</v>
      </c>
      <c r="T1088" s="696">
        <v>0.23100000000000001</v>
      </c>
      <c r="U1088" s="372" t="s">
        <v>7585</v>
      </c>
      <c r="V1088" s="722">
        <v>4.6500000000000004</v>
      </c>
      <c r="W1088" s="722">
        <v>0.37</v>
      </c>
      <c r="X1088" s="722">
        <v>0.13</v>
      </c>
      <c r="Y1088" s="722">
        <v>6.09</v>
      </c>
      <c r="Z1088" s="382">
        <v>3.1304437377122074E-2</v>
      </c>
      <c r="AA1088" s="372">
        <v>8480.2749077000008</v>
      </c>
      <c r="AB1088" s="372">
        <v>9552.1402359999993</v>
      </c>
      <c r="AC1088" s="372">
        <v>10317.349165899999</v>
      </c>
      <c r="AD1088" s="372">
        <v>12146.1652983</v>
      </c>
      <c r="AE1088" s="372">
        <v>12600</v>
      </c>
      <c r="AF1088" s="372">
        <v>13180</v>
      </c>
      <c r="AG1088" s="372">
        <v>13740</v>
      </c>
      <c r="AH1088" s="372">
        <v>0</v>
      </c>
    </row>
    <row r="1089" spans="1:34">
      <c r="A1089" s="372" t="s">
        <v>7586</v>
      </c>
      <c r="B1089" s="373" t="s">
        <v>7587</v>
      </c>
      <c r="C1089" s="372" t="s">
        <v>7588</v>
      </c>
      <c r="D1089" s="374">
        <v>1101113500249</v>
      </c>
      <c r="E1089" s="372" t="s">
        <v>7589</v>
      </c>
      <c r="F1089" s="375" t="s">
        <v>1104</v>
      </c>
      <c r="G1089" s="375" t="s">
        <v>1105</v>
      </c>
      <c r="H1089" s="375" t="s">
        <v>832</v>
      </c>
      <c r="I1089" s="375" t="s">
        <v>755</v>
      </c>
      <c r="J1089" s="375">
        <v>151091.52791999999</v>
      </c>
      <c r="K1089" s="375">
        <v>9616.9358100000009</v>
      </c>
      <c r="L1089" s="375">
        <v>4553.2039699999996</v>
      </c>
      <c r="M1089" s="375">
        <v>101358.38261</v>
      </c>
      <c r="N1089" s="372">
        <v>0.4</v>
      </c>
      <c r="O1089" s="703">
        <v>35.56479794394081</v>
      </c>
      <c r="P1089" s="375" t="s">
        <v>623</v>
      </c>
      <c r="Q1089" s="372" t="s">
        <v>623</v>
      </c>
      <c r="R1089" s="695">
        <v>20150710</v>
      </c>
      <c r="S1089" s="372" t="s">
        <v>5300</v>
      </c>
      <c r="T1089" s="696">
        <v>0.20900000000000002</v>
      </c>
      <c r="U1089" s="375" t="s">
        <v>7590</v>
      </c>
      <c r="V1089" s="722">
        <v>9.48</v>
      </c>
      <c r="W1089" s="722">
        <v>1.04</v>
      </c>
      <c r="X1089" s="722">
        <v>0.67</v>
      </c>
      <c r="Y1089" s="722">
        <v>27.48</v>
      </c>
      <c r="Z1089" s="382" t="s">
        <v>934</v>
      </c>
      <c r="AA1089" s="372">
        <v>1134.5857605000001</v>
      </c>
      <c r="AB1089" s="372">
        <v>1146.4813819999999</v>
      </c>
      <c r="AC1089" s="372">
        <v>1267.4501619</v>
      </c>
      <c r="AD1089" s="372">
        <v>1510.9152792</v>
      </c>
      <c r="AE1089" s="372">
        <v>1847</v>
      </c>
      <c r="AF1089" s="372">
        <v>2146</v>
      </c>
      <c r="AG1089" s="372">
        <v>0</v>
      </c>
      <c r="AH1089" s="372">
        <v>0</v>
      </c>
    </row>
    <row r="1090" spans="1:34">
      <c r="A1090" s="372" t="s">
        <v>7591</v>
      </c>
      <c r="B1090" s="373" t="s">
        <v>7592</v>
      </c>
      <c r="C1090" s="372" t="s">
        <v>7593</v>
      </c>
      <c r="D1090" s="374">
        <v>1701110271528</v>
      </c>
      <c r="E1090" s="372" t="s">
        <v>7594</v>
      </c>
      <c r="F1090" s="375" t="s">
        <v>1889</v>
      </c>
      <c r="G1090" s="375" t="s">
        <v>7595</v>
      </c>
      <c r="H1090" s="375" t="s">
        <v>868</v>
      </c>
      <c r="I1090" s="375" t="s">
        <v>869</v>
      </c>
      <c r="J1090" s="375">
        <v>25375.405449999998</v>
      </c>
      <c r="K1090" s="375">
        <v>-8807.3161500000006</v>
      </c>
      <c r="L1090" s="375">
        <v>-25657.92841</v>
      </c>
      <c r="M1090" s="375">
        <v>122340.46308</v>
      </c>
      <c r="N1090" s="372">
        <v>0.61399999999999999</v>
      </c>
      <c r="O1090" s="703">
        <v>8.1074003466401194</v>
      </c>
      <c r="P1090" s="375" t="s">
        <v>623</v>
      </c>
      <c r="Q1090" s="375" t="s">
        <v>623</v>
      </c>
      <c r="R1090" s="695">
        <v>20150413</v>
      </c>
      <c r="S1090" s="375" t="s">
        <v>7596</v>
      </c>
      <c r="T1090" s="696" t="s">
        <v>772</v>
      </c>
      <c r="U1090" s="375" t="s">
        <v>7597</v>
      </c>
      <c r="V1090" s="722" t="s">
        <v>774</v>
      </c>
      <c r="W1090" s="722">
        <v>1.27</v>
      </c>
      <c r="X1090" s="722">
        <v>6.11</v>
      </c>
      <c r="Y1090" s="722" t="s">
        <v>774</v>
      </c>
      <c r="Z1090" s="382" t="s">
        <v>934</v>
      </c>
      <c r="AA1090" s="372">
        <v>357.9722716</v>
      </c>
      <c r="AB1090" s="372">
        <v>329.13986569999997</v>
      </c>
      <c r="AC1090" s="372">
        <v>221.1207076</v>
      </c>
      <c r="AD1090" s="372">
        <v>253.7540545</v>
      </c>
      <c r="AE1090" s="372">
        <v>0</v>
      </c>
      <c r="AF1090" s="372">
        <v>0</v>
      </c>
      <c r="AG1090" s="372">
        <v>0</v>
      </c>
      <c r="AH1090" s="372">
        <v>0</v>
      </c>
    </row>
    <row r="1091" spans="1:34">
      <c r="A1091" s="372" t="s">
        <v>7598</v>
      </c>
      <c r="B1091" s="373" t="s">
        <v>7599</v>
      </c>
      <c r="C1091" s="372" t="s">
        <v>7600</v>
      </c>
      <c r="D1091" s="374">
        <v>1501110081963</v>
      </c>
      <c r="E1091" s="372" t="s">
        <v>7601</v>
      </c>
      <c r="F1091" s="375" t="s">
        <v>1774</v>
      </c>
      <c r="G1091" s="375" t="s">
        <v>1774</v>
      </c>
      <c r="H1091" s="375" t="s">
        <v>868</v>
      </c>
      <c r="I1091" s="375" t="s">
        <v>869</v>
      </c>
      <c r="J1091" s="375">
        <v>34880.929940000002</v>
      </c>
      <c r="K1091" s="375">
        <v>5960.65967</v>
      </c>
      <c r="L1091" s="375">
        <v>7326.9771600000004</v>
      </c>
      <c r="M1091" s="375">
        <v>59262.744890000002</v>
      </c>
      <c r="N1091" s="372">
        <v>1.1259999999999999</v>
      </c>
      <c r="O1091" s="703">
        <v>0</v>
      </c>
      <c r="P1091" s="375" t="s">
        <v>623</v>
      </c>
      <c r="Q1091" s="372" t="s">
        <v>623</v>
      </c>
      <c r="R1091" s="695">
        <v>20210910</v>
      </c>
      <c r="S1091" s="372" t="s">
        <v>7602</v>
      </c>
      <c r="T1091" s="696">
        <v>0.20900000000000002</v>
      </c>
      <c r="U1091" s="372" t="s">
        <v>7603</v>
      </c>
      <c r="V1091" s="722">
        <v>0</v>
      </c>
      <c r="W1091" s="722">
        <v>2.79</v>
      </c>
      <c r="X1091" s="722">
        <v>0</v>
      </c>
      <c r="Y1091" s="722">
        <v>0</v>
      </c>
      <c r="Z1091" s="382" t="s">
        <v>934</v>
      </c>
      <c r="AA1091" s="372">
        <v>170.36669090000001</v>
      </c>
      <c r="AB1091" s="372">
        <v>300.29977889999998</v>
      </c>
      <c r="AC1091" s="372">
        <v>492.93430009999997</v>
      </c>
      <c r="AD1091" s="372">
        <v>348.80929939999999</v>
      </c>
      <c r="AE1091" s="372">
        <v>0</v>
      </c>
      <c r="AF1091" s="372">
        <v>0</v>
      </c>
      <c r="AG1091" s="372">
        <v>0</v>
      </c>
      <c r="AH1091" s="372">
        <v>0</v>
      </c>
    </row>
    <row r="1092" spans="1:34">
      <c r="A1092" s="372" t="s">
        <v>7604</v>
      </c>
      <c r="B1092" s="373" t="s">
        <v>7605</v>
      </c>
      <c r="C1092" s="372" t="s">
        <v>7606</v>
      </c>
      <c r="D1092" s="374">
        <v>1101110012437</v>
      </c>
      <c r="E1092" s="372" t="s">
        <v>7607</v>
      </c>
      <c r="F1092" s="372" t="s">
        <v>1970</v>
      </c>
      <c r="G1092" s="375" t="s">
        <v>2522</v>
      </c>
      <c r="H1092" s="375" t="s">
        <v>832</v>
      </c>
      <c r="I1092" s="375" t="s">
        <v>755</v>
      </c>
      <c r="J1092" s="375">
        <v>134407.37179</v>
      </c>
      <c r="K1092" s="375">
        <v>2392.4904000000001</v>
      </c>
      <c r="L1092" s="375">
        <v>9867.9627099999998</v>
      </c>
      <c r="M1092" s="375">
        <v>717116.73919999995</v>
      </c>
      <c r="N1092" s="372">
        <v>0.84299999999999997</v>
      </c>
      <c r="O1092" s="703">
        <v>3.6941033156421965</v>
      </c>
      <c r="P1092" s="375" t="s">
        <v>623</v>
      </c>
      <c r="Q1092" s="375" t="s">
        <v>623</v>
      </c>
      <c r="R1092" s="695">
        <v>19851223</v>
      </c>
      <c r="S1092" s="375" t="s">
        <v>7608</v>
      </c>
      <c r="T1092" s="696">
        <v>0.20900000000000002</v>
      </c>
      <c r="U1092" s="372" t="s">
        <v>7609</v>
      </c>
      <c r="V1092" s="722">
        <v>0</v>
      </c>
      <c r="W1092" s="722">
        <v>0.19</v>
      </c>
      <c r="X1092" s="722">
        <v>0</v>
      </c>
      <c r="Y1092" s="722">
        <v>0</v>
      </c>
      <c r="Z1092" s="382" t="s">
        <v>934</v>
      </c>
      <c r="AA1092" s="372">
        <v>868.93259069999999</v>
      </c>
      <c r="AB1092" s="372">
        <v>1173.4687465</v>
      </c>
      <c r="AC1092" s="372">
        <v>1508.6421226</v>
      </c>
      <c r="AD1092" s="372">
        <v>1344.0737179</v>
      </c>
      <c r="AE1092" s="372">
        <v>0</v>
      </c>
      <c r="AF1092" s="372">
        <v>0</v>
      </c>
      <c r="AG1092" s="372">
        <v>0</v>
      </c>
      <c r="AH1092" s="372">
        <v>0</v>
      </c>
    </row>
    <row r="1093" spans="1:34">
      <c r="A1093" s="372" t="s">
        <v>7610</v>
      </c>
      <c r="B1093" s="373" t="s">
        <v>7611</v>
      </c>
      <c r="C1093" s="372" t="s">
        <v>7612</v>
      </c>
      <c r="D1093" s="374">
        <v>1101111549108</v>
      </c>
      <c r="E1093" s="372" t="s">
        <v>7613</v>
      </c>
      <c r="F1093" s="372" t="s">
        <v>5569</v>
      </c>
      <c r="G1093" s="375" t="s">
        <v>5569</v>
      </c>
      <c r="H1093" s="375" t="s">
        <v>868</v>
      </c>
      <c r="I1093" s="375" t="s">
        <v>869</v>
      </c>
      <c r="J1093" s="375">
        <v>15633.542229999999</v>
      </c>
      <c r="K1093" s="375">
        <v>-6808.7460499999997</v>
      </c>
      <c r="L1093" s="375">
        <v>-215391.93043000001</v>
      </c>
      <c r="M1093" s="375">
        <v>117324.91938000001</v>
      </c>
      <c r="N1093" s="372">
        <v>0.70899999999999996</v>
      </c>
      <c r="O1093" s="703">
        <v>12.295521788086839</v>
      </c>
      <c r="P1093" s="375" t="s">
        <v>623</v>
      </c>
      <c r="Q1093" s="375" t="s">
        <v>623</v>
      </c>
      <c r="R1093" s="695">
        <v>20040102</v>
      </c>
      <c r="S1093" s="375" t="s">
        <v>7614</v>
      </c>
      <c r="T1093" s="696" t="s">
        <v>772</v>
      </c>
      <c r="U1093" s="372" t="s">
        <v>7615</v>
      </c>
      <c r="V1093" s="722">
        <v>0</v>
      </c>
      <c r="W1093" s="722">
        <v>1.73</v>
      </c>
      <c r="X1093" s="722">
        <v>0</v>
      </c>
      <c r="Y1093" s="722">
        <v>0</v>
      </c>
      <c r="Z1093" s="382" t="s">
        <v>934</v>
      </c>
      <c r="AA1093" s="372">
        <v>253.75539989999999</v>
      </c>
      <c r="AB1093" s="372">
        <v>179.11455659999999</v>
      </c>
      <c r="AC1093" s="372">
        <v>207.21222979999999</v>
      </c>
      <c r="AD1093" s="372">
        <v>156.3354223</v>
      </c>
      <c r="AE1093" s="372">
        <v>0</v>
      </c>
      <c r="AF1093" s="372">
        <v>0</v>
      </c>
      <c r="AG1093" s="372">
        <v>0</v>
      </c>
      <c r="AH1093" s="372">
        <v>0</v>
      </c>
    </row>
    <row r="1094" spans="1:34">
      <c r="A1094" s="372" t="s">
        <v>7616</v>
      </c>
      <c r="B1094" s="373" t="s">
        <v>7617</v>
      </c>
      <c r="C1094" s="372" t="s">
        <v>7618</v>
      </c>
      <c r="D1094" s="374">
        <v>1301110007765</v>
      </c>
      <c r="E1094" s="372" t="s">
        <v>7619</v>
      </c>
      <c r="F1094" s="375" t="s">
        <v>1592</v>
      </c>
      <c r="G1094" s="375" t="s">
        <v>1593</v>
      </c>
      <c r="H1094" s="375" t="s">
        <v>868</v>
      </c>
      <c r="I1094" s="375" t="s">
        <v>869</v>
      </c>
      <c r="J1094" s="375">
        <v>78494.668720000001</v>
      </c>
      <c r="K1094" s="375">
        <v>3348.74116</v>
      </c>
      <c r="L1094" s="375">
        <v>4414.9573399999999</v>
      </c>
      <c r="M1094" s="375">
        <v>84819.637700000007</v>
      </c>
      <c r="N1094" s="372">
        <v>1.1910000000000001</v>
      </c>
      <c r="O1094" s="703">
        <v>0.13019406866972705</v>
      </c>
      <c r="P1094" s="375" t="s">
        <v>623</v>
      </c>
      <c r="Q1094" s="375" t="s">
        <v>623</v>
      </c>
      <c r="R1094" s="695">
        <v>19940831</v>
      </c>
      <c r="S1094" s="375" t="s">
        <v>7620</v>
      </c>
      <c r="T1094" s="696">
        <v>0.20900000000000002</v>
      </c>
      <c r="U1094" s="375" t="s">
        <v>7621</v>
      </c>
      <c r="V1094" s="722">
        <v>0</v>
      </c>
      <c r="W1094" s="722">
        <v>1.88</v>
      </c>
      <c r="X1094" s="722">
        <v>0</v>
      </c>
      <c r="Y1094" s="722">
        <v>0</v>
      </c>
      <c r="Z1094" s="382" t="s">
        <v>934</v>
      </c>
      <c r="AA1094" s="372">
        <v>820.79528679999999</v>
      </c>
      <c r="AB1094" s="372">
        <v>685.39018080000005</v>
      </c>
      <c r="AC1094" s="372">
        <v>541.98727499999995</v>
      </c>
      <c r="AD1094" s="372">
        <v>784.94668720000004</v>
      </c>
      <c r="AE1094" s="372">
        <v>0</v>
      </c>
      <c r="AF1094" s="372">
        <v>0</v>
      </c>
      <c r="AG1094" s="372">
        <v>0</v>
      </c>
      <c r="AH1094" s="372">
        <v>0</v>
      </c>
    </row>
    <row r="1095" spans="1:34">
      <c r="A1095" s="372" t="s">
        <v>7622</v>
      </c>
      <c r="B1095" s="373" t="s">
        <v>7623</v>
      </c>
      <c r="C1095" s="372" t="s">
        <v>7624</v>
      </c>
      <c r="D1095" s="374">
        <v>2111110040569</v>
      </c>
      <c r="E1095" s="372" t="s">
        <v>7625</v>
      </c>
      <c r="F1095" s="375" t="s">
        <v>1368</v>
      </c>
      <c r="G1095" s="375" t="s">
        <v>1368</v>
      </c>
      <c r="H1095" s="375" t="s">
        <v>1388</v>
      </c>
      <c r="I1095" s="375" t="s">
        <v>869</v>
      </c>
      <c r="J1095" s="375">
        <v>43362.684670000002</v>
      </c>
      <c r="K1095" s="375">
        <v>4086.0216</v>
      </c>
      <c r="L1095" s="375">
        <v>3740.1479800000002</v>
      </c>
      <c r="M1095" s="375">
        <v>64694.112719999997</v>
      </c>
      <c r="N1095" s="372" t="s">
        <v>1033</v>
      </c>
      <c r="O1095" s="703">
        <v>22.247116451327354</v>
      </c>
      <c r="P1095" s="375" t="s">
        <v>623</v>
      </c>
      <c r="Q1095" s="375" t="s">
        <v>623</v>
      </c>
      <c r="R1095" s="695">
        <v>20221104</v>
      </c>
      <c r="S1095" s="375" t="s">
        <v>7626</v>
      </c>
      <c r="T1095" s="696">
        <v>0.20900000000000002</v>
      </c>
      <c r="U1095" s="372" t="s">
        <v>7627</v>
      </c>
      <c r="V1095" s="722">
        <v>23.25</v>
      </c>
      <c r="W1095" s="722">
        <v>2.04</v>
      </c>
      <c r="X1095" s="722">
        <v>3.07</v>
      </c>
      <c r="Y1095" s="722">
        <v>35.479999999999997</v>
      </c>
      <c r="Z1095" s="382" t="s">
        <v>934</v>
      </c>
      <c r="AA1095" s="372">
        <v>198.93358409999999</v>
      </c>
      <c r="AB1095" s="372">
        <v>204.97514390000001</v>
      </c>
      <c r="AC1095" s="372">
        <v>682.82477630000005</v>
      </c>
      <c r="AD1095" s="372">
        <v>433.62684669999999</v>
      </c>
      <c r="AE1095" s="372">
        <v>721.45</v>
      </c>
      <c r="AF1095" s="372">
        <v>0</v>
      </c>
      <c r="AG1095" s="372">
        <v>0</v>
      </c>
      <c r="AH1095" s="372">
        <v>0</v>
      </c>
    </row>
    <row r="1096" spans="1:34">
      <c r="A1096" s="372" t="s">
        <v>7628</v>
      </c>
      <c r="B1096" s="373" t="s">
        <v>7629</v>
      </c>
      <c r="C1096" s="372" t="s">
        <v>7630</v>
      </c>
      <c r="D1096" s="374">
        <v>1101111773872</v>
      </c>
      <c r="E1096" s="372" t="s">
        <v>7631</v>
      </c>
      <c r="F1096" s="372" t="s">
        <v>1062</v>
      </c>
      <c r="G1096" s="375" t="s">
        <v>1062</v>
      </c>
      <c r="H1096" s="375" t="s">
        <v>868</v>
      </c>
      <c r="I1096" s="375" t="s">
        <v>869</v>
      </c>
      <c r="J1096" s="375">
        <v>78032.037339999995</v>
      </c>
      <c r="K1096" s="375">
        <v>-4154.8762900000002</v>
      </c>
      <c r="L1096" s="375">
        <v>-23532.130229999999</v>
      </c>
      <c r="M1096" s="375">
        <v>49948.93088</v>
      </c>
      <c r="N1096" s="372">
        <v>0.85399999999999998</v>
      </c>
      <c r="O1096" s="703">
        <v>24.035334368451831</v>
      </c>
      <c r="P1096" s="375" t="s">
        <v>623</v>
      </c>
      <c r="Q1096" s="372" t="s">
        <v>623</v>
      </c>
      <c r="R1096" s="695">
        <v>20091009</v>
      </c>
      <c r="S1096" s="372" t="s">
        <v>7632</v>
      </c>
      <c r="T1096" s="696" t="s">
        <v>772</v>
      </c>
      <c r="U1096" s="372" t="s">
        <v>7633</v>
      </c>
      <c r="V1096" s="722">
        <v>241.65</v>
      </c>
      <c r="W1096" s="722">
        <v>3.95</v>
      </c>
      <c r="X1096" s="722">
        <v>2.78</v>
      </c>
      <c r="Y1096" s="722" t="s">
        <v>774</v>
      </c>
      <c r="Z1096" s="382" t="s">
        <v>934</v>
      </c>
      <c r="AA1096" s="372">
        <v>800.98456520000002</v>
      </c>
      <c r="AB1096" s="372">
        <v>590.98032799999999</v>
      </c>
      <c r="AC1096" s="372">
        <v>744.58999040000003</v>
      </c>
      <c r="AD1096" s="372">
        <v>780.32037339999999</v>
      </c>
      <c r="AE1096" s="372">
        <v>1240</v>
      </c>
      <c r="AF1096" s="372">
        <v>1505</v>
      </c>
      <c r="AG1096" s="372">
        <v>0</v>
      </c>
      <c r="AH1096" s="372">
        <v>0</v>
      </c>
    </row>
    <row r="1097" spans="1:34">
      <c r="A1097" s="372" t="s">
        <v>7634</v>
      </c>
      <c r="B1097" s="373" t="s">
        <v>7635</v>
      </c>
      <c r="C1097" s="372" t="s">
        <v>7636</v>
      </c>
      <c r="D1097" s="374">
        <v>1101111626188</v>
      </c>
      <c r="E1097" s="372" t="s">
        <v>7637</v>
      </c>
      <c r="F1097" s="375" t="s">
        <v>1814</v>
      </c>
      <c r="G1097" s="375" t="s">
        <v>2821</v>
      </c>
      <c r="H1097" s="375" t="s">
        <v>1693</v>
      </c>
      <c r="I1097" s="375" t="s">
        <v>869</v>
      </c>
      <c r="J1097" s="375">
        <v>155313.87531999999</v>
      </c>
      <c r="K1097" s="375">
        <v>8717.5658199999998</v>
      </c>
      <c r="L1097" s="375">
        <v>1494.63914</v>
      </c>
      <c r="M1097" s="375">
        <v>118635.7265</v>
      </c>
      <c r="N1097" s="372">
        <v>1.111</v>
      </c>
      <c r="O1097" s="703">
        <v>4.8907870429798477</v>
      </c>
      <c r="P1097" s="375" t="s">
        <v>623</v>
      </c>
      <c r="Q1097" s="375" t="s">
        <v>623</v>
      </c>
      <c r="R1097" s="695">
        <v>20060926</v>
      </c>
      <c r="S1097" s="375" t="s">
        <v>7638</v>
      </c>
      <c r="T1097" s="696">
        <v>0.20900000000000002</v>
      </c>
      <c r="U1097" s="375" t="s">
        <v>16044</v>
      </c>
      <c r="V1097" s="722">
        <v>12.69</v>
      </c>
      <c r="W1097" s="722">
        <v>1.24</v>
      </c>
      <c r="X1097" s="722">
        <v>0.92</v>
      </c>
      <c r="Y1097" s="722">
        <v>101.26</v>
      </c>
      <c r="Z1097" s="382" t="s">
        <v>934</v>
      </c>
      <c r="AA1097" s="372">
        <v>1465.7142518000001</v>
      </c>
      <c r="AB1097" s="372">
        <v>1493.4500008</v>
      </c>
      <c r="AC1097" s="372">
        <v>1535.2174619</v>
      </c>
      <c r="AD1097" s="372">
        <v>1553.1387532000001</v>
      </c>
      <c r="AE1097" s="372">
        <v>0</v>
      </c>
      <c r="AF1097" s="372">
        <v>0</v>
      </c>
      <c r="AG1097" s="372">
        <v>0</v>
      </c>
      <c r="AH1097" s="372">
        <v>0</v>
      </c>
    </row>
    <row r="1098" spans="1:34">
      <c r="A1098" s="372" t="s">
        <v>7639</v>
      </c>
      <c r="B1098" s="373" t="s">
        <v>7640</v>
      </c>
      <c r="C1098" s="372" t="s">
        <v>7641</v>
      </c>
      <c r="D1098" s="374">
        <v>1101110033433</v>
      </c>
      <c r="E1098" s="372" t="s">
        <v>7642</v>
      </c>
      <c r="F1098" s="372" t="s">
        <v>4341</v>
      </c>
      <c r="G1098" s="375" t="s">
        <v>4341</v>
      </c>
      <c r="H1098" s="375" t="s">
        <v>975</v>
      </c>
      <c r="I1098" s="375" t="s">
        <v>755</v>
      </c>
      <c r="J1098" s="375">
        <v>179258.36588</v>
      </c>
      <c r="K1098" s="375">
        <v>17683.937030000001</v>
      </c>
      <c r="L1098" s="375">
        <v>28627.417969999999</v>
      </c>
      <c r="M1098" s="375">
        <v>431919.04190000001</v>
      </c>
      <c r="N1098" s="372">
        <v>0.626</v>
      </c>
      <c r="O1098" s="703">
        <v>0.34364968685818609</v>
      </c>
      <c r="P1098" s="375" t="s">
        <v>623</v>
      </c>
      <c r="Q1098" s="375" t="s">
        <v>623</v>
      </c>
      <c r="R1098" s="695">
        <v>19891110</v>
      </c>
      <c r="S1098" s="375" t="s">
        <v>7643</v>
      </c>
      <c r="T1098" s="696">
        <v>0.23100000000000001</v>
      </c>
      <c r="U1098" s="372" t="s">
        <v>7644</v>
      </c>
      <c r="V1098" s="722">
        <v>6.61</v>
      </c>
      <c r="W1098" s="722">
        <v>0.33</v>
      </c>
      <c r="X1098" s="722">
        <v>0.81</v>
      </c>
      <c r="Y1098" s="722">
        <v>6.73</v>
      </c>
      <c r="Z1098" s="382" t="s">
        <v>934</v>
      </c>
      <c r="AA1098" s="372">
        <v>1984.1705127</v>
      </c>
      <c r="AB1098" s="372">
        <v>1939.5860660000001</v>
      </c>
      <c r="AC1098" s="372">
        <v>1788.0083440999999</v>
      </c>
      <c r="AD1098" s="372">
        <v>1792.5836588</v>
      </c>
      <c r="AE1098" s="372">
        <v>0</v>
      </c>
      <c r="AF1098" s="372">
        <v>0</v>
      </c>
      <c r="AG1098" s="372">
        <v>0</v>
      </c>
      <c r="AH1098" s="372">
        <v>0</v>
      </c>
    </row>
    <row r="1099" spans="1:34">
      <c r="A1099" s="372" t="s">
        <v>7645</v>
      </c>
      <c r="B1099" s="373" t="s">
        <v>7646</v>
      </c>
      <c r="C1099" s="372" t="s">
        <v>7647</v>
      </c>
      <c r="D1099" s="374">
        <v>1101110003262</v>
      </c>
      <c r="E1099" s="372" t="s">
        <v>7648</v>
      </c>
      <c r="F1099" s="375" t="s">
        <v>2649</v>
      </c>
      <c r="G1099" s="375" t="s">
        <v>2650</v>
      </c>
      <c r="H1099" s="375" t="s">
        <v>823</v>
      </c>
      <c r="I1099" s="375" t="s">
        <v>755</v>
      </c>
      <c r="J1099" s="375">
        <v>341773.10141</v>
      </c>
      <c r="K1099" s="375">
        <v>21005.544099999999</v>
      </c>
      <c r="L1099" s="375">
        <v>31913.2955</v>
      </c>
      <c r="M1099" s="375">
        <v>446364.98515999998</v>
      </c>
      <c r="N1099" s="372">
        <v>0.65700000000000003</v>
      </c>
      <c r="O1099" s="703">
        <v>8.7265675505834999</v>
      </c>
      <c r="P1099" s="375" t="s">
        <v>623</v>
      </c>
      <c r="Q1099" s="372" t="s">
        <v>623</v>
      </c>
      <c r="R1099" s="695">
        <v>19560303</v>
      </c>
      <c r="S1099" s="372" t="s">
        <v>2662</v>
      </c>
      <c r="T1099" s="696">
        <v>0.23100000000000001</v>
      </c>
      <c r="U1099" s="372" t="s">
        <v>7649</v>
      </c>
      <c r="V1099" s="722">
        <v>9.3800000000000008</v>
      </c>
      <c r="W1099" s="722">
        <v>0.42</v>
      </c>
      <c r="X1099" s="722">
        <v>0.44</v>
      </c>
      <c r="Y1099" s="722">
        <v>14.77</v>
      </c>
      <c r="Z1099" s="382" t="s">
        <v>934</v>
      </c>
      <c r="AA1099" s="372">
        <v>3348.1352654000002</v>
      </c>
      <c r="AB1099" s="372">
        <v>5037.0431769999996</v>
      </c>
      <c r="AC1099" s="372">
        <v>5576.0736852</v>
      </c>
      <c r="AD1099" s="372">
        <v>3417.7310140999998</v>
      </c>
      <c r="AE1099" s="372">
        <v>0</v>
      </c>
      <c r="AF1099" s="372">
        <v>0</v>
      </c>
      <c r="AG1099" s="372">
        <v>0</v>
      </c>
      <c r="AH1099" s="372">
        <v>0</v>
      </c>
    </row>
    <row r="1100" spans="1:34">
      <c r="A1100" s="372" t="s">
        <v>7650</v>
      </c>
      <c r="B1100" s="373" t="s">
        <v>7651</v>
      </c>
      <c r="C1100" s="372" t="s">
        <v>7652</v>
      </c>
      <c r="D1100" s="374">
        <v>1311110153525</v>
      </c>
      <c r="E1100" s="372" t="s">
        <v>7653</v>
      </c>
      <c r="F1100" s="375" t="s">
        <v>1195</v>
      </c>
      <c r="G1100" s="375" t="s">
        <v>1196</v>
      </c>
      <c r="H1100" s="375" t="s">
        <v>1388</v>
      </c>
      <c r="I1100" s="375" t="s">
        <v>869</v>
      </c>
      <c r="J1100" s="375">
        <v>156626.58312</v>
      </c>
      <c r="K1100" s="375">
        <v>7112.9866700000002</v>
      </c>
      <c r="L1100" s="375">
        <v>14922.832189999999</v>
      </c>
      <c r="M1100" s="375">
        <v>162525.40911000001</v>
      </c>
      <c r="N1100" s="372">
        <v>1.137</v>
      </c>
      <c r="O1100" s="703">
        <v>8.4015649464622726</v>
      </c>
      <c r="P1100" s="375" t="s">
        <v>623</v>
      </c>
      <c r="Q1100" s="375" t="s">
        <v>623</v>
      </c>
      <c r="R1100" s="695">
        <v>20150617</v>
      </c>
      <c r="S1100" s="375" t="s">
        <v>7654</v>
      </c>
      <c r="T1100" s="696">
        <v>0.20900000000000002</v>
      </c>
      <c r="U1100" s="372" t="s">
        <v>7655</v>
      </c>
      <c r="V1100" s="722">
        <v>15.88</v>
      </c>
      <c r="W1100" s="722">
        <v>0.93</v>
      </c>
      <c r="X1100" s="722">
        <v>1.01</v>
      </c>
      <c r="Y1100" s="722">
        <v>14.32</v>
      </c>
      <c r="Z1100" s="382" t="s">
        <v>934</v>
      </c>
      <c r="AA1100" s="372">
        <v>1729.3844825000001</v>
      </c>
      <c r="AB1100" s="372">
        <v>2422.5644634</v>
      </c>
      <c r="AC1100" s="372">
        <v>1950.5584609</v>
      </c>
      <c r="AD1100" s="372">
        <v>1566.2658312000001</v>
      </c>
      <c r="AE1100" s="372">
        <v>0</v>
      </c>
      <c r="AF1100" s="372">
        <v>0</v>
      </c>
      <c r="AG1100" s="372">
        <v>0</v>
      </c>
      <c r="AH1100" s="372">
        <v>0</v>
      </c>
    </row>
    <row r="1101" spans="1:34">
      <c r="A1101" s="372" t="s">
        <v>7656</v>
      </c>
      <c r="B1101" s="373" t="s">
        <v>7657</v>
      </c>
      <c r="C1101" s="372" t="s">
        <v>7658</v>
      </c>
      <c r="D1101" s="374">
        <v>1101113660142</v>
      </c>
      <c r="E1101" s="372" t="s">
        <v>7659</v>
      </c>
      <c r="F1101" s="375" t="s">
        <v>1124</v>
      </c>
      <c r="G1101" s="375" t="s">
        <v>1347</v>
      </c>
      <c r="H1101" s="375" t="s">
        <v>1348</v>
      </c>
      <c r="I1101" s="375" t="s">
        <v>869</v>
      </c>
      <c r="J1101" s="375">
        <v>1274.30682</v>
      </c>
      <c r="K1101" s="375">
        <v>-31251.887849999999</v>
      </c>
      <c r="L1101" s="375">
        <v>-29210.914229999998</v>
      </c>
      <c r="M1101" s="375">
        <v>9979.4232599999996</v>
      </c>
      <c r="N1101" s="372">
        <v>1.0529999999999999</v>
      </c>
      <c r="O1101" s="703">
        <v>8.9902729704432431</v>
      </c>
      <c r="P1101" s="375" t="s">
        <v>623</v>
      </c>
      <c r="Q1101" s="375" t="s">
        <v>623</v>
      </c>
      <c r="R1101" s="695">
        <v>20140721</v>
      </c>
      <c r="S1101" s="375" t="s">
        <v>7660</v>
      </c>
      <c r="T1101" s="696" t="s">
        <v>772</v>
      </c>
      <c r="U1101" s="372" t="s">
        <v>7661</v>
      </c>
      <c r="V1101" s="722" t="s">
        <v>774</v>
      </c>
      <c r="W1101" s="722">
        <v>18.61</v>
      </c>
      <c r="X1101" s="722">
        <v>128.38</v>
      </c>
      <c r="Y1101" s="722" t="s">
        <v>774</v>
      </c>
      <c r="Z1101" s="382" t="s">
        <v>934</v>
      </c>
      <c r="AA1101" s="372">
        <v>19.938180500000001</v>
      </c>
      <c r="AB1101" s="372">
        <v>16.384980500000001</v>
      </c>
      <c r="AC1101" s="372">
        <v>25.065191800000001</v>
      </c>
      <c r="AD1101" s="372">
        <v>12.7430682</v>
      </c>
      <c r="AE1101" s="372">
        <v>0</v>
      </c>
      <c r="AF1101" s="372">
        <v>0</v>
      </c>
      <c r="AG1101" s="372">
        <v>0</v>
      </c>
      <c r="AH1101" s="372">
        <v>0</v>
      </c>
    </row>
    <row r="1102" spans="1:34">
      <c r="A1102" s="372" t="s">
        <v>7662</v>
      </c>
      <c r="B1102" s="373" t="s">
        <v>7663</v>
      </c>
      <c r="C1102" s="372" t="s">
        <v>7664</v>
      </c>
      <c r="D1102" s="374">
        <v>1353110002964</v>
      </c>
      <c r="E1102" s="372" t="s">
        <v>7665</v>
      </c>
      <c r="F1102" s="375" t="s">
        <v>1381</v>
      </c>
      <c r="G1102" s="375" t="s">
        <v>1381</v>
      </c>
      <c r="H1102" s="375" t="s">
        <v>1693</v>
      </c>
      <c r="I1102" s="375" t="s">
        <v>869</v>
      </c>
      <c r="J1102" s="375">
        <v>51841.445269999997</v>
      </c>
      <c r="K1102" s="375">
        <v>-1653.0911100000001</v>
      </c>
      <c r="L1102" s="375">
        <v>5042.9577900000004</v>
      </c>
      <c r="M1102" s="375">
        <v>45884.951070000003</v>
      </c>
      <c r="N1102" s="372">
        <v>1.0609999999999999</v>
      </c>
      <c r="O1102" s="703">
        <v>8.3965856166226036</v>
      </c>
      <c r="P1102" s="375" t="s">
        <v>623</v>
      </c>
      <c r="Q1102" s="372" t="s">
        <v>623</v>
      </c>
      <c r="R1102" s="695">
        <v>20001229</v>
      </c>
      <c r="S1102" s="372" t="s">
        <v>7666</v>
      </c>
      <c r="T1102" s="696">
        <v>0.20900000000000002</v>
      </c>
      <c r="U1102" s="372" t="s">
        <v>7667</v>
      </c>
      <c r="V1102" s="722">
        <v>89.8</v>
      </c>
      <c r="W1102" s="722">
        <v>2.71</v>
      </c>
      <c r="X1102" s="722">
        <v>1.91</v>
      </c>
      <c r="Y1102" s="722">
        <v>23.76</v>
      </c>
      <c r="Z1102" s="382" t="s">
        <v>934</v>
      </c>
      <c r="AA1102" s="372">
        <v>371.5134908</v>
      </c>
      <c r="AB1102" s="372">
        <v>433.49961500000001</v>
      </c>
      <c r="AC1102" s="372">
        <v>468.23337379999998</v>
      </c>
      <c r="AD1102" s="372">
        <v>518.41445269999997</v>
      </c>
      <c r="AE1102" s="372">
        <v>606</v>
      </c>
      <c r="AF1102" s="372">
        <v>728</v>
      </c>
      <c r="AG1102" s="372">
        <v>0</v>
      </c>
      <c r="AH1102" s="372">
        <v>0</v>
      </c>
    </row>
    <row r="1103" spans="1:34">
      <c r="A1103" s="372" t="s">
        <v>7668</v>
      </c>
      <c r="B1103" s="373" t="s">
        <v>7669</v>
      </c>
      <c r="C1103" s="372" t="s">
        <v>7670</v>
      </c>
      <c r="D1103" s="374">
        <v>1615110044225</v>
      </c>
      <c r="E1103" s="372" t="s">
        <v>7671</v>
      </c>
      <c r="F1103" s="375" t="s">
        <v>2245</v>
      </c>
      <c r="G1103" s="375" t="s">
        <v>2245</v>
      </c>
      <c r="H1103" s="375" t="s">
        <v>1327</v>
      </c>
      <c r="I1103" s="375" t="s">
        <v>755</v>
      </c>
      <c r="J1103" s="375">
        <v>624865.97308000003</v>
      </c>
      <c r="K1103" s="375">
        <v>45723.953379999999</v>
      </c>
      <c r="L1103" s="375">
        <v>27935.68433</v>
      </c>
      <c r="M1103" s="375">
        <v>268298.74566999997</v>
      </c>
      <c r="N1103" s="372">
        <v>0.79900000000000004</v>
      </c>
      <c r="O1103" s="703">
        <v>169.64569108125204</v>
      </c>
      <c r="P1103" s="375" t="s">
        <v>623</v>
      </c>
      <c r="Q1103" s="375" t="s">
        <v>623</v>
      </c>
      <c r="R1103" s="695">
        <v>20160511</v>
      </c>
      <c r="S1103" s="375" t="s">
        <v>7672</v>
      </c>
      <c r="T1103" s="696">
        <v>0.23100000000000001</v>
      </c>
      <c r="U1103" s="372" t="s">
        <v>7673</v>
      </c>
      <c r="V1103" s="722">
        <v>5.01</v>
      </c>
      <c r="W1103" s="722">
        <v>0.51</v>
      </c>
      <c r="X1103" s="722">
        <v>0.25</v>
      </c>
      <c r="Y1103" s="722">
        <v>7.27</v>
      </c>
      <c r="Z1103" s="382" t="s">
        <v>934</v>
      </c>
      <c r="AA1103" s="372">
        <v>5639.3512110000001</v>
      </c>
      <c r="AB1103" s="372">
        <v>5677.0345133000001</v>
      </c>
      <c r="AC1103" s="372">
        <v>5902.6647358999999</v>
      </c>
      <c r="AD1103" s="372">
        <v>6248.6597308</v>
      </c>
      <c r="AE1103" s="372">
        <v>0</v>
      </c>
      <c r="AF1103" s="372">
        <v>0</v>
      </c>
      <c r="AG1103" s="372">
        <v>0</v>
      </c>
      <c r="AH1103" s="372">
        <v>0</v>
      </c>
    </row>
    <row r="1104" spans="1:34">
      <c r="A1104" s="372" t="s">
        <v>7674</v>
      </c>
      <c r="B1104" s="373" t="s">
        <v>7675</v>
      </c>
      <c r="C1104" s="372" t="s">
        <v>7676</v>
      </c>
      <c r="D1104" s="374">
        <v>1101110137491</v>
      </c>
      <c r="E1104" s="372" t="s">
        <v>7677</v>
      </c>
      <c r="F1104" s="375" t="s">
        <v>2112</v>
      </c>
      <c r="G1104" s="375" t="s">
        <v>2112</v>
      </c>
      <c r="H1104" s="375" t="s">
        <v>817</v>
      </c>
      <c r="I1104" s="375" t="s">
        <v>755</v>
      </c>
      <c r="J1104" s="375">
        <v>382911.13880000002</v>
      </c>
      <c r="K1104" s="375">
        <v>70660.872770000002</v>
      </c>
      <c r="L1104" s="375">
        <v>65072.228289999999</v>
      </c>
      <c r="M1104" s="375">
        <v>234190.23585999999</v>
      </c>
      <c r="N1104" s="372">
        <v>1.0369999999999999</v>
      </c>
      <c r="O1104" s="703">
        <v>112.02267523101168</v>
      </c>
      <c r="P1104" s="375" t="s">
        <v>623</v>
      </c>
      <c r="Q1104" s="372" t="s">
        <v>623</v>
      </c>
      <c r="R1104" s="695">
        <v>19750628</v>
      </c>
      <c r="S1104" s="372" t="s">
        <v>7678</v>
      </c>
      <c r="T1104" s="696">
        <v>0.23100000000000001</v>
      </c>
      <c r="U1104" s="372" t="s">
        <v>7679</v>
      </c>
      <c r="V1104" s="722">
        <v>0</v>
      </c>
      <c r="W1104" s="722">
        <v>0.73</v>
      </c>
      <c r="X1104" s="722">
        <v>0</v>
      </c>
      <c r="Y1104" s="722">
        <v>0</v>
      </c>
      <c r="Z1104" s="382" t="s">
        <v>934</v>
      </c>
      <c r="AA1104" s="372">
        <v>1925.7184099999999</v>
      </c>
      <c r="AB1104" s="372">
        <v>2482.1274945999999</v>
      </c>
      <c r="AC1104" s="372">
        <v>3553.9020214000002</v>
      </c>
      <c r="AD1104" s="372">
        <v>3829.1113879999998</v>
      </c>
      <c r="AE1104" s="372">
        <v>0</v>
      </c>
      <c r="AF1104" s="372">
        <v>0</v>
      </c>
      <c r="AG1104" s="372">
        <v>0</v>
      </c>
      <c r="AH1104" s="372">
        <v>0</v>
      </c>
    </row>
    <row r="1105" spans="1:34">
      <c r="A1105" s="372" t="s">
        <v>7680</v>
      </c>
      <c r="B1105" s="373" t="s">
        <v>7681</v>
      </c>
      <c r="C1105" s="372" t="s">
        <v>7682</v>
      </c>
      <c r="D1105" s="374">
        <v>1942110090598</v>
      </c>
      <c r="E1105" s="372" t="s">
        <v>7683</v>
      </c>
      <c r="F1105" s="375" t="s">
        <v>1443</v>
      </c>
      <c r="G1105" s="375" t="s">
        <v>5642</v>
      </c>
      <c r="H1105" s="375" t="s">
        <v>1050</v>
      </c>
      <c r="I1105" s="375" t="s">
        <v>755</v>
      </c>
      <c r="J1105" s="375">
        <v>321955.65019999997</v>
      </c>
      <c r="K1105" s="375">
        <v>20777.12098</v>
      </c>
      <c r="L1105" s="375">
        <v>24336.862369999999</v>
      </c>
      <c r="M1105" s="375">
        <v>276014.27305999998</v>
      </c>
      <c r="N1105" s="372">
        <v>1.0049999999999999</v>
      </c>
      <c r="O1105" s="703">
        <v>34.312205495550643</v>
      </c>
      <c r="P1105" s="375" t="s">
        <v>623</v>
      </c>
      <c r="Q1105" s="375" t="s">
        <v>623</v>
      </c>
      <c r="R1105" s="695">
        <v>20080222</v>
      </c>
      <c r="S1105" s="375" t="s">
        <v>7684</v>
      </c>
      <c r="T1105" s="696">
        <v>0.23100000000000001</v>
      </c>
      <c r="U1105" s="372" t="s">
        <v>7685</v>
      </c>
      <c r="V1105" s="722">
        <v>6.24</v>
      </c>
      <c r="W1105" s="722">
        <v>0.56999999999999995</v>
      </c>
      <c r="X1105" s="722">
        <v>0.51</v>
      </c>
      <c r="Y1105" s="722">
        <v>7.27</v>
      </c>
      <c r="Z1105" s="382" t="s">
        <v>934</v>
      </c>
      <c r="AA1105" s="372">
        <v>2373.9973604000002</v>
      </c>
      <c r="AB1105" s="372">
        <v>1710.8809326999999</v>
      </c>
      <c r="AC1105" s="372">
        <v>2028.7863527</v>
      </c>
      <c r="AD1105" s="372">
        <v>3219.5565019999999</v>
      </c>
      <c r="AE1105" s="372">
        <v>0</v>
      </c>
      <c r="AF1105" s="372">
        <v>0</v>
      </c>
      <c r="AG1105" s="372">
        <v>0</v>
      </c>
      <c r="AH1105" s="372">
        <v>0</v>
      </c>
    </row>
    <row r="1106" spans="1:34">
      <c r="A1106" s="372" t="s">
        <v>7686</v>
      </c>
      <c r="B1106" s="373" t="s">
        <v>7687</v>
      </c>
      <c r="C1106" s="372" t="s">
        <v>7688</v>
      </c>
      <c r="D1106" s="374">
        <v>1101113802992</v>
      </c>
      <c r="E1106" s="372" t="s">
        <v>7689</v>
      </c>
      <c r="F1106" s="375" t="s">
        <v>2147</v>
      </c>
      <c r="G1106" s="375" t="s">
        <v>4273</v>
      </c>
      <c r="H1106" s="375" t="s">
        <v>868</v>
      </c>
      <c r="I1106" s="375" t="s">
        <v>869</v>
      </c>
      <c r="J1106" s="375">
        <v>33731.985480000003</v>
      </c>
      <c r="K1106" s="375">
        <v>5270.5887499999999</v>
      </c>
      <c r="L1106" s="375">
        <v>9625.0994800000008</v>
      </c>
      <c r="M1106" s="375">
        <v>72402.865749999997</v>
      </c>
      <c r="N1106" s="372">
        <v>0.92500000000000004</v>
      </c>
      <c r="O1106" s="703">
        <v>1.9843485310777828E-2</v>
      </c>
      <c r="P1106" s="375" t="s">
        <v>623</v>
      </c>
      <c r="Q1106" s="372" t="s">
        <v>623</v>
      </c>
      <c r="R1106" s="695">
        <v>20130701</v>
      </c>
      <c r="S1106" s="372" t="s">
        <v>7690</v>
      </c>
      <c r="T1106" s="696">
        <v>0.20900000000000002</v>
      </c>
      <c r="U1106" s="372" t="s">
        <v>7691</v>
      </c>
      <c r="V1106" s="722">
        <v>22.28</v>
      </c>
      <c r="W1106" s="722">
        <v>1.71</v>
      </c>
      <c r="X1106" s="722">
        <v>4.37</v>
      </c>
      <c r="Y1106" s="722">
        <v>17.91</v>
      </c>
      <c r="Z1106" s="382" t="s">
        <v>934</v>
      </c>
      <c r="AA1106" s="372">
        <v>129.8588178</v>
      </c>
      <c r="AB1106" s="372">
        <v>217.81038520000001</v>
      </c>
      <c r="AC1106" s="372">
        <v>275.6759662</v>
      </c>
      <c r="AD1106" s="372">
        <v>337.31985479999997</v>
      </c>
      <c r="AE1106" s="372">
        <v>442</v>
      </c>
      <c r="AF1106" s="372">
        <v>598</v>
      </c>
      <c r="AG1106" s="372">
        <v>0</v>
      </c>
      <c r="AH1106" s="372">
        <v>0</v>
      </c>
    </row>
    <row r="1107" spans="1:34">
      <c r="A1107" s="372" t="s">
        <v>7692</v>
      </c>
      <c r="B1107" s="373" t="s">
        <v>7693</v>
      </c>
      <c r="C1107" s="372" t="s">
        <v>7694</v>
      </c>
      <c r="D1107" s="374">
        <v>1601110052665</v>
      </c>
      <c r="E1107" s="372" t="s">
        <v>7695</v>
      </c>
      <c r="F1107" s="372" t="s">
        <v>1889</v>
      </c>
      <c r="G1107" s="375" t="s">
        <v>5878</v>
      </c>
      <c r="H1107" s="375" t="s">
        <v>868</v>
      </c>
      <c r="I1107" s="375" t="s">
        <v>869</v>
      </c>
      <c r="J1107" s="375">
        <v>176628.63152</v>
      </c>
      <c r="K1107" s="375">
        <v>22035.848539999999</v>
      </c>
      <c r="L1107" s="375">
        <v>17480.68175</v>
      </c>
      <c r="M1107" s="375">
        <v>106807.51132000001</v>
      </c>
      <c r="N1107" s="372">
        <v>0.83299999999999996</v>
      </c>
      <c r="O1107" s="703">
        <v>45.672424028239028</v>
      </c>
      <c r="P1107" s="375" t="s">
        <v>623</v>
      </c>
      <c r="Q1107" s="375" t="s">
        <v>623</v>
      </c>
      <c r="R1107" s="695">
        <v>20090526</v>
      </c>
      <c r="S1107" s="375" t="s">
        <v>7696</v>
      </c>
      <c r="T1107" s="696">
        <v>0.20900000000000002</v>
      </c>
      <c r="U1107" s="372" t="s">
        <v>7697</v>
      </c>
      <c r="V1107" s="722">
        <v>8.61</v>
      </c>
      <c r="W1107" s="722">
        <v>1.31</v>
      </c>
      <c r="X1107" s="722">
        <v>0.96</v>
      </c>
      <c r="Y1107" s="722">
        <v>10.130000000000001</v>
      </c>
      <c r="Z1107" s="382" t="s">
        <v>934</v>
      </c>
      <c r="AA1107" s="372">
        <v>1136.5946186000001</v>
      </c>
      <c r="AB1107" s="372">
        <v>1284.9994021</v>
      </c>
      <c r="AC1107" s="372">
        <v>1594.7320407</v>
      </c>
      <c r="AD1107" s="372">
        <v>1766.2863152</v>
      </c>
      <c r="AE1107" s="372">
        <v>0</v>
      </c>
      <c r="AF1107" s="372">
        <v>0</v>
      </c>
      <c r="AG1107" s="372">
        <v>0</v>
      </c>
      <c r="AH1107" s="372">
        <v>0</v>
      </c>
    </row>
    <row r="1108" spans="1:34">
      <c r="A1108" s="372" t="s">
        <v>7698</v>
      </c>
      <c r="B1108" s="373" t="s">
        <v>7699</v>
      </c>
      <c r="C1108" s="372" t="s">
        <v>7700</v>
      </c>
      <c r="D1108" s="374">
        <v>1101110787080</v>
      </c>
      <c r="E1108" s="372" t="s">
        <v>7701</v>
      </c>
      <c r="F1108" s="375" t="s">
        <v>4265</v>
      </c>
      <c r="G1108" s="375" t="s">
        <v>4266</v>
      </c>
      <c r="H1108" s="375" t="s">
        <v>1348</v>
      </c>
      <c r="I1108" s="375" t="s">
        <v>869</v>
      </c>
      <c r="J1108" s="375">
        <v>158214.35732000001</v>
      </c>
      <c r="K1108" s="375">
        <v>13977.13481</v>
      </c>
      <c r="L1108" s="375">
        <v>14084.377490000001</v>
      </c>
      <c r="M1108" s="375">
        <v>45635.320849999996</v>
      </c>
      <c r="N1108" s="372">
        <v>-0.112</v>
      </c>
      <c r="O1108" s="703">
        <v>15.97851028208497</v>
      </c>
      <c r="P1108" s="375" t="s">
        <v>623</v>
      </c>
      <c r="Q1108" s="372" t="s">
        <v>623</v>
      </c>
      <c r="R1108" s="695">
        <v>20020129</v>
      </c>
      <c r="S1108" s="372" t="s">
        <v>7702</v>
      </c>
      <c r="T1108" s="696">
        <v>0.20900000000000002</v>
      </c>
      <c r="U1108" s="372" t="s">
        <v>7703</v>
      </c>
      <c r="V1108" s="722">
        <v>6.97</v>
      </c>
      <c r="W1108" s="722">
        <v>2.97</v>
      </c>
      <c r="X1108" s="722">
        <v>0.86</v>
      </c>
      <c r="Y1108" s="722">
        <v>11.57</v>
      </c>
      <c r="Z1108" s="382" t="s">
        <v>934</v>
      </c>
      <c r="AA1108" s="372">
        <v>1332.09085</v>
      </c>
      <c r="AB1108" s="372">
        <v>1452.2236086</v>
      </c>
      <c r="AC1108" s="372">
        <v>1467.6681027</v>
      </c>
      <c r="AD1108" s="372">
        <v>1582.1435732</v>
      </c>
      <c r="AE1108" s="372">
        <v>1760</v>
      </c>
      <c r="AF1108" s="372">
        <v>2112</v>
      </c>
      <c r="AG1108" s="372">
        <v>0</v>
      </c>
      <c r="AH1108" s="372">
        <v>0</v>
      </c>
    </row>
    <row r="1109" spans="1:34">
      <c r="A1109" s="372" t="s">
        <v>7704</v>
      </c>
      <c r="B1109" s="373" t="s">
        <v>7705</v>
      </c>
      <c r="C1109" s="372" t="s">
        <v>7706</v>
      </c>
      <c r="D1109" s="374">
        <v>1101110295778</v>
      </c>
      <c r="E1109" s="372" t="s">
        <v>7707</v>
      </c>
      <c r="F1109" s="375" t="s">
        <v>7069</v>
      </c>
      <c r="G1109" s="375" t="s">
        <v>7069</v>
      </c>
      <c r="H1109" s="375" t="s">
        <v>4894</v>
      </c>
      <c r="I1109" s="375" t="s">
        <v>869</v>
      </c>
      <c r="J1109" s="375">
        <v>337610.29421999998</v>
      </c>
      <c r="K1109" s="375">
        <v>43458.26124</v>
      </c>
      <c r="L1109" s="375">
        <v>48565.619180000002</v>
      </c>
      <c r="M1109" s="375">
        <v>330340.45338999998</v>
      </c>
      <c r="N1109" s="372">
        <v>0.624</v>
      </c>
      <c r="O1109" s="703">
        <v>27.501208931829428</v>
      </c>
      <c r="P1109" s="375" t="s">
        <v>623</v>
      </c>
      <c r="Q1109" s="372" t="s">
        <v>623</v>
      </c>
      <c r="R1109" s="695">
        <v>20001221</v>
      </c>
      <c r="S1109" s="372" t="s">
        <v>7708</v>
      </c>
      <c r="T1109" s="696">
        <v>0.23100000000000001</v>
      </c>
      <c r="U1109" s="375" t="s">
        <v>7709</v>
      </c>
      <c r="V1109" s="722">
        <v>3.24</v>
      </c>
      <c r="W1109" s="722">
        <v>0.47</v>
      </c>
      <c r="X1109" s="722">
        <v>0.46</v>
      </c>
      <c r="Y1109" s="722">
        <v>4.12</v>
      </c>
      <c r="Z1109" s="382" t="s">
        <v>934</v>
      </c>
      <c r="AA1109" s="372">
        <v>2353.3565603000002</v>
      </c>
      <c r="AB1109" s="372">
        <v>2387.4539181</v>
      </c>
      <c r="AC1109" s="372">
        <v>2483.4789390000001</v>
      </c>
      <c r="AD1109" s="372">
        <v>3376.1029422000001</v>
      </c>
      <c r="AE1109" s="372">
        <v>3507</v>
      </c>
      <c r="AF1109" s="372">
        <v>3758</v>
      </c>
      <c r="AG1109" s="372">
        <v>0</v>
      </c>
      <c r="AH1109" s="372">
        <v>0</v>
      </c>
    </row>
    <row r="1110" spans="1:34">
      <c r="A1110" s="372" t="s">
        <v>7710</v>
      </c>
      <c r="B1110" s="373" t="s">
        <v>7711</v>
      </c>
      <c r="C1110" s="372" t="s">
        <v>7712</v>
      </c>
      <c r="D1110" s="374">
        <v>1942110042721</v>
      </c>
      <c r="E1110" s="372" t="s">
        <v>7713</v>
      </c>
      <c r="F1110" s="375" t="s">
        <v>3367</v>
      </c>
      <c r="G1110" s="375" t="s">
        <v>3367</v>
      </c>
      <c r="H1110" s="375" t="s">
        <v>3127</v>
      </c>
      <c r="I1110" s="375" t="s">
        <v>869</v>
      </c>
      <c r="J1110" s="375">
        <v>2195954.33568</v>
      </c>
      <c r="K1110" s="375">
        <v>42771.890729999999</v>
      </c>
      <c r="L1110" s="375">
        <v>15363.43975</v>
      </c>
      <c r="M1110" s="375">
        <v>432474.34577000001</v>
      </c>
      <c r="N1110" s="372">
        <v>1.0649999999999999</v>
      </c>
      <c r="O1110" s="703">
        <v>624.49820312190911</v>
      </c>
      <c r="P1110" s="375" t="s">
        <v>623</v>
      </c>
      <c r="Q1110" s="372" t="s">
        <v>623</v>
      </c>
      <c r="R1110" s="695">
        <v>20041201</v>
      </c>
      <c r="S1110" s="372" t="s">
        <v>7714</v>
      </c>
      <c r="T1110" s="696">
        <v>0.20900000000000002</v>
      </c>
      <c r="U1110" s="372" t="s">
        <v>7715</v>
      </c>
      <c r="V1110" s="722">
        <v>12.1</v>
      </c>
      <c r="W1110" s="722">
        <v>0.37</v>
      </c>
      <c r="X1110" s="722">
        <v>7.0000000000000007E-2</v>
      </c>
      <c r="Y1110" s="722">
        <v>13.83</v>
      </c>
      <c r="Z1110" s="382" t="s">
        <v>934</v>
      </c>
      <c r="AA1110" s="372">
        <v>14511.0888228</v>
      </c>
      <c r="AB1110" s="372">
        <v>17033.070582200002</v>
      </c>
      <c r="AC1110" s="372">
        <v>19570.789608800002</v>
      </c>
      <c r="AD1110" s="372">
        <v>21959.543356800001</v>
      </c>
      <c r="AE1110" s="372">
        <v>22311</v>
      </c>
      <c r="AF1110" s="372">
        <v>0</v>
      </c>
      <c r="AG1110" s="372">
        <v>0</v>
      </c>
      <c r="AH1110" s="372">
        <v>0</v>
      </c>
    </row>
    <row r="1111" spans="1:34">
      <c r="A1111" s="372" t="s">
        <v>7716</v>
      </c>
      <c r="B1111" s="373" t="s">
        <v>7717</v>
      </c>
      <c r="C1111" s="372" t="s">
        <v>7718</v>
      </c>
      <c r="D1111" s="374">
        <v>1101110219398</v>
      </c>
      <c r="E1111" s="372" t="s">
        <v>7719</v>
      </c>
      <c r="F1111" s="372" t="s">
        <v>2063</v>
      </c>
      <c r="G1111" s="375" t="s">
        <v>7220</v>
      </c>
      <c r="H1111" s="375" t="s">
        <v>3127</v>
      </c>
      <c r="I1111" s="375" t="s">
        <v>869</v>
      </c>
      <c r="J1111" s="375">
        <v>490568.15395000001</v>
      </c>
      <c r="K1111" s="375">
        <v>-13522.406999999999</v>
      </c>
      <c r="L1111" s="375">
        <v>-8267.1193199999998</v>
      </c>
      <c r="M1111" s="375">
        <v>420312.52067</v>
      </c>
      <c r="N1111" s="372">
        <v>0.71899999999999997</v>
      </c>
      <c r="O1111" s="703">
        <v>62.56456059379768</v>
      </c>
      <c r="P1111" s="375" t="s">
        <v>623</v>
      </c>
      <c r="Q1111" s="372" t="s">
        <v>623</v>
      </c>
      <c r="R1111" s="695">
        <v>19950831</v>
      </c>
      <c r="S1111" s="372" t="s">
        <v>7720</v>
      </c>
      <c r="T1111" s="696" t="s">
        <v>772</v>
      </c>
      <c r="U1111" s="372" t="s">
        <v>7721</v>
      </c>
      <c r="V1111" s="722" t="s">
        <v>774</v>
      </c>
      <c r="W1111" s="722">
        <v>0.38</v>
      </c>
      <c r="X1111" s="722">
        <v>0.33</v>
      </c>
      <c r="Y1111" s="722">
        <v>18.010000000000002</v>
      </c>
      <c r="Z1111" s="382" t="s">
        <v>934</v>
      </c>
      <c r="AA1111" s="372">
        <v>3732.0017886999999</v>
      </c>
      <c r="AB1111" s="372">
        <v>4924.5397380000004</v>
      </c>
      <c r="AC1111" s="372">
        <v>6352.1578759000004</v>
      </c>
      <c r="AD1111" s="372">
        <v>4905.6815395000003</v>
      </c>
      <c r="AE1111" s="372">
        <v>0</v>
      </c>
      <c r="AF1111" s="372">
        <v>0</v>
      </c>
      <c r="AG1111" s="372">
        <v>0</v>
      </c>
      <c r="AH1111" s="372">
        <v>0</v>
      </c>
    </row>
    <row r="1112" spans="1:34">
      <c r="A1112" s="372" t="s">
        <v>7722</v>
      </c>
      <c r="B1112" s="373" t="s">
        <v>7723</v>
      </c>
      <c r="C1112" s="372" t="s">
        <v>7724</v>
      </c>
      <c r="D1112" s="374">
        <v>2301110172244</v>
      </c>
      <c r="E1112" s="372" t="s">
        <v>7725</v>
      </c>
      <c r="F1112" s="375" t="s">
        <v>1104</v>
      </c>
      <c r="G1112" s="375" t="s">
        <v>5909</v>
      </c>
      <c r="H1112" s="375" t="s">
        <v>832</v>
      </c>
      <c r="I1112" s="375" t="s">
        <v>755</v>
      </c>
      <c r="J1112" s="375">
        <v>232615.76027</v>
      </c>
      <c r="K1112" s="375">
        <v>24913.393980000001</v>
      </c>
      <c r="L1112" s="375">
        <v>26982.996920000001</v>
      </c>
      <c r="M1112" s="375">
        <v>144488.82719000001</v>
      </c>
      <c r="N1112" s="372">
        <v>0.53900000000000003</v>
      </c>
      <c r="O1112" s="703">
        <v>0.32524914976711017</v>
      </c>
      <c r="P1112" s="375" t="s">
        <v>623</v>
      </c>
      <c r="Q1112" s="372" t="s">
        <v>623</v>
      </c>
      <c r="R1112" s="695">
        <v>20110215</v>
      </c>
      <c r="S1112" s="372" t="s">
        <v>7726</v>
      </c>
      <c r="T1112" s="696">
        <v>0.23100000000000001</v>
      </c>
      <c r="U1112" s="372" t="s">
        <v>7727</v>
      </c>
      <c r="V1112" s="722">
        <v>0</v>
      </c>
      <c r="W1112" s="722">
        <v>1</v>
      </c>
      <c r="X1112" s="722">
        <v>0</v>
      </c>
      <c r="Y1112" s="722">
        <v>0</v>
      </c>
      <c r="Z1112" s="382" t="s">
        <v>934</v>
      </c>
      <c r="AA1112" s="372">
        <v>1602.3435079999999</v>
      </c>
      <c r="AB1112" s="372">
        <v>1974.700775</v>
      </c>
      <c r="AC1112" s="372">
        <v>2351.6556835000001</v>
      </c>
      <c r="AD1112" s="372">
        <v>2326.1576027000001</v>
      </c>
      <c r="AE1112" s="372">
        <v>0</v>
      </c>
      <c r="AF1112" s="372">
        <v>0</v>
      </c>
      <c r="AG1112" s="372">
        <v>0</v>
      </c>
      <c r="AH1112" s="372">
        <v>0</v>
      </c>
    </row>
    <row r="1113" spans="1:34">
      <c r="A1113" s="372" t="s">
        <v>7728</v>
      </c>
      <c r="B1113" s="373" t="s">
        <v>7729</v>
      </c>
      <c r="C1113" s="372" t="s">
        <v>7730</v>
      </c>
      <c r="D1113" s="374">
        <v>1101110006349</v>
      </c>
      <c r="E1113" s="372" t="s">
        <v>7731</v>
      </c>
      <c r="F1113" s="375" t="s">
        <v>1395</v>
      </c>
      <c r="G1113" s="375" t="s">
        <v>1396</v>
      </c>
      <c r="H1113" s="375" t="s">
        <v>1397</v>
      </c>
      <c r="I1113" s="375" t="s">
        <v>755</v>
      </c>
      <c r="J1113" s="375">
        <v>759439.76711999997</v>
      </c>
      <c r="K1113" s="375">
        <v>51726.034030000003</v>
      </c>
      <c r="L1113" s="375">
        <v>59159.544049999997</v>
      </c>
      <c r="M1113" s="375">
        <v>267890.24634999997</v>
      </c>
      <c r="N1113" s="372">
        <v>1.0580000000000001</v>
      </c>
      <c r="O1113" s="703">
        <v>13.150069267498232</v>
      </c>
      <c r="P1113" s="375" t="s">
        <v>623</v>
      </c>
      <c r="Q1113" s="372" t="s">
        <v>623</v>
      </c>
      <c r="R1113" s="695">
        <v>19770625</v>
      </c>
      <c r="S1113" s="372" t="s">
        <v>7732</v>
      </c>
      <c r="T1113" s="696">
        <v>0.23100000000000001</v>
      </c>
      <c r="U1113" s="372" t="s">
        <v>7733</v>
      </c>
      <c r="V1113" s="722">
        <v>0</v>
      </c>
      <c r="W1113" s="722">
        <v>0.63</v>
      </c>
      <c r="X1113" s="722">
        <v>0</v>
      </c>
      <c r="Y1113" s="722">
        <v>0</v>
      </c>
      <c r="Z1113" s="382" t="s">
        <v>934</v>
      </c>
      <c r="AA1113" s="372">
        <v>3772.4725174</v>
      </c>
      <c r="AB1113" s="372">
        <v>4442.4478387999998</v>
      </c>
      <c r="AC1113" s="372">
        <v>6289.3604886000003</v>
      </c>
      <c r="AD1113" s="372">
        <v>7594.3976712000003</v>
      </c>
      <c r="AE1113" s="372">
        <v>0</v>
      </c>
      <c r="AF1113" s="372">
        <v>0</v>
      </c>
      <c r="AG1113" s="372">
        <v>0</v>
      </c>
      <c r="AH1113" s="372">
        <v>0</v>
      </c>
    </row>
    <row r="1114" spans="1:34">
      <c r="A1114" s="372" t="s">
        <v>7734</v>
      </c>
      <c r="B1114" s="373" t="s">
        <v>7735</v>
      </c>
      <c r="C1114" s="372" t="s">
        <v>7736</v>
      </c>
      <c r="D1114" s="374">
        <v>1201110350124</v>
      </c>
      <c r="E1114" s="372" t="s">
        <v>7737</v>
      </c>
      <c r="F1114" s="375" t="s">
        <v>1585</v>
      </c>
      <c r="G1114" s="375" t="s">
        <v>1585</v>
      </c>
      <c r="H1114" s="375" t="s">
        <v>3127</v>
      </c>
      <c r="I1114" s="375" t="s">
        <v>869</v>
      </c>
      <c r="J1114" s="375">
        <v>6241.5414700000001</v>
      </c>
      <c r="K1114" s="375">
        <v>-7474.8991400000004</v>
      </c>
      <c r="L1114" s="375">
        <v>-16129.73805</v>
      </c>
      <c r="M1114" s="375">
        <v>27164.52981</v>
      </c>
      <c r="N1114" s="372">
        <v>0.64600000000000002</v>
      </c>
      <c r="O1114" s="703">
        <v>7.1339729081822556</v>
      </c>
      <c r="P1114" s="375" t="s">
        <v>16142</v>
      </c>
      <c r="Q1114" s="372" t="s">
        <v>16145</v>
      </c>
      <c r="R1114" s="695">
        <v>20040825</v>
      </c>
      <c r="S1114" s="375" t="s">
        <v>7738</v>
      </c>
      <c r="T1114" s="696" t="s">
        <v>772</v>
      </c>
      <c r="U1114" s="372" t="s">
        <v>7739</v>
      </c>
      <c r="V1114" s="722" t="s">
        <v>774</v>
      </c>
      <c r="W1114" s="722">
        <v>5.56</v>
      </c>
      <c r="X1114" s="722">
        <v>24.28</v>
      </c>
      <c r="Y1114" s="722" t="s">
        <v>774</v>
      </c>
      <c r="Z1114" s="382" t="s">
        <v>934</v>
      </c>
      <c r="AA1114" s="372">
        <v>382.95655219999998</v>
      </c>
      <c r="AB1114" s="372">
        <v>133.7742758</v>
      </c>
      <c r="AC1114" s="372">
        <v>43.609772900000003</v>
      </c>
      <c r="AD1114" s="372">
        <v>62.415414699999999</v>
      </c>
      <c r="AE1114" s="372">
        <v>0</v>
      </c>
      <c r="AF1114" s="372">
        <v>0</v>
      </c>
      <c r="AG1114" s="372">
        <v>0</v>
      </c>
      <c r="AH1114" s="372">
        <v>0</v>
      </c>
    </row>
    <row r="1115" spans="1:34">
      <c r="A1115" s="372" t="s">
        <v>7740</v>
      </c>
      <c r="B1115" s="373" t="s">
        <v>7741</v>
      </c>
      <c r="C1115" s="372" t="s">
        <v>7742</v>
      </c>
      <c r="D1115" s="374">
        <v>2001110180384</v>
      </c>
      <c r="E1115" s="372" t="s">
        <v>7743</v>
      </c>
      <c r="F1115" s="375" t="s">
        <v>6673</v>
      </c>
      <c r="G1115" s="375" t="s">
        <v>6673</v>
      </c>
      <c r="H1115" s="375" t="s">
        <v>1388</v>
      </c>
      <c r="I1115" s="375" t="s">
        <v>869</v>
      </c>
      <c r="J1115" s="375">
        <v>46002.760620000001</v>
      </c>
      <c r="K1115" s="375">
        <v>-31080.650269999998</v>
      </c>
      <c r="L1115" s="375">
        <v>-29456.838800000001</v>
      </c>
      <c r="M1115" s="375">
        <v>111422.97474000001</v>
      </c>
      <c r="N1115" s="372">
        <v>1.0029999999999999</v>
      </c>
      <c r="O1115" s="703">
        <v>26.747427491751079</v>
      </c>
      <c r="P1115" s="375" t="s">
        <v>623</v>
      </c>
      <c r="Q1115" s="375" t="s">
        <v>623</v>
      </c>
      <c r="R1115" s="695">
        <v>20140227</v>
      </c>
      <c r="S1115" s="375" t="s">
        <v>7744</v>
      </c>
      <c r="T1115" s="696" t="s">
        <v>772</v>
      </c>
      <c r="U1115" s="375" t="s">
        <v>7745</v>
      </c>
      <c r="V1115" s="722" t="s">
        <v>774</v>
      </c>
      <c r="W1115" s="722">
        <v>1.19</v>
      </c>
      <c r="X1115" s="722">
        <v>2.97</v>
      </c>
      <c r="Y1115" s="722" t="s">
        <v>774</v>
      </c>
      <c r="Z1115" s="382" t="s">
        <v>934</v>
      </c>
      <c r="AA1115" s="372">
        <v>1031.7770992000001</v>
      </c>
      <c r="AB1115" s="372">
        <v>986.80738380000003</v>
      </c>
      <c r="AC1115" s="372">
        <v>769.53984679999996</v>
      </c>
      <c r="AD1115" s="372">
        <v>460.02760619999998</v>
      </c>
      <c r="AE1115" s="372">
        <v>617</v>
      </c>
      <c r="AF1115" s="372">
        <v>718</v>
      </c>
      <c r="AG1115" s="372">
        <v>0</v>
      </c>
      <c r="AH1115" s="372">
        <v>0</v>
      </c>
    </row>
    <row r="1116" spans="1:34">
      <c r="A1116" s="372" t="s">
        <v>7746</v>
      </c>
      <c r="B1116" s="373" t="s">
        <v>7747</v>
      </c>
      <c r="C1116" s="372" t="s">
        <v>7748</v>
      </c>
      <c r="D1116" s="374">
        <v>1101110040793</v>
      </c>
      <c r="E1116" s="372" t="s">
        <v>7749</v>
      </c>
      <c r="F1116" s="375" t="s">
        <v>1614</v>
      </c>
      <c r="G1116" s="375" t="s">
        <v>3843</v>
      </c>
      <c r="H1116" s="375" t="s">
        <v>832</v>
      </c>
      <c r="I1116" s="375" t="s">
        <v>755</v>
      </c>
      <c r="J1116" s="375">
        <v>70748.221179999993</v>
      </c>
      <c r="K1116" s="375">
        <v>17877.381580000001</v>
      </c>
      <c r="L1116" s="375">
        <v>21653.768510000002</v>
      </c>
      <c r="M1116" s="375">
        <v>161981.34847999999</v>
      </c>
      <c r="N1116" s="372">
        <v>0.88600000000000001</v>
      </c>
      <c r="O1116" s="703">
        <v>0.1865501439099192</v>
      </c>
      <c r="P1116" s="375" t="s">
        <v>623</v>
      </c>
      <c r="Q1116" s="375" t="s">
        <v>623</v>
      </c>
      <c r="R1116" s="695">
        <v>19921022</v>
      </c>
      <c r="S1116" s="375" t="s">
        <v>7750</v>
      </c>
      <c r="T1116" s="696">
        <v>0.23100000000000001</v>
      </c>
      <c r="U1116" s="375" t="s">
        <v>7751</v>
      </c>
      <c r="V1116" s="722">
        <v>7.93</v>
      </c>
      <c r="W1116" s="722">
        <v>0.98</v>
      </c>
      <c r="X1116" s="722">
        <v>2.2599999999999998</v>
      </c>
      <c r="Y1116" s="722">
        <v>9.1999999999999993</v>
      </c>
      <c r="Z1116" s="382">
        <v>0.13158092009770139</v>
      </c>
      <c r="AA1116" s="372">
        <v>470.605388</v>
      </c>
      <c r="AB1116" s="372">
        <v>540.66186879999998</v>
      </c>
      <c r="AC1116" s="372">
        <v>596.1347849</v>
      </c>
      <c r="AD1116" s="372">
        <v>707.48221179999996</v>
      </c>
      <c r="AE1116" s="372">
        <v>748</v>
      </c>
      <c r="AF1116" s="372">
        <v>1004</v>
      </c>
      <c r="AG1116" s="372">
        <v>1160</v>
      </c>
      <c r="AH1116" s="372">
        <v>0</v>
      </c>
    </row>
    <row r="1117" spans="1:34">
      <c r="A1117" s="372" t="s">
        <v>7752</v>
      </c>
      <c r="B1117" s="373" t="s">
        <v>7753</v>
      </c>
      <c r="C1117" s="372" t="s">
        <v>7754</v>
      </c>
      <c r="D1117" s="374">
        <v>1348110043711</v>
      </c>
      <c r="E1117" s="372" t="s">
        <v>7755</v>
      </c>
      <c r="F1117" s="375" t="s">
        <v>1286</v>
      </c>
      <c r="G1117" s="375" t="s">
        <v>1465</v>
      </c>
      <c r="H1117" s="375" t="s">
        <v>1388</v>
      </c>
      <c r="I1117" s="375" t="s">
        <v>869</v>
      </c>
      <c r="J1117" s="375">
        <v>159897.62302</v>
      </c>
      <c r="K1117" s="375">
        <v>8014.18768</v>
      </c>
      <c r="L1117" s="375">
        <v>8800.6908999999996</v>
      </c>
      <c r="M1117" s="375">
        <v>223924.85105999999</v>
      </c>
      <c r="N1117" s="372">
        <v>1.278</v>
      </c>
      <c r="O1117" s="703">
        <v>32.851391621788039</v>
      </c>
      <c r="P1117" s="375" t="s">
        <v>623</v>
      </c>
      <c r="Q1117" s="372" t="s">
        <v>623</v>
      </c>
      <c r="R1117" s="695">
        <v>20031229</v>
      </c>
      <c r="S1117" s="372" t="s">
        <v>7756</v>
      </c>
      <c r="T1117" s="696">
        <v>0.20900000000000002</v>
      </c>
      <c r="U1117" s="375" t="s">
        <v>7757</v>
      </c>
      <c r="V1117" s="722">
        <v>7.07</v>
      </c>
      <c r="W1117" s="722">
        <v>0.6</v>
      </c>
      <c r="X1117" s="722">
        <v>0.93</v>
      </c>
      <c r="Y1117" s="722">
        <v>26.34</v>
      </c>
      <c r="Z1117" s="382" t="s">
        <v>934</v>
      </c>
      <c r="AA1117" s="372">
        <v>1961.5892282</v>
      </c>
      <c r="AB1117" s="372">
        <v>2056.7884380999999</v>
      </c>
      <c r="AC1117" s="372">
        <v>1863.8425909</v>
      </c>
      <c r="AD1117" s="372">
        <v>1598.9762301999999</v>
      </c>
      <c r="AE1117" s="372">
        <v>0</v>
      </c>
      <c r="AF1117" s="372">
        <v>0</v>
      </c>
      <c r="AG1117" s="372">
        <v>0</v>
      </c>
      <c r="AH1117" s="372">
        <v>0</v>
      </c>
    </row>
    <row r="1118" spans="1:34">
      <c r="A1118" s="372" t="s">
        <v>7758</v>
      </c>
      <c r="B1118" s="373" t="s">
        <v>7759</v>
      </c>
      <c r="C1118" s="372" t="s">
        <v>7760</v>
      </c>
      <c r="D1118" s="374">
        <v>1760110006963</v>
      </c>
      <c r="E1118" s="372" t="s">
        <v>7761</v>
      </c>
      <c r="F1118" s="375" t="s">
        <v>1286</v>
      </c>
      <c r="G1118" s="375" t="s">
        <v>1286</v>
      </c>
      <c r="H1118" s="375" t="s">
        <v>868</v>
      </c>
      <c r="I1118" s="375" t="s">
        <v>869</v>
      </c>
      <c r="J1118" s="375">
        <v>165129.19375000001</v>
      </c>
      <c r="K1118" s="375">
        <v>-9934.8117299999994</v>
      </c>
      <c r="L1118" s="375">
        <v>-13340.64467</v>
      </c>
      <c r="M1118" s="375">
        <v>104865.3625</v>
      </c>
      <c r="N1118" s="372">
        <v>1.173</v>
      </c>
      <c r="O1118" s="703">
        <v>42.368894403000034</v>
      </c>
      <c r="P1118" s="375" t="s">
        <v>623</v>
      </c>
      <c r="Q1118" s="372" t="s">
        <v>623</v>
      </c>
      <c r="R1118" s="695">
        <v>20170828</v>
      </c>
      <c r="S1118" s="372" t="s">
        <v>7762</v>
      </c>
      <c r="T1118" s="696" t="s">
        <v>772</v>
      </c>
      <c r="U1118" s="375" t="s">
        <v>7763</v>
      </c>
      <c r="V1118" s="722">
        <v>59.75</v>
      </c>
      <c r="W1118" s="722">
        <v>1.47</v>
      </c>
      <c r="X1118" s="722">
        <v>0.9</v>
      </c>
      <c r="Y1118" s="722" t="s">
        <v>774</v>
      </c>
      <c r="Z1118" s="382" t="s">
        <v>934</v>
      </c>
      <c r="AA1118" s="372">
        <v>1533.8299790000001</v>
      </c>
      <c r="AB1118" s="372">
        <v>1756.8336985000001</v>
      </c>
      <c r="AC1118" s="372">
        <v>2089.6871185</v>
      </c>
      <c r="AD1118" s="372">
        <v>1651.2919374999999</v>
      </c>
      <c r="AE1118" s="372">
        <v>1740</v>
      </c>
      <c r="AF1118" s="372">
        <v>2050</v>
      </c>
      <c r="AG1118" s="372">
        <v>0</v>
      </c>
      <c r="AH1118" s="372">
        <v>0</v>
      </c>
    </row>
    <row r="1119" spans="1:34">
      <c r="A1119" s="372" t="s">
        <v>7764</v>
      </c>
      <c r="B1119" s="373" t="s">
        <v>7765</v>
      </c>
      <c r="C1119" s="372" t="s">
        <v>7766</v>
      </c>
      <c r="D1119" s="374">
        <v>1358110124726</v>
      </c>
      <c r="E1119" s="372" t="s">
        <v>7767</v>
      </c>
      <c r="F1119" s="375" t="s">
        <v>1782</v>
      </c>
      <c r="G1119" s="375" t="s">
        <v>2261</v>
      </c>
      <c r="H1119" s="375" t="s">
        <v>868</v>
      </c>
      <c r="I1119" s="375" t="s">
        <v>869</v>
      </c>
      <c r="J1119" s="375">
        <v>439247.11647000001</v>
      </c>
      <c r="K1119" s="375">
        <v>32297.170190000001</v>
      </c>
      <c r="L1119" s="375">
        <v>30110.749950000001</v>
      </c>
      <c r="M1119" s="375">
        <v>160730.99432</v>
      </c>
      <c r="N1119" s="372">
        <v>1.0900000000000001</v>
      </c>
      <c r="O1119" s="703">
        <v>83.529985150565849</v>
      </c>
      <c r="P1119" s="375" t="s">
        <v>623</v>
      </c>
      <c r="Q1119" s="372" t="s">
        <v>623</v>
      </c>
      <c r="R1119" s="695">
        <v>20110808</v>
      </c>
      <c r="S1119" s="372" t="s">
        <v>7768</v>
      </c>
      <c r="T1119" s="696">
        <v>0.23100000000000001</v>
      </c>
      <c r="U1119" s="375" t="s">
        <v>7769</v>
      </c>
      <c r="V1119" s="722">
        <v>5.66</v>
      </c>
      <c r="W1119" s="722">
        <v>0.97</v>
      </c>
      <c r="X1119" s="722">
        <v>0.37</v>
      </c>
      <c r="Y1119" s="722">
        <v>7.8</v>
      </c>
      <c r="Z1119" s="382" t="s">
        <v>934</v>
      </c>
      <c r="AA1119" s="372">
        <v>2676.9538001000001</v>
      </c>
      <c r="AB1119" s="372">
        <v>3929.2329117999998</v>
      </c>
      <c r="AC1119" s="372">
        <v>5116.6631798999997</v>
      </c>
      <c r="AD1119" s="372">
        <v>4392.4711647000004</v>
      </c>
      <c r="AE1119" s="372">
        <v>0</v>
      </c>
      <c r="AF1119" s="372">
        <v>0</v>
      </c>
      <c r="AG1119" s="372">
        <v>0</v>
      </c>
      <c r="AH1119" s="372">
        <v>0</v>
      </c>
    </row>
    <row r="1120" spans="1:34">
      <c r="A1120" s="372" t="s">
        <v>7770</v>
      </c>
      <c r="B1120" s="373" t="s">
        <v>7771</v>
      </c>
      <c r="C1120" s="372" t="s">
        <v>7772</v>
      </c>
      <c r="D1120" s="374">
        <v>1311110246859</v>
      </c>
      <c r="E1120" s="372" t="s">
        <v>7773</v>
      </c>
      <c r="F1120" s="375" t="s">
        <v>1381</v>
      </c>
      <c r="G1120" s="375" t="s">
        <v>1381</v>
      </c>
      <c r="H1120" s="375" t="s">
        <v>1388</v>
      </c>
      <c r="I1120" s="375" t="s">
        <v>869</v>
      </c>
      <c r="J1120" s="375">
        <v>11244.331679999999</v>
      </c>
      <c r="K1120" s="375">
        <v>-11135.37371</v>
      </c>
      <c r="L1120" s="375">
        <v>-10733.71679</v>
      </c>
      <c r="M1120" s="375">
        <v>46068.773150000001</v>
      </c>
      <c r="N1120" s="372">
        <v>0.76700000000000002</v>
      </c>
      <c r="O1120" s="703">
        <v>20.571903545999437</v>
      </c>
      <c r="P1120" s="375" t="s">
        <v>623</v>
      </c>
      <c r="Q1120" s="375" t="s">
        <v>623</v>
      </c>
      <c r="R1120" s="695">
        <v>20191018</v>
      </c>
      <c r="S1120" s="375" t="s">
        <v>7774</v>
      </c>
      <c r="T1120" s="696" t="s">
        <v>772</v>
      </c>
      <c r="U1120" s="375" t="s">
        <v>7775</v>
      </c>
      <c r="V1120" s="722" t="s">
        <v>774</v>
      </c>
      <c r="W1120" s="722">
        <v>2.84</v>
      </c>
      <c r="X1120" s="722">
        <v>11.6</v>
      </c>
      <c r="Y1120" s="722" t="s">
        <v>774</v>
      </c>
      <c r="Z1120" s="382" t="s">
        <v>934</v>
      </c>
      <c r="AA1120" s="372">
        <v>150.41930239999999</v>
      </c>
      <c r="AB1120" s="372">
        <v>197.51768250000001</v>
      </c>
      <c r="AC1120" s="372">
        <v>264.89529720000002</v>
      </c>
      <c r="AD1120" s="372">
        <v>112.44331680000001</v>
      </c>
      <c r="AE1120" s="372">
        <v>0</v>
      </c>
      <c r="AF1120" s="372">
        <v>0</v>
      </c>
      <c r="AG1120" s="372">
        <v>0</v>
      </c>
      <c r="AH1120" s="372">
        <v>0</v>
      </c>
    </row>
    <row r="1121" spans="1:34">
      <c r="A1121" s="372" t="s">
        <v>7776</v>
      </c>
      <c r="B1121" s="373" t="s">
        <v>7777</v>
      </c>
      <c r="C1121" s="372" t="s">
        <v>7778</v>
      </c>
      <c r="D1121" s="374">
        <v>1101116501830</v>
      </c>
      <c r="E1121" s="372" t="s">
        <v>7779</v>
      </c>
      <c r="F1121" s="372" t="s">
        <v>2055</v>
      </c>
      <c r="G1121" s="375" t="s">
        <v>4448</v>
      </c>
      <c r="H1121" s="375" t="s">
        <v>1693</v>
      </c>
      <c r="I1121" s="375" t="s">
        <v>869</v>
      </c>
      <c r="J1121" s="375">
        <v>33751.399460000001</v>
      </c>
      <c r="K1121" s="375">
        <v>-16258.35017</v>
      </c>
      <c r="L1121" s="375">
        <v>-19600.237789999999</v>
      </c>
      <c r="M1121" s="375">
        <v>42236.09231</v>
      </c>
      <c r="N1121" s="372">
        <v>0.81200000000000006</v>
      </c>
      <c r="O1121" s="703">
        <v>9.7057579236133904</v>
      </c>
      <c r="P1121" s="375" t="s">
        <v>623</v>
      </c>
      <c r="Q1121" s="372" t="s">
        <v>623</v>
      </c>
      <c r="R1121" s="695">
        <v>20220428</v>
      </c>
      <c r="S1121" s="372" t="s">
        <v>7780</v>
      </c>
      <c r="T1121" s="696" t="s">
        <v>772</v>
      </c>
      <c r="U1121" s="372" t="s">
        <v>7781</v>
      </c>
      <c r="V1121" s="722" t="s">
        <v>774</v>
      </c>
      <c r="W1121" s="722">
        <v>2.14</v>
      </c>
      <c r="X1121" s="722">
        <v>2.62</v>
      </c>
      <c r="Y1121" s="722" t="s">
        <v>774</v>
      </c>
      <c r="Z1121" s="382" t="s">
        <v>934</v>
      </c>
      <c r="AA1121" s="372">
        <v>139.9349699</v>
      </c>
      <c r="AB1121" s="372">
        <v>222.7603484</v>
      </c>
      <c r="AC1121" s="372">
        <v>161.9429835</v>
      </c>
      <c r="AD1121" s="372">
        <v>337.51399459999999</v>
      </c>
      <c r="AE1121" s="372">
        <v>0</v>
      </c>
      <c r="AF1121" s="372">
        <v>0</v>
      </c>
      <c r="AG1121" s="372">
        <v>0</v>
      </c>
      <c r="AH1121" s="372">
        <v>0</v>
      </c>
    </row>
    <row r="1122" spans="1:34">
      <c r="A1122" s="372" t="s">
        <v>7782</v>
      </c>
      <c r="B1122" s="373" t="s">
        <v>7783</v>
      </c>
      <c r="C1122" s="372" t="s">
        <v>7784</v>
      </c>
      <c r="D1122" s="374">
        <v>1348110216516</v>
      </c>
      <c r="E1122" s="372" t="s">
        <v>7785</v>
      </c>
      <c r="F1122" s="375" t="s">
        <v>2077</v>
      </c>
      <c r="G1122" s="375" t="s">
        <v>4743</v>
      </c>
      <c r="H1122" s="375" t="s">
        <v>868</v>
      </c>
      <c r="I1122" s="375" t="s">
        <v>869</v>
      </c>
      <c r="J1122" s="375">
        <v>142985.96166999999</v>
      </c>
      <c r="K1122" s="375">
        <v>19695.606889999999</v>
      </c>
      <c r="L1122" s="375">
        <v>23525.37887</v>
      </c>
      <c r="M1122" s="375">
        <v>240798.42976999999</v>
      </c>
      <c r="N1122" s="372">
        <v>0.88400000000000001</v>
      </c>
      <c r="O1122" s="703">
        <v>2.838182913158962</v>
      </c>
      <c r="P1122" s="375" t="s">
        <v>623</v>
      </c>
      <c r="Q1122" s="372" t="s">
        <v>623</v>
      </c>
      <c r="R1122" s="695">
        <v>20160411</v>
      </c>
      <c r="S1122" s="372" t="s">
        <v>7786</v>
      </c>
      <c r="T1122" s="696">
        <v>0.23100000000000001</v>
      </c>
      <c r="U1122" s="372" t="s">
        <v>7787</v>
      </c>
      <c r="V1122" s="722">
        <v>6.54</v>
      </c>
      <c r="W1122" s="722">
        <v>0.61</v>
      </c>
      <c r="X1122" s="722">
        <v>1.08</v>
      </c>
      <c r="Y1122" s="722">
        <v>7.91</v>
      </c>
      <c r="Z1122" s="382">
        <v>4.444274667185244E-2</v>
      </c>
      <c r="AA1122" s="372">
        <v>1015.2389081</v>
      </c>
      <c r="AB1122" s="372">
        <v>1345.6772120999999</v>
      </c>
      <c r="AC1122" s="372">
        <v>1471.6076383</v>
      </c>
      <c r="AD1122" s="372">
        <v>1429.8596167000001</v>
      </c>
      <c r="AE1122" s="372">
        <v>1432.5</v>
      </c>
      <c r="AF1122" s="372">
        <v>1559</v>
      </c>
      <c r="AG1122" s="372">
        <v>1701.5</v>
      </c>
      <c r="AH1122" s="372">
        <v>0</v>
      </c>
    </row>
    <row r="1123" spans="1:34">
      <c r="A1123" s="372" t="s">
        <v>7788</v>
      </c>
      <c r="B1123" s="373" t="s">
        <v>7789</v>
      </c>
      <c r="C1123" s="372" t="s">
        <v>7790</v>
      </c>
      <c r="D1123" s="374">
        <v>1101110305288</v>
      </c>
      <c r="E1123" s="372" t="s">
        <v>7791</v>
      </c>
      <c r="F1123" s="375" t="s">
        <v>7792</v>
      </c>
      <c r="G1123" s="375" t="s">
        <v>7792</v>
      </c>
      <c r="H1123" s="375" t="s">
        <v>823</v>
      </c>
      <c r="I1123" s="375" t="s">
        <v>755</v>
      </c>
      <c r="J1123" s="375">
        <v>1488920.67105</v>
      </c>
      <c r="K1123" s="375">
        <v>26424.24497</v>
      </c>
      <c r="L1123" s="375">
        <v>14920.26784</v>
      </c>
      <c r="M1123" s="375">
        <v>289890.81219999999</v>
      </c>
      <c r="N1123" s="372">
        <v>0.92500000000000004</v>
      </c>
      <c r="O1123" s="703">
        <v>279.79605435022586</v>
      </c>
      <c r="P1123" s="375" t="s">
        <v>623</v>
      </c>
      <c r="Q1123" s="372" t="s">
        <v>623</v>
      </c>
      <c r="R1123" s="695">
        <v>20010727</v>
      </c>
      <c r="S1123" s="375" t="s">
        <v>7793</v>
      </c>
      <c r="T1123" s="696">
        <v>0.20900000000000002</v>
      </c>
      <c r="U1123" s="372" t="s">
        <v>7794</v>
      </c>
      <c r="V1123" s="722">
        <v>6.28</v>
      </c>
      <c r="W1123" s="722">
        <v>0.53</v>
      </c>
      <c r="X1123" s="722">
        <v>0.1</v>
      </c>
      <c r="Y1123" s="722">
        <v>14.35</v>
      </c>
      <c r="Z1123" s="382" t="s">
        <v>934</v>
      </c>
      <c r="AA1123" s="372">
        <v>12402.5189264</v>
      </c>
      <c r="AB1123" s="372">
        <v>13292.516608899999</v>
      </c>
      <c r="AC1123" s="372">
        <v>14113.0516929</v>
      </c>
      <c r="AD1123" s="372">
        <v>14889.206710500001</v>
      </c>
      <c r="AE1123" s="372">
        <v>15640</v>
      </c>
      <c r="AF1123" s="372">
        <v>16090</v>
      </c>
      <c r="AG1123" s="372">
        <v>0</v>
      </c>
      <c r="AH1123" s="372">
        <v>0</v>
      </c>
    </row>
    <row r="1124" spans="1:34">
      <c r="A1124" s="372" t="s">
        <v>7795</v>
      </c>
      <c r="B1124" s="373" t="s">
        <v>7796</v>
      </c>
      <c r="C1124" s="372" t="s">
        <v>7797</v>
      </c>
      <c r="D1124" s="374">
        <v>1101110265523</v>
      </c>
      <c r="E1124" s="372" t="s">
        <v>7798</v>
      </c>
      <c r="F1124" s="375" t="s">
        <v>6902</v>
      </c>
      <c r="G1124" s="375" t="s">
        <v>6902</v>
      </c>
      <c r="H1124" s="375" t="s">
        <v>1348</v>
      </c>
      <c r="I1124" s="375" t="s">
        <v>869</v>
      </c>
      <c r="J1124" s="375">
        <v>331046.89400999999</v>
      </c>
      <c r="K1124" s="375">
        <v>-342.35568999999998</v>
      </c>
      <c r="L1124" s="375">
        <v>-24418.95363</v>
      </c>
      <c r="M1124" s="375">
        <v>157370.34349</v>
      </c>
      <c r="N1124" s="372">
        <v>1.0049999999999999</v>
      </c>
      <c r="O1124" s="703">
        <v>70.033794596495099</v>
      </c>
      <c r="P1124" s="375" t="s">
        <v>623</v>
      </c>
      <c r="Q1124" s="375" t="s">
        <v>623</v>
      </c>
      <c r="R1124" s="695">
        <v>19940218</v>
      </c>
      <c r="S1124" s="375" t="s">
        <v>7799</v>
      </c>
      <c r="T1124" s="696" t="s">
        <v>772</v>
      </c>
      <c r="U1124" s="372" t="s">
        <v>7800</v>
      </c>
      <c r="V1124" s="722">
        <v>31.94</v>
      </c>
      <c r="W1124" s="722">
        <v>1.06</v>
      </c>
      <c r="X1124" s="722">
        <v>0.56999999999999995</v>
      </c>
      <c r="Y1124" s="722" t="s">
        <v>774</v>
      </c>
      <c r="Z1124" s="382" t="s">
        <v>934</v>
      </c>
      <c r="AA1124" s="372">
        <v>3349.7458109999998</v>
      </c>
      <c r="AB1124" s="372">
        <v>3197.6743342999998</v>
      </c>
      <c r="AC1124" s="372">
        <v>3384.5889864000001</v>
      </c>
      <c r="AD1124" s="372">
        <v>3310.4689401000001</v>
      </c>
      <c r="AE1124" s="372">
        <v>0</v>
      </c>
      <c r="AF1124" s="372">
        <v>0</v>
      </c>
      <c r="AG1124" s="372">
        <v>0</v>
      </c>
      <c r="AH1124" s="372">
        <v>0</v>
      </c>
    </row>
    <row r="1125" spans="1:34">
      <c r="A1125" s="372" t="s">
        <v>7801</v>
      </c>
      <c r="B1125" s="373" t="s">
        <v>7802</v>
      </c>
      <c r="C1125" s="372" t="s">
        <v>7803</v>
      </c>
      <c r="D1125" s="374">
        <v>1942110000472</v>
      </c>
      <c r="E1125" s="372" t="s">
        <v>7804</v>
      </c>
      <c r="F1125" s="372" t="s">
        <v>900</v>
      </c>
      <c r="G1125" s="375" t="s">
        <v>901</v>
      </c>
      <c r="H1125" s="375" t="s">
        <v>862</v>
      </c>
      <c r="I1125" s="375" t="s">
        <v>755</v>
      </c>
      <c r="J1125" s="375">
        <v>1191171.30214</v>
      </c>
      <c r="K1125" s="375">
        <v>43299.144220000002</v>
      </c>
      <c r="L1125" s="375">
        <v>46736.060389999999</v>
      </c>
      <c r="M1125" s="375">
        <v>530556.78529999999</v>
      </c>
      <c r="N1125" s="372">
        <v>1.2150000000000001</v>
      </c>
      <c r="O1125" s="703">
        <v>102.72863334842958</v>
      </c>
      <c r="P1125" s="375" t="s">
        <v>623</v>
      </c>
      <c r="Q1125" s="372" t="s">
        <v>623</v>
      </c>
      <c r="R1125" s="695">
        <v>19890530</v>
      </c>
      <c r="S1125" s="372" t="s">
        <v>7805</v>
      </c>
      <c r="T1125" s="696">
        <v>0.23100000000000001</v>
      </c>
      <c r="U1125" s="372" t="s">
        <v>7806</v>
      </c>
      <c r="V1125" s="722">
        <v>4.5599999999999996</v>
      </c>
      <c r="W1125" s="722">
        <v>0.43</v>
      </c>
      <c r="X1125" s="722">
        <v>0.13</v>
      </c>
      <c r="Y1125" s="722">
        <v>8.52</v>
      </c>
      <c r="Z1125" s="382" t="s">
        <v>934</v>
      </c>
      <c r="AA1125" s="372">
        <v>7894.2857186000001</v>
      </c>
      <c r="AB1125" s="372">
        <v>9983.4981908000009</v>
      </c>
      <c r="AC1125" s="372">
        <v>10948.1689621</v>
      </c>
      <c r="AD1125" s="372">
        <v>11911.713021400001</v>
      </c>
      <c r="AE1125" s="372">
        <v>0</v>
      </c>
      <c r="AF1125" s="372">
        <v>0</v>
      </c>
      <c r="AG1125" s="372">
        <v>0</v>
      </c>
      <c r="AH1125" s="372">
        <v>0</v>
      </c>
    </row>
    <row r="1126" spans="1:34">
      <c r="A1126" s="372" t="s">
        <v>7807</v>
      </c>
      <c r="B1126" s="373" t="s">
        <v>7808</v>
      </c>
      <c r="C1126" s="372" t="s">
        <v>7809</v>
      </c>
      <c r="D1126" s="374">
        <v>1101111192981</v>
      </c>
      <c r="E1126" s="372" t="s">
        <v>7810</v>
      </c>
      <c r="F1126" s="375" t="s">
        <v>1368</v>
      </c>
      <c r="G1126" s="375" t="s">
        <v>1368</v>
      </c>
      <c r="H1126" s="375" t="s">
        <v>868</v>
      </c>
      <c r="I1126" s="375" t="s">
        <v>869</v>
      </c>
      <c r="J1126" s="375">
        <v>101690.82373</v>
      </c>
      <c r="K1126" s="375">
        <v>7084.8564900000001</v>
      </c>
      <c r="L1126" s="375">
        <v>9992.3345200000003</v>
      </c>
      <c r="M1126" s="375">
        <v>135983.99593999999</v>
      </c>
      <c r="N1126" s="372">
        <v>0.97699999999999998</v>
      </c>
      <c r="O1126" s="703">
        <v>24.164500980607389</v>
      </c>
      <c r="P1126" s="375" t="s">
        <v>623</v>
      </c>
      <c r="Q1126" s="375" t="s">
        <v>623</v>
      </c>
      <c r="R1126" s="695">
        <v>20010515</v>
      </c>
      <c r="S1126" s="375" t="s">
        <v>7811</v>
      </c>
      <c r="T1126" s="696">
        <v>0.20900000000000002</v>
      </c>
      <c r="U1126" s="372" t="s">
        <v>16045</v>
      </c>
      <c r="V1126" s="722">
        <v>11.93</v>
      </c>
      <c r="W1126" s="722">
        <v>1.1000000000000001</v>
      </c>
      <c r="X1126" s="722">
        <v>1.47</v>
      </c>
      <c r="Y1126" s="722">
        <v>18.579999999999998</v>
      </c>
      <c r="Z1126" s="382" t="s">
        <v>934</v>
      </c>
      <c r="AA1126" s="372">
        <v>888.9882126</v>
      </c>
      <c r="AB1126" s="372">
        <v>1028.0183222999999</v>
      </c>
      <c r="AC1126" s="372">
        <v>991.53525119999995</v>
      </c>
      <c r="AD1126" s="372">
        <v>1016.9082373</v>
      </c>
      <c r="AE1126" s="372">
        <v>0</v>
      </c>
      <c r="AF1126" s="372">
        <v>0</v>
      </c>
      <c r="AG1126" s="372">
        <v>0</v>
      </c>
      <c r="AH1126" s="372">
        <v>0</v>
      </c>
    </row>
    <row r="1127" spans="1:34">
      <c r="A1127" s="372" t="s">
        <v>7812</v>
      </c>
      <c r="B1127" s="373" t="s">
        <v>7813</v>
      </c>
      <c r="C1127" s="372" t="s">
        <v>7814</v>
      </c>
      <c r="D1127" s="374">
        <v>1101114445072</v>
      </c>
      <c r="E1127" s="372" t="s">
        <v>7815</v>
      </c>
      <c r="F1127" s="375" t="s">
        <v>1381</v>
      </c>
      <c r="G1127" s="375" t="s">
        <v>1381</v>
      </c>
      <c r="H1127" s="375" t="s">
        <v>1693</v>
      </c>
      <c r="I1127" s="375" t="s">
        <v>869</v>
      </c>
      <c r="J1127" s="375">
        <v>1765.5672</v>
      </c>
      <c r="K1127" s="375">
        <v>-16524.563999999998</v>
      </c>
      <c r="L1127" s="375">
        <v>-13230.85</v>
      </c>
      <c r="M1127" s="375">
        <v>25518.079699999998</v>
      </c>
      <c r="N1127" s="372">
        <v>1.0720000000000001</v>
      </c>
      <c r="O1127" s="703">
        <v>12.699336427443228</v>
      </c>
      <c r="P1127" s="375" t="s">
        <v>623</v>
      </c>
      <c r="Q1127" s="375" t="s">
        <v>623</v>
      </c>
      <c r="R1127" s="695">
        <v>20210727</v>
      </c>
      <c r="S1127" s="372" t="s">
        <v>7816</v>
      </c>
      <c r="T1127" s="696" t="s">
        <v>772</v>
      </c>
      <c r="U1127" s="372" t="s">
        <v>7817</v>
      </c>
      <c r="V1127" s="722" t="s">
        <v>774</v>
      </c>
      <c r="W1127" s="722">
        <v>5.38</v>
      </c>
      <c r="X1127" s="722">
        <v>77.7</v>
      </c>
      <c r="Y1127" s="722" t="s">
        <v>774</v>
      </c>
      <c r="Z1127" s="382" t="s">
        <v>934</v>
      </c>
      <c r="AA1127" s="372">
        <v>19.8267168</v>
      </c>
      <c r="AB1127" s="372">
        <v>23.6727153</v>
      </c>
      <c r="AC1127" s="372">
        <v>28.963593800000002</v>
      </c>
      <c r="AD1127" s="372">
        <v>17.655671999999999</v>
      </c>
      <c r="AE1127" s="372">
        <v>0</v>
      </c>
      <c r="AF1127" s="372">
        <v>0</v>
      </c>
      <c r="AG1127" s="372">
        <v>0</v>
      </c>
      <c r="AH1127" s="372">
        <v>0</v>
      </c>
    </row>
    <row r="1128" spans="1:34">
      <c r="A1128" s="372" t="s">
        <v>7818</v>
      </c>
      <c r="B1128" s="373" t="s">
        <v>7819</v>
      </c>
      <c r="C1128" s="372" t="s">
        <v>7820</v>
      </c>
      <c r="D1128" s="374">
        <v>1341110036992</v>
      </c>
      <c r="E1128" s="372" t="s">
        <v>7821</v>
      </c>
      <c r="F1128" s="375" t="s">
        <v>7822</v>
      </c>
      <c r="G1128" s="375" t="s">
        <v>7822</v>
      </c>
      <c r="H1128" s="375" t="s">
        <v>1950</v>
      </c>
      <c r="I1128" s="375" t="s">
        <v>869</v>
      </c>
      <c r="J1128" s="375">
        <v>339300.78142000001</v>
      </c>
      <c r="K1128" s="375">
        <v>-3114.2634499999999</v>
      </c>
      <c r="L1128" s="375">
        <v>43984.476640000001</v>
      </c>
      <c r="M1128" s="375">
        <v>320351.27568999998</v>
      </c>
      <c r="N1128" s="372">
        <v>0.68400000000000005</v>
      </c>
      <c r="O1128" s="703">
        <v>72.202027205690769</v>
      </c>
      <c r="P1128" s="375" t="s">
        <v>16142</v>
      </c>
      <c r="Q1128" s="372" t="s">
        <v>623</v>
      </c>
      <c r="R1128" s="695">
        <v>19991229</v>
      </c>
      <c r="S1128" s="372" t="s">
        <v>7823</v>
      </c>
      <c r="T1128" s="696">
        <v>0.23100000000000001</v>
      </c>
      <c r="U1128" s="372" t="s">
        <v>7824</v>
      </c>
      <c r="V1128" s="722">
        <v>12.1</v>
      </c>
      <c r="W1128" s="722">
        <v>0.52</v>
      </c>
      <c r="X1128" s="722">
        <v>0.56000000000000005</v>
      </c>
      <c r="Y1128" s="722">
        <v>4.38</v>
      </c>
      <c r="Z1128" s="382" t="s">
        <v>934</v>
      </c>
      <c r="AA1128" s="372">
        <v>2794.1900366999998</v>
      </c>
      <c r="AB1128" s="372">
        <v>2956.8260482000001</v>
      </c>
      <c r="AC1128" s="372">
        <v>3242.6844725000001</v>
      </c>
      <c r="AD1128" s="372">
        <v>3393.0078142000002</v>
      </c>
      <c r="AE1128" s="372">
        <v>0</v>
      </c>
      <c r="AF1128" s="372">
        <v>0</v>
      </c>
      <c r="AG1128" s="372">
        <v>0</v>
      </c>
      <c r="AH1128" s="372">
        <v>0</v>
      </c>
    </row>
    <row r="1129" spans="1:34">
      <c r="A1129" s="372" t="s">
        <v>7825</v>
      </c>
      <c r="B1129" s="373" t="s">
        <v>7826</v>
      </c>
      <c r="C1129" s="372" t="s">
        <v>7827</v>
      </c>
      <c r="D1129" s="374">
        <v>1701110017237</v>
      </c>
      <c r="E1129" s="372" t="s">
        <v>7828</v>
      </c>
      <c r="F1129" s="375" t="s">
        <v>2649</v>
      </c>
      <c r="G1129" s="375" t="s">
        <v>2650</v>
      </c>
      <c r="H1129" s="375" t="s">
        <v>823</v>
      </c>
      <c r="I1129" s="375" t="s">
        <v>755</v>
      </c>
      <c r="J1129" s="375">
        <v>1216816.66986</v>
      </c>
      <c r="K1129" s="375">
        <v>9963.5709700000007</v>
      </c>
      <c r="L1129" s="375">
        <v>216214.23947999999</v>
      </c>
      <c r="M1129" s="375">
        <v>559034.23487000004</v>
      </c>
      <c r="N1129" s="372">
        <v>0.79600000000000004</v>
      </c>
      <c r="O1129" s="703">
        <v>160.6012658550228</v>
      </c>
      <c r="P1129" s="375" t="s">
        <v>623</v>
      </c>
      <c r="Q1129" s="372" t="s">
        <v>623</v>
      </c>
      <c r="R1129" s="695">
        <v>19991222</v>
      </c>
      <c r="S1129" s="372" t="s">
        <v>7829</v>
      </c>
      <c r="T1129" s="696">
        <v>0.23100000000000001</v>
      </c>
      <c r="U1129" s="372" t="s">
        <v>7830</v>
      </c>
      <c r="V1129" s="722">
        <v>6.67</v>
      </c>
      <c r="W1129" s="722">
        <v>0.38</v>
      </c>
      <c r="X1129" s="722">
        <v>0.13</v>
      </c>
      <c r="Y1129" s="722">
        <v>1.05</v>
      </c>
      <c r="Z1129" s="382" t="s">
        <v>934</v>
      </c>
      <c r="AA1129" s="372">
        <v>8843.0267215999993</v>
      </c>
      <c r="AB1129" s="372">
        <v>9385.8520795999993</v>
      </c>
      <c r="AC1129" s="372">
        <v>12531.6991769</v>
      </c>
      <c r="AD1129" s="372">
        <v>12168.1666986</v>
      </c>
      <c r="AE1129" s="372">
        <v>0</v>
      </c>
      <c r="AF1129" s="372">
        <v>0</v>
      </c>
      <c r="AG1129" s="372">
        <v>0</v>
      </c>
      <c r="AH1129" s="372">
        <v>0</v>
      </c>
    </row>
    <row r="1130" spans="1:34">
      <c r="A1130" s="372" t="s">
        <v>7831</v>
      </c>
      <c r="B1130" s="373" t="s">
        <v>7832</v>
      </c>
      <c r="C1130" s="372" t="s">
        <v>7833</v>
      </c>
      <c r="D1130" s="374">
        <v>1601110172108</v>
      </c>
      <c r="E1130" s="372" t="s">
        <v>7834</v>
      </c>
      <c r="F1130" s="375" t="s">
        <v>1195</v>
      </c>
      <c r="G1130" s="375" t="s">
        <v>1196</v>
      </c>
      <c r="H1130" s="375" t="s">
        <v>1388</v>
      </c>
      <c r="I1130" s="375" t="s">
        <v>869</v>
      </c>
      <c r="J1130" s="375">
        <v>0</v>
      </c>
      <c r="K1130" s="375">
        <v>0</v>
      </c>
      <c r="L1130" s="375">
        <v>0</v>
      </c>
      <c r="M1130" s="375">
        <v>60688.559650000003</v>
      </c>
      <c r="N1130" s="372" t="s">
        <v>1033</v>
      </c>
      <c r="O1130" s="703">
        <v>0</v>
      </c>
      <c r="P1130" s="375" t="s">
        <v>623</v>
      </c>
      <c r="Q1130" s="375" t="s">
        <v>623</v>
      </c>
      <c r="R1130" s="695">
        <v>20231026</v>
      </c>
      <c r="S1130" s="375" t="s">
        <v>7835</v>
      </c>
      <c r="T1130" s="696" t="s">
        <v>772</v>
      </c>
      <c r="U1130" s="375" t="s">
        <v>7836</v>
      </c>
      <c r="V1130" s="722">
        <v>0</v>
      </c>
      <c r="W1130" s="722">
        <v>2.46</v>
      </c>
      <c r="X1130" s="722">
        <v>0</v>
      </c>
      <c r="Y1130" s="722">
        <v>0</v>
      </c>
      <c r="Z1130" s="382" t="s">
        <v>934</v>
      </c>
      <c r="AA1130" s="372">
        <v>234.50602929999999</v>
      </c>
      <c r="AB1130" s="372">
        <v>266.91070760000002</v>
      </c>
      <c r="AC1130" s="372">
        <v>228.35113390000001</v>
      </c>
      <c r="AD1130" s="372">
        <v>128.45576070000001</v>
      </c>
      <c r="AE1130" s="372">
        <v>202</v>
      </c>
      <c r="AF1130" s="372">
        <v>0</v>
      </c>
      <c r="AG1130" s="372">
        <v>0</v>
      </c>
      <c r="AH1130" s="372">
        <v>0</v>
      </c>
    </row>
    <row r="1131" spans="1:34">
      <c r="A1131" s="372" t="s">
        <v>7837</v>
      </c>
      <c r="B1131" s="373" t="s">
        <v>7838</v>
      </c>
      <c r="C1131" s="372" t="s">
        <v>7839</v>
      </c>
      <c r="D1131" s="374">
        <v>1101116895217</v>
      </c>
      <c r="E1131" s="372" t="s">
        <v>7840</v>
      </c>
      <c r="F1131" s="375" t="s">
        <v>5655</v>
      </c>
      <c r="G1131" s="375" t="s">
        <v>5655</v>
      </c>
      <c r="H1131" s="375" t="s">
        <v>1547</v>
      </c>
      <c r="I1131" s="375" t="s">
        <v>869</v>
      </c>
      <c r="J1131" s="375">
        <v>111346.90432</v>
      </c>
      <c r="K1131" s="375">
        <v>22862.982639999998</v>
      </c>
      <c r="L1131" s="375">
        <v>11942.2628</v>
      </c>
      <c r="M1131" s="375">
        <v>101123.63649</v>
      </c>
      <c r="N1131" s="372">
        <v>0.78100000000000003</v>
      </c>
      <c r="O1131" s="703">
        <v>39.688519688781128</v>
      </c>
      <c r="P1131" s="375" t="s">
        <v>623</v>
      </c>
      <c r="Q1131" s="375" t="s">
        <v>623</v>
      </c>
      <c r="R1131" s="695">
        <v>20181221</v>
      </c>
      <c r="S1131" s="375" t="s">
        <v>7841</v>
      </c>
      <c r="T1131" s="696">
        <v>0.20900000000000002</v>
      </c>
      <c r="U1131" s="372" t="s">
        <v>7842</v>
      </c>
      <c r="V1131" s="722">
        <v>4.55</v>
      </c>
      <c r="W1131" s="722">
        <v>1.58</v>
      </c>
      <c r="X1131" s="722">
        <v>1.34</v>
      </c>
      <c r="Y1131" s="722">
        <v>16.79</v>
      </c>
      <c r="Z1131" s="382" t="s">
        <v>934</v>
      </c>
      <c r="AA1131" s="372">
        <v>158.8592093</v>
      </c>
      <c r="AB1131" s="372">
        <v>490.36805409999999</v>
      </c>
      <c r="AC1131" s="372">
        <v>578.16068959999996</v>
      </c>
      <c r="AD1131" s="372">
        <v>1113.4690432</v>
      </c>
      <c r="AE1131" s="372">
        <v>1384</v>
      </c>
      <c r="AF1131" s="372">
        <v>0</v>
      </c>
      <c r="AG1131" s="372">
        <v>0</v>
      </c>
      <c r="AH1131" s="372">
        <v>0</v>
      </c>
    </row>
    <row r="1132" spans="1:34">
      <c r="A1132" s="372" t="s">
        <v>7843</v>
      </c>
      <c r="B1132" s="373" t="s">
        <v>7844</v>
      </c>
      <c r="C1132" s="372" t="s">
        <v>7845</v>
      </c>
      <c r="D1132" s="374">
        <v>1101111983653</v>
      </c>
      <c r="E1132" s="372" t="s">
        <v>7846</v>
      </c>
      <c r="F1132" s="375" t="s">
        <v>2147</v>
      </c>
      <c r="G1132" s="375" t="s">
        <v>4509</v>
      </c>
      <c r="H1132" s="375" t="s">
        <v>868</v>
      </c>
      <c r="I1132" s="375" t="s">
        <v>869</v>
      </c>
      <c r="J1132" s="375">
        <v>92046.040609999996</v>
      </c>
      <c r="K1132" s="375">
        <v>7052.26746</v>
      </c>
      <c r="L1132" s="375">
        <v>6786.9396500000003</v>
      </c>
      <c r="M1132" s="375">
        <v>86121.178390000001</v>
      </c>
      <c r="N1132" s="372">
        <v>0.746</v>
      </c>
      <c r="O1132" s="703">
        <v>37.21643314418651</v>
      </c>
      <c r="P1132" s="375" t="s">
        <v>623</v>
      </c>
      <c r="Q1132" s="372" t="s">
        <v>623</v>
      </c>
      <c r="R1132" s="695">
        <v>20130305</v>
      </c>
      <c r="S1132" s="372" t="s">
        <v>7847</v>
      </c>
      <c r="T1132" s="696">
        <v>0.20900000000000002</v>
      </c>
      <c r="U1132" s="372" t="s">
        <v>7848</v>
      </c>
      <c r="V1132" s="722">
        <v>14.91</v>
      </c>
      <c r="W1132" s="722">
        <v>2.15</v>
      </c>
      <c r="X1132" s="722">
        <v>1.72</v>
      </c>
      <c r="Y1132" s="722">
        <v>38.950000000000003</v>
      </c>
      <c r="Z1132" s="382" t="s">
        <v>934</v>
      </c>
      <c r="AA1132" s="372">
        <v>404.96102250000001</v>
      </c>
      <c r="AB1132" s="372">
        <v>446.29700359999998</v>
      </c>
      <c r="AC1132" s="372">
        <v>639.08978490000004</v>
      </c>
      <c r="AD1132" s="372">
        <v>920.4604061</v>
      </c>
      <c r="AE1132" s="372">
        <v>840</v>
      </c>
      <c r="AF1132" s="372">
        <v>0</v>
      </c>
      <c r="AG1132" s="372">
        <v>0</v>
      </c>
      <c r="AH1132" s="372">
        <v>0</v>
      </c>
    </row>
    <row r="1133" spans="1:34">
      <c r="A1133" s="372" t="s">
        <v>7849</v>
      </c>
      <c r="B1133" s="373" t="s">
        <v>7850</v>
      </c>
      <c r="C1133" s="372" t="s">
        <v>7851</v>
      </c>
      <c r="D1133" s="374">
        <v>1341110422240</v>
      </c>
      <c r="E1133" s="372" t="s">
        <v>7852</v>
      </c>
      <c r="F1133" s="375" t="s">
        <v>786</v>
      </c>
      <c r="G1133" s="375" t="s">
        <v>786</v>
      </c>
      <c r="H1133" s="375" t="s">
        <v>868</v>
      </c>
      <c r="I1133" s="375" t="s">
        <v>869</v>
      </c>
      <c r="J1133" s="375">
        <v>14295.99547</v>
      </c>
      <c r="K1133" s="375">
        <v>-55092.344299999997</v>
      </c>
      <c r="L1133" s="375">
        <v>-51854.577429999998</v>
      </c>
      <c r="M1133" s="375">
        <v>113517.12338</v>
      </c>
      <c r="N1133" s="372">
        <v>1.2490000000000001</v>
      </c>
      <c r="O1133" s="703">
        <v>25.565333179349185</v>
      </c>
      <c r="P1133" s="375" t="s">
        <v>623</v>
      </c>
      <c r="Q1133" s="372" t="s">
        <v>623</v>
      </c>
      <c r="R1133" s="695">
        <v>20181226</v>
      </c>
      <c r="S1133" s="372" t="s">
        <v>7853</v>
      </c>
      <c r="T1133" s="696" t="s">
        <v>772</v>
      </c>
      <c r="U1133" s="372" t="s">
        <v>7854</v>
      </c>
      <c r="V1133" s="722" t="s">
        <v>774</v>
      </c>
      <c r="W1133" s="722">
        <v>3.23</v>
      </c>
      <c r="X1133" s="722">
        <v>13.96</v>
      </c>
      <c r="Y1133" s="722" t="s">
        <v>774</v>
      </c>
      <c r="Z1133" s="382" t="s">
        <v>934</v>
      </c>
      <c r="AA1133" s="372">
        <v>1.5058130999999999</v>
      </c>
      <c r="AB1133" s="372">
        <v>4.5124582000000002</v>
      </c>
      <c r="AC1133" s="372">
        <v>140.8460819</v>
      </c>
      <c r="AD1133" s="372">
        <v>142.9599547</v>
      </c>
      <c r="AE1133" s="372">
        <v>0</v>
      </c>
      <c r="AF1133" s="372">
        <v>0</v>
      </c>
      <c r="AG1133" s="372">
        <v>0</v>
      </c>
      <c r="AH1133" s="372">
        <v>0</v>
      </c>
    </row>
    <row r="1134" spans="1:34">
      <c r="A1134" s="372" t="s">
        <v>7855</v>
      </c>
      <c r="B1134" s="373" t="s">
        <v>7856</v>
      </c>
      <c r="C1134" s="372" t="s">
        <v>7857</v>
      </c>
      <c r="D1134" s="374">
        <v>1301110012050</v>
      </c>
      <c r="E1134" s="372" t="s">
        <v>7858</v>
      </c>
      <c r="F1134" s="375" t="s">
        <v>3924</v>
      </c>
      <c r="G1134" s="375" t="s">
        <v>7859</v>
      </c>
      <c r="H1134" s="375" t="s">
        <v>902</v>
      </c>
      <c r="I1134" s="375" t="s">
        <v>869</v>
      </c>
      <c r="J1134" s="375">
        <v>135789.25083999999</v>
      </c>
      <c r="K1134" s="375">
        <v>24779.485519999998</v>
      </c>
      <c r="L1134" s="375">
        <v>25017.006359999999</v>
      </c>
      <c r="M1134" s="375">
        <v>177308.32589000001</v>
      </c>
      <c r="N1134" s="372">
        <v>1.1539999999999999</v>
      </c>
      <c r="O1134" s="703">
        <v>0</v>
      </c>
      <c r="P1134" s="375" t="s">
        <v>623</v>
      </c>
      <c r="Q1134" s="375" t="s">
        <v>623</v>
      </c>
      <c r="R1134" s="695">
        <v>19910705</v>
      </c>
      <c r="S1134" s="375" t="s">
        <v>7860</v>
      </c>
      <c r="T1134" s="696">
        <v>0.23100000000000001</v>
      </c>
      <c r="U1134" s="372" t="s">
        <v>7861</v>
      </c>
      <c r="V1134" s="722">
        <v>0</v>
      </c>
      <c r="W1134" s="722">
        <v>0.93</v>
      </c>
      <c r="X1134" s="722">
        <v>0</v>
      </c>
      <c r="Y1134" s="722">
        <v>0</v>
      </c>
      <c r="Z1134" s="382" t="s">
        <v>934</v>
      </c>
      <c r="AA1134" s="372">
        <v>321.89109439999999</v>
      </c>
      <c r="AB1134" s="372">
        <v>1176.1945687</v>
      </c>
      <c r="AC1134" s="372">
        <v>1009.8767872</v>
      </c>
      <c r="AD1134" s="372">
        <v>1357.8925084</v>
      </c>
      <c r="AE1134" s="372">
        <v>0</v>
      </c>
      <c r="AF1134" s="372">
        <v>0</v>
      </c>
      <c r="AG1134" s="372">
        <v>0</v>
      </c>
      <c r="AH1134" s="372">
        <v>0</v>
      </c>
    </row>
    <row r="1135" spans="1:34">
      <c r="A1135" s="372" t="s">
        <v>7862</v>
      </c>
      <c r="B1135" s="373" t="s">
        <v>7863</v>
      </c>
      <c r="C1135" s="372" t="s">
        <v>7864</v>
      </c>
      <c r="D1135" s="374">
        <v>1101116058485</v>
      </c>
      <c r="E1135" s="372" t="s">
        <v>7865</v>
      </c>
      <c r="F1135" s="375" t="s">
        <v>1124</v>
      </c>
      <c r="G1135" s="375" t="s">
        <v>1347</v>
      </c>
      <c r="H1135" s="375" t="s">
        <v>1348</v>
      </c>
      <c r="I1135" s="375" t="s">
        <v>869</v>
      </c>
      <c r="J1135" s="375">
        <v>10294.39076</v>
      </c>
      <c r="K1135" s="375">
        <v>-10508.11023</v>
      </c>
      <c r="L1135" s="375">
        <v>-11585.76915</v>
      </c>
      <c r="M1135" s="375">
        <v>41863.176319999999</v>
      </c>
      <c r="N1135" s="372">
        <v>1.194</v>
      </c>
      <c r="O1135" s="703">
        <v>7.4370495449481586</v>
      </c>
      <c r="P1135" s="375" t="s">
        <v>623</v>
      </c>
      <c r="Q1135" s="372" t="s">
        <v>623</v>
      </c>
      <c r="R1135" s="695">
        <v>20210722</v>
      </c>
      <c r="S1135" s="372" t="s">
        <v>7866</v>
      </c>
      <c r="T1135" s="696" t="s">
        <v>772</v>
      </c>
      <c r="U1135" s="372" t="s">
        <v>7867</v>
      </c>
      <c r="V1135" s="722">
        <v>0</v>
      </c>
      <c r="W1135" s="722">
        <v>3.85</v>
      </c>
      <c r="X1135" s="722">
        <v>0</v>
      </c>
      <c r="Y1135" s="722">
        <v>0</v>
      </c>
      <c r="Z1135" s="382" t="s">
        <v>934</v>
      </c>
      <c r="AA1135" s="372">
        <v>0</v>
      </c>
      <c r="AB1135" s="372">
        <v>62.549525000000003</v>
      </c>
      <c r="AC1135" s="372">
        <v>35.828589700000002</v>
      </c>
      <c r="AD1135" s="372">
        <v>102.9439076</v>
      </c>
      <c r="AE1135" s="372">
        <v>0</v>
      </c>
      <c r="AF1135" s="372">
        <v>0</v>
      </c>
      <c r="AG1135" s="372">
        <v>0</v>
      </c>
      <c r="AH1135" s="372">
        <v>0</v>
      </c>
    </row>
    <row r="1136" spans="1:34">
      <c r="A1136" s="372" t="s">
        <v>7868</v>
      </c>
      <c r="B1136" s="373" t="s">
        <v>7869</v>
      </c>
      <c r="C1136" s="372" t="s">
        <v>7870</v>
      </c>
      <c r="D1136" s="374">
        <v>1101111284449</v>
      </c>
      <c r="E1136" s="372" t="s">
        <v>7871</v>
      </c>
      <c r="F1136" s="375" t="s">
        <v>7872</v>
      </c>
      <c r="G1136" s="375" t="s">
        <v>7873</v>
      </c>
      <c r="H1136" s="375" t="s">
        <v>3127</v>
      </c>
      <c r="I1136" s="375" t="s">
        <v>869</v>
      </c>
      <c r="J1136" s="375">
        <v>598093.76220999996</v>
      </c>
      <c r="K1136" s="375">
        <v>30923.836139999999</v>
      </c>
      <c r="L1136" s="375">
        <v>22401.11418</v>
      </c>
      <c r="M1136" s="375">
        <v>113314.50521</v>
      </c>
      <c r="N1136" s="372">
        <v>1.234</v>
      </c>
      <c r="O1136" s="703">
        <v>72.813717696844378</v>
      </c>
      <c r="P1136" s="375" t="s">
        <v>623</v>
      </c>
      <c r="Q1136" s="375" t="s">
        <v>623</v>
      </c>
      <c r="R1136" s="695">
        <v>20160202</v>
      </c>
      <c r="S1136" s="375" t="s">
        <v>7874</v>
      </c>
      <c r="T1136" s="696">
        <v>0.23100000000000001</v>
      </c>
      <c r="U1136" s="372" t="s">
        <v>7875</v>
      </c>
      <c r="V1136" s="722">
        <v>4.2300000000000004</v>
      </c>
      <c r="W1136" s="722">
        <v>0.72</v>
      </c>
      <c r="X1136" s="722">
        <v>0.13</v>
      </c>
      <c r="Y1136" s="722">
        <v>4.2300000000000004</v>
      </c>
      <c r="Z1136" s="382" t="s">
        <v>934</v>
      </c>
      <c r="AA1136" s="372">
        <v>2913.5635705</v>
      </c>
      <c r="AB1136" s="372">
        <v>3784.0122087</v>
      </c>
      <c r="AC1136" s="372">
        <v>5250.4856104</v>
      </c>
      <c r="AD1136" s="372">
        <v>5980.9376221000002</v>
      </c>
      <c r="AE1136" s="372">
        <v>0</v>
      </c>
      <c r="AF1136" s="372">
        <v>0</v>
      </c>
      <c r="AG1136" s="372">
        <v>0</v>
      </c>
      <c r="AH1136" s="372">
        <v>0</v>
      </c>
    </row>
    <row r="1137" spans="1:34">
      <c r="A1137" s="372" t="s">
        <v>7876</v>
      </c>
      <c r="B1137" s="373" t="s">
        <v>7877</v>
      </c>
      <c r="C1137" s="372" t="s">
        <v>7878</v>
      </c>
      <c r="D1137" s="374">
        <v>1101111921140</v>
      </c>
      <c r="E1137" s="372" t="s">
        <v>7879</v>
      </c>
      <c r="F1137" s="372" t="s">
        <v>7880</v>
      </c>
      <c r="G1137" s="375" t="s">
        <v>7881</v>
      </c>
      <c r="H1137" s="375" t="s">
        <v>3127</v>
      </c>
      <c r="I1137" s="375" t="s">
        <v>869</v>
      </c>
      <c r="J1137" s="375">
        <v>166034.85256</v>
      </c>
      <c r="K1137" s="375">
        <v>13032.68346</v>
      </c>
      <c r="L1137" s="375">
        <v>6891.2367999999997</v>
      </c>
      <c r="M1137" s="375">
        <v>189123.59942000001</v>
      </c>
      <c r="N1137" s="372">
        <v>0.98299999999999998</v>
      </c>
      <c r="O1137" s="703">
        <v>94.44518350033178</v>
      </c>
      <c r="P1137" s="375" t="s">
        <v>623</v>
      </c>
      <c r="Q1137" s="375" t="s">
        <v>623</v>
      </c>
      <c r="R1137" s="695">
        <v>20170125</v>
      </c>
      <c r="S1137" s="375" t="s">
        <v>7882</v>
      </c>
      <c r="T1137" s="696">
        <v>0.20900000000000002</v>
      </c>
      <c r="U1137" s="372" t="s">
        <v>7883</v>
      </c>
      <c r="V1137" s="722">
        <v>12.45</v>
      </c>
      <c r="W1137" s="722">
        <v>0.7</v>
      </c>
      <c r="X1137" s="722">
        <v>0.81</v>
      </c>
      <c r="Y1137" s="722">
        <v>23.29</v>
      </c>
      <c r="Z1137" s="382" t="s">
        <v>934</v>
      </c>
      <c r="AA1137" s="372">
        <v>1255.6022177</v>
      </c>
      <c r="AB1137" s="372">
        <v>2066.3652234000001</v>
      </c>
      <c r="AC1137" s="372">
        <v>2349.2123746000002</v>
      </c>
      <c r="AD1137" s="372">
        <v>1660.3485255999999</v>
      </c>
      <c r="AE1137" s="372">
        <v>2195</v>
      </c>
      <c r="AF1137" s="372">
        <v>0</v>
      </c>
      <c r="AG1137" s="372">
        <v>0</v>
      </c>
      <c r="AH1137" s="372">
        <v>0</v>
      </c>
    </row>
    <row r="1138" spans="1:34">
      <c r="A1138" s="372" t="s">
        <v>7884</v>
      </c>
      <c r="B1138" s="373" t="s">
        <v>7885</v>
      </c>
      <c r="C1138" s="372" t="s">
        <v>7886</v>
      </c>
      <c r="D1138" s="374">
        <v>2149110002560</v>
      </c>
      <c r="E1138" s="372" t="s">
        <v>7887</v>
      </c>
      <c r="F1138" s="375" t="s">
        <v>770</v>
      </c>
      <c r="G1138" s="375" t="s">
        <v>770</v>
      </c>
      <c r="H1138" s="375" t="s">
        <v>754</v>
      </c>
      <c r="I1138" s="375" t="s">
        <v>755</v>
      </c>
      <c r="J1138" s="375">
        <v>125705.27963</v>
      </c>
      <c r="K1138" s="375">
        <v>-4405.0945400000001</v>
      </c>
      <c r="L1138" s="375">
        <v>-690.57826999999997</v>
      </c>
      <c r="M1138" s="375">
        <v>231524.92780999999</v>
      </c>
      <c r="N1138" s="372">
        <v>0.85499999999999998</v>
      </c>
      <c r="O1138" s="703">
        <v>5.9177917750792154E-2</v>
      </c>
      <c r="P1138" s="375" t="s">
        <v>623</v>
      </c>
      <c r="Q1138" s="372" t="s">
        <v>623</v>
      </c>
      <c r="R1138" s="695">
        <v>19961016</v>
      </c>
      <c r="S1138" s="372" t="s">
        <v>7888</v>
      </c>
      <c r="T1138" s="696" t="s">
        <v>772</v>
      </c>
      <c r="U1138" s="372" t="s">
        <v>7889</v>
      </c>
      <c r="V1138" s="722">
        <v>47.41</v>
      </c>
      <c r="W1138" s="722">
        <v>0.49</v>
      </c>
      <c r="X1138" s="722">
        <v>0.96</v>
      </c>
      <c r="Y1138" s="722" t="s">
        <v>774</v>
      </c>
      <c r="Z1138" s="382" t="s">
        <v>934</v>
      </c>
      <c r="AA1138" s="372">
        <v>1501.7256680999999</v>
      </c>
      <c r="AB1138" s="372">
        <v>1737.7367512999999</v>
      </c>
      <c r="AC1138" s="372">
        <v>1522.0107201999999</v>
      </c>
      <c r="AD1138" s="372">
        <v>1257.0527963</v>
      </c>
      <c r="AE1138" s="372">
        <v>0</v>
      </c>
      <c r="AF1138" s="372">
        <v>0</v>
      </c>
      <c r="AG1138" s="372">
        <v>0</v>
      </c>
      <c r="AH1138" s="372">
        <v>0</v>
      </c>
    </row>
    <row r="1139" spans="1:34">
      <c r="A1139" s="372" t="s">
        <v>7890</v>
      </c>
      <c r="B1139" s="373" t="s">
        <v>7891</v>
      </c>
      <c r="C1139" s="372" t="s">
        <v>7892</v>
      </c>
      <c r="D1139" s="374">
        <v>1101110382020</v>
      </c>
      <c r="E1139" s="372" t="s">
        <v>7893</v>
      </c>
      <c r="F1139" s="375" t="s">
        <v>1048</v>
      </c>
      <c r="G1139" s="375" t="s">
        <v>1049</v>
      </c>
      <c r="H1139" s="375" t="s">
        <v>868</v>
      </c>
      <c r="I1139" s="375" t="s">
        <v>869</v>
      </c>
      <c r="J1139" s="375">
        <v>107739.23996000001</v>
      </c>
      <c r="K1139" s="375">
        <v>-19569.72406</v>
      </c>
      <c r="L1139" s="375">
        <v>-25271.67153</v>
      </c>
      <c r="M1139" s="375">
        <v>58970.975559999999</v>
      </c>
      <c r="N1139" s="372">
        <v>1.2270000000000001</v>
      </c>
      <c r="O1139" s="703">
        <v>117.02725850026465</v>
      </c>
      <c r="P1139" s="375" t="s">
        <v>623</v>
      </c>
      <c r="Q1139" s="375" t="s">
        <v>623</v>
      </c>
      <c r="R1139" s="695">
        <v>19931124</v>
      </c>
      <c r="S1139" s="375" t="s">
        <v>7894</v>
      </c>
      <c r="T1139" s="696" t="s">
        <v>772</v>
      </c>
      <c r="U1139" s="372" t="s">
        <v>7895</v>
      </c>
      <c r="V1139" s="722" t="s">
        <v>774</v>
      </c>
      <c r="W1139" s="722">
        <v>2.82</v>
      </c>
      <c r="X1139" s="722">
        <v>1.52</v>
      </c>
      <c r="Y1139" s="722" t="s">
        <v>774</v>
      </c>
      <c r="Z1139" s="382" t="s">
        <v>934</v>
      </c>
      <c r="AA1139" s="372">
        <v>801.68052969999997</v>
      </c>
      <c r="AB1139" s="372">
        <v>1496.5949516999999</v>
      </c>
      <c r="AC1139" s="372">
        <v>2391.7901576999998</v>
      </c>
      <c r="AD1139" s="372">
        <v>1077.3923996000001</v>
      </c>
      <c r="AE1139" s="372">
        <v>0</v>
      </c>
      <c r="AF1139" s="372">
        <v>0</v>
      </c>
      <c r="AG1139" s="372">
        <v>0</v>
      </c>
      <c r="AH1139" s="372">
        <v>0</v>
      </c>
    </row>
    <row r="1140" spans="1:34">
      <c r="A1140" s="372" t="s">
        <v>7896</v>
      </c>
      <c r="B1140" s="373" t="s">
        <v>7897</v>
      </c>
      <c r="C1140" s="372" t="s">
        <v>7898</v>
      </c>
      <c r="D1140" s="374">
        <v>1701110000745</v>
      </c>
      <c r="E1140" s="372" t="s">
        <v>7899</v>
      </c>
      <c r="F1140" s="372" t="s">
        <v>1977</v>
      </c>
      <c r="G1140" s="375" t="s">
        <v>7900</v>
      </c>
      <c r="H1140" s="375" t="s">
        <v>868</v>
      </c>
      <c r="I1140" s="375" t="s">
        <v>869</v>
      </c>
      <c r="J1140" s="375">
        <v>168467.09675999999</v>
      </c>
      <c r="K1140" s="375">
        <v>11667.462369999999</v>
      </c>
      <c r="L1140" s="375">
        <v>12584.062120000001</v>
      </c>
      <c r="M1140" s="375">
        <v>175955.24689000001</v>
      </c>
      <c r="N1140" s="372">
        <v>1.018</v>
      </c>
      <c r="O1140" s="703">
        <v>0</v>
      </c>
      <c r="P1140" s="375" t="s">
        <v>623</v>
      </c>
      <c r="Q1140" s="375" t="s">
        <v>623</v>
      </c>
      <c r="R1140" s="695">
        <v>19941116</v>
      </c>
      <c r="S1140" s="375" t="s">
        <v>7901</v>
      </c>
      <c r="T1140" s="696">
        <v>0.20900000000000002</v>
      </c>
      <c r="U1140" s="372" t="s">
        <v>7902</v>
      </c>
      <c r="V1140" s="722">
        <v>8.68</v>
      </c>
      <c r="W1140" s="722">
        <v>0.99</v>
      </c>
      <c r="X1140" s="722">
        <v>0.92</v>
      </c>
      <c r="Y1140" s="722">
        <v>18.23</v>
      </c>
      <c r="Z1140" s="382" t="s">
        <v>934</v>
      </c>
      <c r="AA1140" s="372">
        <v>1179.8983896</v>
      </c>
      <c r="AB1140" s="372">
        <v>1276.9808886000001</v>
      </c>
      <c r="AC1140" s="372">
        <v>1539.8845586</v>
      </c>
      <c r="AD1140" s="372">
        <v>1684.6709676</v>
      </c>
      <c r="AE1140" s="372">
        <v>0</v>
      </c>
      <c r="AF1140" s="372">
        <v>0</v>
      </c>
      <c r="AG1140" s="372">
        <v>0</v>
      </c>
      <c r="AH1140" s="372">
        <v>0</v>
      </c>
    </row>
    <row r="1141" spans="1:34">
      <c r="A1141" s="372" t="s">
        <v>7903</v>
      </c>
      <c r="B1141" s="373" t="s">
        <v>7904</v>
      </c>
      <c r="C1141" s="372" t="s">
        <v>7905</v>
      </c>
      <c r="D1141" s="374">
        <v>1601110235641</v>
      </c>
      <c r="E1141" s="372" t="s">
        <v>7906</v>
      </c>
      <c r="F1141" s="375" t="s">
        <v>1124</v>
      </c>
      <c r="G1141" s="375" t="s">
        <v>1347</v>
      </c>
      <c r="H1141" s="375" t="s">
        <v>1348</v>
      </c>
      <c r="I1141" s="375" t="s">
        <v>869</v>
      </c>
      <c r="J1141" s="375">
        <v>3479.0807500000001</v>
      </c>
      <c r="K1141" s="375">
        <v>-10142.69253</v>
      </c>
      <c r="L1141" s="375">
        <v>-20871.053</v>
      </c>
      <c r="M1141" s="375">
        <v>23408.461009999999</v>
      </c>
      <c r="N1141" s="372" t="s">
        <v>1033</v>
      </c>
      <c r="O1141" s="703">
        <v>3.902179163255501</v>
      </c>
      <c r="P1141" s="375" t="s">
        <v>623</v>
      </c>
      <c r="Q1141" s="375" t="s">
        <v>623</v>
      </c>
      <c r="R1141" s="695">
        <v>20231205</v>
      </c>
      <c r="S1141" s="375" t="s">
        <v>7907</v>
      </c>
      <c r="T1141" s="696" t="s">
        <v>772</v>
      </c>
      <c r="U1141" s="375" t="s">
        <v>7908</v>
      </c>
      <c r="V1141" s="722">
        <v>0</v>
      </c>
      <c r="W1141" s="722">
        <v>9.94</v>
      </c>
      <c r="X1141" s="722">
        <v>0</v>
      </c>
      <c r="Y1141" s="722">
        <v>0</v>
      </c>
      <c r="Z1141" s="382" t="s">
        <v>934</v>
      </c>
      <c r="AA1141" s="372">
        <v>67.314782899999997</v>
      </c>
      <c r="AB1141" s="372">
        <v>48.473337000000001</v>
      </c>
      <c r="AC1141" s="372">
        <v>41.505578900000003</v>
      </c>
      <c r="AD1141" s="372">
        <v>34.7908075</v>
      </c>
      <c r="AE1141" s="372">
        <v>0</v>
      </c>
      <c r="AF1141" s="372">
        <v>0</v>
      </c>
      <c r="AG1141" s="372">
        <v>0</v>
      </c>
      <c r="AH1141" s="372">
        <v>0</v>
      </c>
    </row>
    <row r="1142" spans="1:34">
      <c r="A1142" s="372" t="s">
        <v>7909</v>
      </c>
      <c r="B1142" s="373" t="s">
        <v>7910</v>
      </c>
      <c r="C1142" s="372" t="s">
        <v>7911</v>
      </c>
      <c r="D1142" s="374">
        <v>1101110366719</v>
      </c>
      <c r="E1142" s="372" t="s">
        <v>7912</v>
      </c>
      <c r="F1142" s="375" t="s">
        <v>2450</v>
      </c>
      <c r="G1142" s="375" t="s">
        <v>2451</v>
      </c>
      <c r="H1142" s="375" t="s">
        <v>1050</v>
      </c>
      <c r="I1142" s="375" t="s">
        <v>755</v>
      </c>
      <c r="J1142" s="375">
        <v>242195.76115000001</v>
      </c>
      <c r="K1142" s="375">
        <v>12410.19073</v>
      </c>
      <c r="L1142" s="375">
        <v>10889.19479</v>
      </c>
      <c r="M1142" s="375">
        <v>96403.707599999994</v>
      </c>
      <c r="N1142" s="372">
        <v>1.296</v>
      </c>
      <c r="O1142" s="703">
        <v>98.895850692698232</v>
      </c>
      <c r="P1142" s="375" t="s">
        <v>623</v>
      </c>
      <c r="Q1142" s="372" t="s">
        <v>623</v>
      </c>
      <c r="R1142" s="695">
        <v>20010807</v>
      </c>
      <c r="S1142" s="375" t="s">
        <v>7913</v>
      </c>
      <c r="T1142" s="696">
        <v>0.20900000000000002</v>
      </c>
      <c r="U1142" s="375" t="s">
        <v>7914</v>
      </c>
      <c r="V1142" s="722">
        <v>8.42</v>
      </c>
      <c r="W1142" s="722">
        <v>1.54</v>
      </c>
      <c r="X1142" s="722">
        <v>0.67</v>
      </c>
      <c r="Y1142" s="722">
        <v>21.79</v>
      </c>
      <c r="Z1142" s="382">
        <v>0.25548749172937502</v>
      </c>
      <c r="AA1142" s="372">
        <v>2406.6444821</v>
      </c>
      <c r="AB1142" s="372">
        <v>2623.3778926</v>
      </c>
      <c r="AC1142" s="372">
        <v>2545.3846222000002</v>
      </c>
      <c r="AD1142" s="372">
        <v>2421.9576115</v>
      </c>
      <c r="AE1142" s="372">
        <v>5913.57</v>
      </c>
      <c r="AF1142" s="372">
        <v>4967.8599999999997</v>
      </c>
      <c r="AG1142" s="372">
        <v>6017.5</v>
      </c>
      <c r="AH1142" s="372">
        <v>0</v>
      </c>
    </row>
    <row r="1143" spans="1:34">
      <c r="A1143" s="372" t="s">
        <v>7915</v>
      </c>
      <c r="B1143" s="373" t="s">
        <v>7916</v>
      </c>
      <c r="C1143" s="372" t="s">
        <v>7917</v>
      </c>
      <c r="D1143" s="374">
        <v>1760110003901</v>
      </c>
      <c r="E1143" s="372" t="s">
        <v>7918</v>
      </c>
      <c r="F1143" s="375" t="s">
        <v>852</v>
      </c>
      <c r="G1143" s="375" t="s">
        <v>852</v>
      </c>
      <c r="H1143" s="375" t="s">
        <v>3127</v>
      </c>
      <c r="I1143" s="375" t="s">
        <v>869</v>
      </c>
      <c r="J1143" s="375">
        <v>427496.92255000002</v>
      </c>
      <c r="K1143" s="375">
        <v>39719.633110000002</v>
      </c>
      <c r="L1143" s="375">
        <v>39950.483379999998</v>
      </c>
      <c r="M1143" s="375">
        <v>227903.94518000001</v>
      </c>
      <c r="N1143" s="372">
        <v>1.0109999999999999</v>
      </c>
      <c r="O1143" s="703">
        <v>97.745402091573837</v>
      </c>
      <c r="P1143" s="375" t="s">
        <v>623</v>
      </c>
      <c r="Q1143" s="372" t="s">
        <v>623</v>
      </c>
      <c r="R1143" s="695">
        <v>20020709</v>
      </c>
      <c r="S1143" s="372" t="s">
        <v>7919</v>
      </c>
      <c r="T1143" s="696">
        <v>0.23100000000000001</v>
      </c>
      <c r="U1143" s="372" t="s">
        <v>7920</v>
      </c>
      <c r="V1143" s="722">
        <v>5.2</v>
      </c>
      <c r="W1143" s="722">
        <v>0.96</v>
      </c>
      <c r="X1143" s="722">
        <v>0.36</v>
      </c>
      <c r="Y1143" s="722">
        <v>6.7</v>
      </c>
      <c r="Z1143" s="382" t="s">
        <v>934</v>
      </c>
      <c r="AA1143" s="372">
        <v>2558.9976428999998</v>
      </c>
      <c r="AB1143" s="372">
        <v>3250.0240474000002</v>
      </c>
      <c r="AC1143" s="372">
        <v>4320.5665479999998</v>
      </c>
      <c r="AD1143" s="372">
        <v>4274.9692255</v>
      </c>
      <c r="AE1143" s="372">
        <v>0</v>
      </c>
      <c r="AF1143" s="372">
        <v>0</v>
      </c>
      <c r="AG1143" s="372">
        <v>0</v>
      </c>
      <c r="AH1143" s="372">
        <v>0</v>
      </c>
    </row>
    <row r="1144" spans="1:34">
      <c r="A1144" s="372" t="s">
        <v>7921</v>
      </c>
      <c r="B1144" s="373" t="s">
        <v>7922</v>
      </c>
      <c r="C1144" s="372" t="s">
        <v>7923</v>
      </c>
      <c r="D1144" s="374">
        <v>1101112034562</v>
      </c>
      <c r="E1144" s="372" t="s">
        <v>7924</v>
      </c>
      <c r="F1144" s="372" t="s">
        <v>2055</v>
      </c>
      <c r="G1144" s="375" t="s">
        <v>7307</v>
      </c>
      <c r="H1144" s="375" t="s">
        <v>1547</v>
      </c>
      <c r="I1144" s="375" t="s">
        <v>869</v>
      </c>
      <c r="J1144" s="375">
        <v>95122.568509999997</v>
      </c>
      <c r="K1144" s="375">
        <v>-9418.3354899999995</v>
      </c>
      <c r="L1144" s="375">
        <v>-17076.552319999999</v>
      </c>
      <c r="M1144" s="375">
        <v>47091.518929999998</v>
      </c>
      <c r="N1144" s="372" t="s">
        <v>1033</v>
      </c>
      <c r="O1144" s="703">
        <v>27.999326950172609</v>
      </c>
      <c r="P1144" s="375" t="s">
        <v>623</v>
      </c>
      <c r="Q1144" s="375" t="s">
        <v>623</v>
      </c>
      <c r="R1144" s="695">
        <v>20221206</v>
      </c>
      <c r="S1144" s="375" t="s">
        <v>7925</v>
      </c>
      <c r="T1144" s="696" t="s">
        <v>772</v>
      </c>
      <c r="U1144" s="372" t="s">
        <v>7926</v>
      </c>
      <c r="V1144" s="722" t="s">
        <v>774</v>
      </c>
      <c r="W1144" s="722">
        <v>3.79</v>
      </c>
      <c r="X1144" s="722">
        <v>1.81</v>
      </c>
      <c r="Y1144" s="722" t="s">
        <v>774</v>
      </c>
      <c r="Z1144" s="382" t="s">
        <v>934</v>
      </c>
      <c r="AA1144" s="372">
        <v>235.59441319999999</v>
      </c>
      <c r="AB1144" s="372">
        <v>383.74161620000001</v>
      </c>
      <c r="AC1144" s="372">
        <v>683.22017040000003</v>
      </c>
      <c r="AD1144" s="372">
        <v>951.22568509999996</v>
      </c>
      <c r="AE1144" s="372">
        <v>1528</v>
      </c>
      <c r="AF1144" s="372">
        <v>2074.5</v>
      </c>
      <c r="AG1144" s="372">
        <v>0</v>
      </c>
      <c r="AH1144" s="372">
        <v>0</v>
      </c>
    </row>
    <row r="1145" spans="1:34">
      <c r="A1145" s="372" t="s">
        <v>7927</v>
      </c>
      <c r="B1145" s="373" t="s">
        <v>7928</v>
      </c>
      <c r="C1145" s="372" t="s">
        <v>7929</v>
      </c>
      <c r="D1145" s="374">
        <v>1201110005703</v>
      </c>
      <c r="E1145" s="372" t="s">
        <v>7930</v>
      </c>
      <c r="F1145" s="372" t="s">
        <v>4294</v>
      </c>
      <c r="G1145" s="375" t="s">
        <v>7931</v>
      </c>
      <c r="H1145" s="375" t="s">
        <v>832</v>
      </c>
      <c r="I1145" s="375" t="s">
        <v>755</v>
      </c>
      <c r="J1145" s="375">
        <v>345408.24008000002</v>
      </c>
      <c r="K1145" s="375">
        <v>-2247.16147</v>
      </c>
      <c r="L1145" s="375">
        <v>-19140.11551</v>
      </c>
      <c r="M1145" s="375">
        <v>251693.30484</v>
      </c>
      <c r="N1145" s="372">
        <v>1.0389999999999999</v>
      </c>
      <c r="O1145" s="703">
        <v>167.7139763286184</v>
      </c>
      <c r="P1145" s="375" t="s">
        <v>623</v>
      </c>
      <c r="Q1145" s="372" t="s">
        <v>623</v>
      </c>
      <c r="R1145" s="695">
        <v>19951005</v>
      </c>
      <c r="S1145" s="372" t="s">
        <v>7932</v>
      </c>
      <c r="T1145" s="696" t="s">
        <v>772</v>
      </c>
      <c r="U1145" s="372" t="s">
        <v>7933</v>
      </c>
      <c r="V1145" s="722">
        <v>16.649999999999999</v>
      </c>
      <c r="W1145" s="722">
        <v>0.7</v>
      </c>
      <c r="X1145" s="722">
        <v>0.46</v>
      </c>
      <c r="Y1145" s="722" t="s">
        <v>774</v>
      </c>
      <c r="Z1145" s="382" t="s">
        <v>934</v>
      </c>
      <c r="AA1145" s="372">
        <v>3293.1207817999998</v>
      </c>
      <c r="AB1145" s="372">
        <v>4033.2565860999998</v>
      </c>
      <c r="AC1145" s="372">
        <v>4026.3734122999999</v>
      </c>
      <c r="AD1145" s="372">
        <v>3454.0824008</v>
      </c>
      <c r="AE1145" s="372">
        <v>0</v>
      </c>
      <c r="AF1145" s="372">
        <v>0</v>
      </c>
      <c r="AG1145" s="372">
        <v>0</v>
      </c>
      <c r="AH1145" s="372">
        <v>0</v>
      </c>
    </row>
    <row r="1146" spans="1:34">
      <c r="A1146" s="372" t="s">
        <v>7934</v>
      </c>
      <c r="B1146" s="373" t="s">
        <v>7935</v>
      </c>
      <c r="C1146" s="372" t="s">
        <v>7936</v>
      </c>
      <c r="D1146" s="374">
        <v>1601110084890</v>
      </c>
      <c r="E1146" s="372" t="s">
        <v>7937</v>
      </c>
      <c r="F1146" s="375" t="s">
        <v>786</v>
      </c>
      <c r="G1146" s="375" t="s">
        <v>786</v>
      </c>
      <c r="H1146" s="375" t="s">
        <v>868</v>
      </c>
      <c r="I1146" s="375" t="s">
        <v>869</v>
      </c>
      <c r="J1146" s="375">
        <v>76038.893899999995</v>
      </c>
      <c r="K1146" s="375">
        <v>-14356.144689999999</v>
      </c>
      <c r="L1146" s="375">
        <v>-9878.9519099999998</v>
      </c>
      <c r="M1146" s="375">
        <v>194626.64210999999</v>
      </c>
      <c r="N1146" s="372">
        <v>1.204</v>
      </c>
      <c r="O1146" s="703">
        <v>3.429021575561976</v>
      </c>
      <c r="P1146" s="375" t="s">
        <v>623</v>
      </c>
      <c r="Q1146" s="372" t="s">
        <v>623</v>
      </c>
      <c r="R1146" s="695">
        <v>20130925</v>
      </c>
      <c r="S1146" s="372" t="s">
        <v>7938</v>
      </c>
      <c r="T1146" s="696" t="s">
        <v>772</v>
      </c>
      <c r="U1146" s="372" t="s">
        <v>7939</v>
      </c>
      <c r="V1146" s="722" t="s">
        <v>774</v>
      </c>
      <c r="W1146" s="722">
        <v>0.8</v>
      </c>
      <c r="X1146" s="722">
        <v>2.0299999999999998</v>
      </c>
      <c r="Y1146" s="722" t="s">
        <v>774</v>
      </c>
      <c r="Z1146" s="382" t="s">
        <v>934</v>
      </c>
      <c r="AA1146" s="372">
        <v>258.18432589999998</v>
      </c>
      <c r="AB1146" s="372">
        <v>229.754985</v>
      </c>
      <c r="AC1146" s="372">
        <v>266.3763123</v>
      </c>
      <c r="AD1146" s="372">
        <v>760.38893900000005</v>
      </c>
      <c r="AE1146" s="372">
        <v>0</v>
      </c>
      <c r="AF1146" s="372">
        <v>0</v>
      </c>
      <c r="AG1146" s="372">
        <v>0</v>
      </c>
      <c r="AH1146" s="372">
        <v>0</v>
      </c>
    </row>
    <row r="1147" spans="1:34">
      <c r="A1147" s="372" t="s">
        <v>7940</v>
      </c>
      <c r="B1147" s="373" t="s">
        <v>7941</v>
      </c>
      <c r="C1147" s="372" t="s">
        <v>7942</v>
      </c>
      <c r="D1147" s="374">
        <v>1801110000587</v>
      </c>
      <c r="E1147" s="372" t="s">
        <v>7943</v>
      </c>
      <c r="F1147" s="375" t="s">
        <v>2509</v>
      </c>
      <c r="G1147" s="375" t="s">
        <v>7944</v>
      </c>
      <c r="H1147" s="375" t="s">
        <v>817</v>
      </c>
      <c r="I1147" s="375" t="s">
        <v>755</v>
      </c>
      <c r="J1147" s="375">
        <v>456325.69747999997</v>
      </c>
      <c r="K1147" s="375">
        <v>20384.146359999999</v>
      </c>
      <c r="L1147" s="375">
        <v>22828.893619999999</v>
      </c>
      <c r="M1147" s="375">
        <v>359545.62883</v>
      </c>
      <c r="N1147" s="372">
        <v>0.80700000000000005</v>
      </c>
      <c r="O1147" s="703">
        <v>2.9947734977104066</v>
      </c>
      <c r="P1147" s="375" t="s">
        <v>623</v>
      </c>
      <c r="Q1147" s="372" t="s">
        <v>623</v>
      </c>
      <c r="R1147" s="695">
        <v>19691212</v>
      </c>
      <c r="S1147" s="372" t="s">
        <v>7945</v>
      </c>
      <c r="T1147" s="696">
        <v>0.23100000000000001</v>
      </c>
      <c r="U1147" s="372" t="s">
        <v>7946</v>
      </c>
      <c r="V1147" s="722">
        <v>5.79</v>
      </c>
      <c r="W1147" s="722">
        <v>0.45</v>
      </c>
      <c r="X1147" s="722">
        <v>0.35</v>
      </c>
      <c r="Y1147" s="722">
        <v>9.2899999999999991</v>
      </c>
      <c r="Z1147" s="382" t="s">
        <v>934</v>
      </c>
      <c r="AA1147" s="372">
        <v>3282.8863035999998</v>
      </c>
      <c r="AB1147" s="372">
        <v>5101.8509549999999</v>
      </c>
      <c r="AC1147" s="372">
        <v>4842.9122577999997</v>
      </c>
      <c r="AD1147" s="372">
        <v>4563.2569747999996</v>
      </c>
      <c r="AE1147" s="372">
        <v>0</v>
      </c>
      <c r="AF1147" s="372">
        <v>0</v>
      </c>
      <c r="AG1147" s="372">
        <v>0</v>
      </c>
      <c r="AH1147" s="372">
        <v>0</v>
      </c>
    </row>
    <row r="1148" spans="1:34">
      <c r="A1148" s="372" t="s">
        <v>7947</v>
      </c>
      <c r="B1148" s="373" t="s">
        <v>7948</v>
      </c>
      <c r="C1148" s="372" t="s">
        <v>7949</v>
      </c>
      <c r="D1148" s="374">
        <v>1341110048674</v>
      </c>
      <c r="E1148" s="372" t="s">
        <v>7950</v>
      </c>
      <c r="F1148" s="375" t="s">
        <v>2207</v>
      </c>
      <c r="G1148" s="375" t="s">
        <v>7951</v>
      </c>
      <c r="H1148" s="375" t="s">
        <v>868</v>
      </c>
      <c r="I1148" s="375" t="s">
        <v>869</v>
      </c>
      <c r="J1148" s="375">
        <v>54928.577799999999</v>
      </c>
      <c r="K1148" s="375">
        <v>-4338.0064199999997</v>
      </c>
      <c r="L1148" s="375">
        <v>-4184.2160899999999</v>
      </c>
      <c r="M1148" s="375">
        <v>55585.148110000002</v>
      </c>
      <c r="N1148" s="372">
        <v>0.79900000000000004</v>
      </c>
      <c r="O1148" s="703">
        <v>19.338560097834829</v>
      </c>
      <c r="P1148" s="375" t="s">
        <v>623</v>
      </c>
      <c r="Q1148" s="372" t="s">
        <v>623</v>
      </c>
      <c r="R1148" s="695">
        <v>20030203</v>
      </c>
      <c r="S1148" s="372" t="s">
        <v>7952</v>
      </c>
      <c r="T1148" s="696" t="s">
        <v>772</v>
      </c>
      <c r="U1148" s="372" t="s">
        <v>7953</v>
      </c>
      <c r="V1148" s="722">
        <v>0</v>
      </c>
      <c r="W1148" s="722">
        <v>2.14</v>
      </c>
      <c r="X1148" s="722">
        <v>0</v>
      </c>
      <c r="Y1148" s="722">
        <v>0</v>
      </c>
      <c r="Z1148" s="382" t="s">
        <v>934</v>
      </c>
      <c r="AA1148" s="372">
        <v>672.86854219999998</v>
      </c>
      <c r="AB1148" s="372">
        <v>1024.6611339000001</v>
      </c>
      <c r="AC1148" s="372">
        <v>743.74891490000005</v>
      </c>
      <c r="AD1148" s="372">
        <v>549.28577800000005</v>
      </c>
      <c r="AE1148" s="372">
        <v>0</v>
      </c>
      <c r="AF1148" s="372">
        <v>0</v>
      </c>
      <c r="AG1148" s="372">
        <v>0</v>
      </c>
      <c r="AH1148" s="372">
        <v>0</v>
      </c>
    </row>
    <row r="1149" spans="1:34">
      <c r="A1149" s="372" t="s">
        <v>7954</v>
      </c>
      <c r="B1149" s="373" t="s">
        <v>7955</v>
      </c>
      <c r="C1149" s="372" t="s">
        <v>16165</v>
      </c>
      <c r="D1149" s="374">
        <v>1101117695210</v>
      </c>
      <c r="E1149" s="372" t="s">
        <v>16166</v>
      </c>
      <c r="F1149" s="375" t="s">
        <v>5569</v>
      </c>
      <c r="G1149" s="375" t="s">
        <v>5569</v>
      </c>
      <c r="H1149" s="375" t="s">
        <v>868</v>
      </c>
      <c r="I1149" s="375" t="s">
        <v>869</v>
      </c>
      <c r="J1149" s="375">
        <v>9776.1176200000009</v>
      </c>
      <c r="K1149" s="375">
        <v>-3703.4544999999998</v>
      </c>
      <c r="L1149" s="375">
        <v>-8793.1490799999992</v>
      </c>
      <c r="M1149" s="375">
        <v>5014.59933</v>
      </c>
      <c r="N1149" s="372">
        <v>1.0660000000000001</v>
      </c>
      <c r="O1149" s="703">
        <v>16.961815834274404</v>
      </c>
      <c r="P1149" s="375" t="s">
        <v>623</v>
      </c>
      <c r="Q1149" s="372" t="s">
        <v>623</v>
      </c>
      <c r="R1149" s="695">
        <v>20210226</v>
      </c>
      <c r="S1149" s="375" t="s">
        <v>7956</v>
      </c>
      <c r="T1149" s="696" t="s">
        <v>772</v>
      </c>
      <c r="U1149" s="375" t="s">
        <v>7957</v>
      </c>
      <c r="V1149" s="722" t="s">
        <v>774</v>
      </c>
      <c r="W1149" s="722">
        <v>27.28</v>
      </c>
      <c r="X1149" s="722">
        <v>14</v>
      </c>
      <c r="Y1149" s="722" t="s">
        <v>774</v>
      </c>
      <c r="Z1149" s="382" t="s">
        <v>934</v>
      </c>
      <c r="AA1149" s="372">
        <v>101.0112682</v>
      </c>
      <c r="AB1149" s="372">
        <v>141.02810360000001</v>
      </c>
      <c r="AC1149" s="372">
        <v>164.85049079999999</v>
      </c>
      <c r="AD1149" s="372">
        <v>97.761176199999994</v>
      </c>
      <c r="AE1149" s="372">
        <v>0</v>
      </c>
      <c r="AF1149" s="372">
        <v>0</v>
      </c>
      <c r="AG1149" s="372">
        <v>0</v>
      </c>
      <c r="AH1149" s="372">
        <v>0</v>
      </c>
    </row>
    <row r="1150" spans="1:34">
      <c r="A1150" s="372" t="s">
        <v>7958</v>
      </c>
      <c r="B1150" s="373" t="s">
        <v>7959</v>
      </c>
      <c r="C1150" s="372" t="s">
        <v>7960</v>
      </c>
      <c r="D1150" s="374">
        <v>1101111992670</v>
      </c>
      <c r="E1150" s="372" t="s">
        <v>7961</v>
      </c>
      <c r="F1150" s="375" t="s">
        <v>1124</v>
      </c>
      <c r="G1150" s="375" t="s">
        <v>1347</v>
      </c>
      <c r="H1150" s="375" t="s">
        <v>1348</v>
      </c>
      <c r="I1150" s="375" t="s">
        <v>869</v>
      </c>
      <c r="J1150" s="375">
        <v>294.12419999999997</v>
      </c>
      <c r="K1150" s="375">
        <v>-6419.3465699999997</v>
      </c>
      <c r="L1150" s="375">
        <v>-2103.2696999999998</v>
      </c>
      <c r="M1150" s="375">
        <v>35416.951840000002</v>
      </c>
      <c r="N1150" s="372">
        <v>0.99</v>
      </c>
      <c r="O1150" s="703">
        <v>3.25302547930603</v>
      </c>
      <c r="P1150" s="375" t="s">
        <v>623</v>
      </c>
      <c r="Q1150" s="375" t="s">
        <v>623</v>
      </c>
      <c r="R1150" s="695">
        <v>20211022</v>
      </c>
      <c r="S1150" s="375" t="s">
        <v>7962</v>
      </c>
      <c r="T1150" s="696" t="s">
        <v>772</v>
      </c>
      <c r="U1150" s="372" t="s">
        <v>7963</v>
      </c>
      <c r="V1150" s="722">
        <v>0</v>
      </c>
      <c r="W1150" s="722">
        <v>4.26</v>
      </c>
      <c r="X1150" s="722">
        <v>0</v>
      </c>
      <c r="Y1150" s="722">
        <v>0</v>
      </c>
      <c r="Z1150" s="382" t="s">
        <v>934</v>
      </c>
      <c r="AA1150" s="372">
        <v>0.77796489999999996</v>
      </c>
      <c r="AB1150" s="372">
        <v>5</v>
      </c>
      <c r="AC1150" s="372">
        <v>1.794845</v>
      </c>
      <c r="AD1150" s="372">
        <v>2.9412419999999999</v>
      </c>
      <c r="AE1150" s="372">
        <v>0</v>
      </c>
      <c r="AF1150" s="372">
        <v>0</v>
      </c>
      <c r="AG1150" s="372">
        <v>0</v>
      </c>
      <c r="AH1150" s="372">
        <v>0</v>
      </c>
    </row>
    <row r="1151" spans="1:34">
      <c r="A1151" s="372" t="s">
        <v>7964</v>
      </c>
      <c r="B1151" s="373" t="s">
        <v>7965</v>
      </c>
      <c r="C1151" s="372" t="s">
        <v>7966</v>
      </c>
      <c r="D1151" s="374">
        <v>1350110049673</v>
      </c>
      <c r="E1151" s="372" t="s">
        <v>7967</v>
      </c>
      <c r="F1151" s="375" t="s">
        <v>1285</v>
      </c>
      <c r="G1151" s="375" t="s">
        <v>1285</v>
      </c>
      <c r="H1151" s="375" t="s">
        <v>1388</v>
      </c>
      <c r="I1151" s="375" t="s">
        <v>869</v>
      </c>
      <c r="J1151" s="375">
        <v>43054.017780000002</v>
      </c>
      <c r="K1151" s="375">
        <v>-21932.41533</v>
      </c>
      <c r="L1151" s="375">
        <v>-20798.685700000002</v>
      </c>
      <c r="M1151" s="375">
        <v>57696.814030000001</v>
      </c>
      <c r="N1151" s="372">
        <v>1.028</v>
      </c>
      <c r="O1151" s="703">
        <v>17.740911200280767</v>
      </c>
      <c r="P1151" s="375" t="s">
        <v>623</v>
      </c>
      <c r="Q1151" s="372" t="s">
        <v>623</v>
      </c>
      <c r="R1151" s="695">
        <v>20220228</v>
      </c>
      <c r="S1151" s="372" t="s">
        <v>7968</v>
      </c>
      <c r="T1151" s="696" t="s">
        <v>772</v>
      </c>
      <c r="U1151" s="372" t="s">
        <v>7969</v>
      </c>
      <c r="V1151" s="722" t="s">
        <v>774</v>
      </c>
      <c r="W1151" s="722">
        <v>2.41</v>
      </c>
      <c r="X1151" s="722">
        <v>3.23</v>
      </c>
      <c r="Y1151" s="722" t="s">
        <v>774</v>
      </c>
      <c r="Z1151" s="382" t="s">
        <v>934</v>
      </c>
      <c r="AA1151" s="372">
        <v>371.17471260000002</v>
      </c>
      <c r="AB1151" s="372">
        <v>419.53096060000001</v>
      </c>
      <c r="AC1151" s="372">
        <v>449.13983309999998</v>
      </c>
      <c r="AD1151" s="372">
        <v>430.54017779999998</v>
      </c>
      <c r="AE1151" s="372">
        <v>909</v>
      </c>
      <c r="AF1151" s="372">
        <v>1220</v>
      </c>
      <c r="AG1151" s="372">
        <v>0</v>
      </c>
      <c r="AH1151" s="372">
        <v>0</v>
      </c>
    </row>
    <row r="1152" spans="1:34">
      <c r="A1152" s="372" t="s">
        <v>7970</v>
      </c>
      <c r="B1152" s="373" t="s">
        <v>7971</v>
      </c>
      <c r="C1152" s="372" t="s">
        <v>7972</v>
      </c>
      <c r="D1152" s="374">
        <v>1101110123797</v>
      </c>
      <c r="E1152" s="372" t="s">
        <v>7973</v>
      </c>
      <c r="F1152" s="375" t="s">
        <v>900</v>
      </c>
      <c r="G1152" s="375" t="s">
        <v>901</v>
      </c>
      <c r="H1152" s="375" t="s">
        <v>862</v>
      </c>
      <c r="I1152" s="375" t="s">
        <v>755</v>
      </c>
      <c r="J1152" s="375">
        <v>383926.49695</v>
      </c>
      <c r="K1152" s="375">
        <v>8130.9013999999997</v>
      </c>
      <c r="L1152" s="375">
        <v>11398.891519999999</v>
      </c>
      <c r="M1152" s="375">
        <v>329813.51782000001</v>
      </c>
      <c r="N1152" s="372">
        <v>0.42</v>
      </c>
      <c r="O1152" s="703">
        <v>75.238256692112571</v>
      </c>
      <c r="P1152" s="375" t="s">
        <v>623</v>
      </c>
      <c r="Q1152" s="372" t="s">
        <v>623</v>
      </c>
      <c r="R1152" s="695">
        <v>19760629</v>
      </c>
      <c r="S1152" s="372" t="s">
        <v>7974</v>
      </c>
      <c r="T1152" s="696">
        <v>0.20900000000000002</v>
      </c>
      <c r="U1152" s="372" t="s">
        <v>7975</v>
      </c>
      <c r="V1152" s="722">
        <v>9.34</v>
      </c>
      <c r="W1152" s="722">
        <v>0.63</v>
      </c>
      <c r="X1152" s="722">
        <v>0.37</v>
      </c>
      <c r="Y1152" s="722">
        <v>23.41</v>
      </c>
      <c r="Z1152" s="382" t="s">
        <v>934</v>
      </c>
      <c r="AA1152" s="372">
        <v>3190.7643653</v>
      </c>
      <c r="AB1152" s="372">
        <v>3489.6342365999999</v>
      </c>
      <c r="AC1152" s="372">
        <v>3718.2751667000002</v>
      </c>
      <c r="AD1152" s="372">
        <v>3839.2649695</v>
      </c>
      <c r="AE1152" s="372">
        <v>0</v>
      </c>
      <c r="AF1152" s="372">
        <v>0</v>
      </c>
      <c r="AG1152" s="372">
        <v>0</v>
      </c>
      <c r="AH1152" s="372">
        <v>0</v>
      </c>
    </row>
    <row r="1153" spans="1:34">
      <c r="A1153" s="372" t="s">
        <v>7976</v>
      </c>
      <c r="B1153" s="373" t="s">
        <v>7977</v>
      </c>
      <c r="C1153" s="372" t="s">
        <v>7978</v>
      </c>
      <c r="D1153" s="374">
        <v>1101110008200</v>
      </c>
      <c r="E1153" s="372" t="s">
        <v>7979</v>
      </c>
      <c r="F1153" s="372" t="s">
        <v>1334</v>
      </c>
      <c r="G1153" s="375" t="s">
        <v>1334</v>
      </c>
      <c r="H1153" s="375" t="s">
        <v>788</v>
      </c>
      <c r="I1153" s="375" t="s">
        <v>755</v>
      </c>
      <c r="J1153" s="375">
        <v>88593.588699999993</v>
      </c>
      <c r="K1153" s="375">
        <v>596.40279999999996</v>
      </c>
      <c r="L1153" s="375">
        <v>-865.88576999999998</v>
      </c>
      <c r="M1153" s="375">
        <v>39802.313730000002</v>
      </c>
      <c r="N1153" s="372">
        <v>0.55200000000000005</v>
      </c>
      <c r="O1153" s="703">
        <v>36.463452227780323</v>
      </c>
      <c r="P1153" s="375" t="s">
        <v>623</v>
      </c>
      <c r="Q1153" s="375" t="s">
        <v>623</v>
      </c>
      <c r="R1153" s="695">
        <v>19900119</v>
      </c>
      <c r="S1153" s="375" t="s">
        <v>7980</v>
      </c>
      <c r="T1153" s="696" t="s">
        <v>772</v>
      </c>
      <c r="U1153" s="372" t="s">
        <v>7981</v>
      </c>
      <c r="V1153" s="722">
        <v>0</v>
      </c>
      <c r="W1153" s="722">
        <v>3.02</v>
      </c>
      <c r="X1153" s="722">
        <v>0</v>
      </c>
      <c r="Y1153" s="722">
        <v>0</v>
      </c>
      <c r="Z1153" s="382" t="s">
        <v>934</v>
      </c>
      <c r="AA1153" s="372">
        <v>877.99927100000002</v>
      </c>
      <c r="AB1153" s="372">
        <v>844.0765778</v>
      </c>
      <c r="AC1153" s="372">
        <v>933.28194829999995</v>
      </c>
      <c r="AD1153" s="372">
        <v>885.93588699999998</v>
      </c>
      <c r="AE1153" s="372">
        <v>0</v>
      </c>
      <c r="AF1153" s="372">
        <v>0</v>
      </c>
      <c r="AG1153" s="372">
        <v>0</v>
      </c>
      <c r="AH1153" s="372">
        <v>0</v>
      </c>
    </row>
    <row r="1154" spans="1:34">
      <c r="A1154" s="372" t="s">
        <v>7982</v>
      </c>
      <c r="B1154" s="373" t="s">
        <v>7983</v>
      </c>
      <c r="C1154" s="372" t="s">
        <v>7984</v>
      </c>
      <c r="D1154" s="374">
        <v>1348110004870</v>
      </c>
      <c r="E1154" s="372" t="s">
        <v>7985</v>
      </c>
      <c r="F1154" s="375" t="s">
        <v>2098</v>
      </c>
      <c r="G1154" s="375" t="s">
        <v>3436</v>
      </c>
      <c r="H1154" s="375" t="s">
        <v>1388</v>
      </c>
      <c r="I1154" s="375" t="s">
        <v>869</v>
      </c>
      <c r="J1154" s="375">
        <v>536914.17333000002</v>
      </c>
      <c r="K1154" s="375">
        <v>42958.412629999999</v>
      </c>
      <c r="L1154" s="375">
        <v>51179.815419999999</v>
      </c>
      <c r="M1154" s="375">
        <v>326233.81144999998</v>
      </c>
      <c r="N1154" s="372">
        <v>1.0900000000000001</v>
      </c>
      <c r="O1154" s="703">
        <v>0</v>
      </c>
      <c r="P1154" s="375" t="s">
        <v>623</v>
      </c>
      <c r="Q1154" s="372" t="s">
        <v>623</v>
      </c>
      <c r="R1154" s="695">
        <v>20050125</v>
      </c>
      <c r="S1154" s="375" t="s">
        <v>7986</v>
      </c>
      <c r="T1154" s="696">
        <v>0.23100000000000001</v>
      </c>
      <c r="U1154" s="372" t="s">
        <v>7987</v>
      </c>
      <c r="V1154" s="722">
        <v>2.94</v>
      </c>
      <c r="W1154" s="722">
        <v>0.5</v>
      </c>
      <c r="X1154" s="722">
        <v>0.3</v>
      </c>
      <c r="Y1154" s="722">
        <v>3.48</v>
      </c>
      <c r="Z1154" s="382" t="s">
        <v>934</v>
      </c>
      <c r="AA1154" s="372">
        <v>4614.2434961999998</v>
      </c>
      <c r="AB1154" s="372">
        <v>5194.2095861999996</v>
      </c>
      <c r="AC1154" s="372">
        <v>5598.1129800999997</v>
      </c>
      <c r="AD1154" s="372">
        <v>5369.1417332999999</v>
      </c>
      <c r="AE1154" s="372">
        <v>0</v>
      </c>
      <c r="AF1154" s="372">
        <v>0</v>
      </c>
      <c r="AG1154" s="372">
        <v>0</v>
      </c>
      <c r="AH1154" s="372">
        <v>0</v>
      </c>
    </row>
    <row r="1155" spans="1:34">
      <c r="A1155" s="372" t="s">
        <v>7988</v>
      </c>
      <c r="B1155" s="373" t="s">
        <v>7989</v>
      </c>
      <c r="C1155" s="372" t="s">
        <v>7990</v>
      </c>
      <c r="D1155" s="374">
        <v>1812110000906</v>
      </c>
      <c r="E1155" s="372" t="s">
        <v>7991</v>
      </c>
      <c r="F1155" s="375" t="s">
        <v>2126</v>
      </c>
      <c r="G1155" s="375" t="s">
        <v>2126</v>
      </c>
      <c r="H1155" s="375" t="s">
        <v>862</v>
      </c>
      <c r="I1155" s="375" t="s">
        <v>755</v>
      </c>
      <c r="J1155" s="375">
        <v>312540.94071</v>
      </c>
      <c r="K1155" s="375">
        <v>21204.924159999999</v>
      </c>
      <c r="L1155" s="375">
        <v>24817.82243</v>
      </c>
      <c r="M1155" s="375">
        <v>465586.35782999999</v>
      </c>
      <c r="N1155" s="372">
        <v>1.1619999999999999</v>
      </c>
      <c r="O1155" s="703">
        <v>30.635883451281444</v>
      </c>
      <c r="P1155" s="375" t="s">
        <v>623</v>
      </c>
      <c r="Q1155" s="375" t="s">
        <v>623</v>
      </c>
      <c r="R1155" s="695">
        <v>19970307</v>
      </c>
      <c r="S1155" s="375" t="s">
        <v>861</v>
      </c>
      <c r="T1155" s="696">
        <v>0.23100000000000001</v>
      </c>
      <c r="U1155" s="372" t="s">
        <v>7992</v>
      </c>
      <c r="V1155" s="722">
        <v>4.6900000000000004</v>
      </c>
      <c r="W1155" s="722">
        <v>0.34</v>
      </c>
      <c r="X1155" s="722">
        <v>0.51</v>
      </c>
      <c r="Y1155" s="722">
        <v>8.0399999999999991</v>
      </c>
      <c r="Z1155" s="382" t="s">
        <v>934</v>
      </c>
      <c r="AA1155" s="372">
        <v>3105.3298783999999</v>
      </c>
      <c r="AB1155" s="372">
        <v>2984.6110887999998</v>
      </c>
      <c r="AC1155" s="372">
        <v>2755.3956154000002</v>
      </c>
      <c r="AD1155" s="372">
        <v>3125.4094071</v>
      </c>
      <c r="AE1155" s="372">
        <v>0</v>
      </c>
      <c r="AF1155" s="372">
        <v>0</v>
      </c>
      <c r="AG1155" s="372">
        <v>0</v>
      </c>
      <c r="AH1155" s="372">
        <v>0</v>
      </c>
    </row>
    <row r="1156" spans="1:34">
      <c r="A1156" s="372" t="s">
        <v>7993</v>
      </c>
      <c r="B1156" s="373" t="s">
        <v>7994</v>
      </c>
      <c r="C1156" s="372" t="s">
        <v>7995</v>
      </c>
      <c r="D1156" s="374">
        <v>1101116314449</v>
      </c>
      <c r="E1156" s="372" t="s">
        <v>7996</v>
      </c>
      <c r="F1156" s="372" t="s">
        <v>1285</v>
      </c>
      <c r="G1156" s="375" t="s">
        <v>1285</v>
      </c>
      <c r="H1156" s="375" t="s">
        <v>868</v>
      </c>
      <c r="I1156" s="375" t="s">
        <v>869</v>
      </c>
      <c r="J1156" s="375">
        <v>68449.331330000001</v>
      </c>
      <c r="K1156" s="375">
        <v>5447.6126899999999</v>
      </c>
      <c r="L1156" s="375">
        <v>5424.0555400000003</v>
      </c>
      <c r="M1156" s="375">
        <v>46876.845309999997</v>
      </c>
      <c r="N1156" s="372">
        <v>0.70799999999999996</v>
      </c>
      <c r="O1156" s="703">
        <v>2.8804620962326508</v>
      </c>
      <c r="P1156" s="375" t="s">
        <v>623</v>
      </c>
      <c r="Q1156" s="375" t="s">
        <v>623</v>
      </c>
      <c r="R1156" s="695">
        <v>20170601</v>
      </c>
      <c r="S1156" s="375" t="s">
        <v>7997</v>
      </c>
      <c r="T1156" s="696">
        <v>0.20900000000000002</v>
      </c>
      <c r="U1156" s="372" t="s">
        <v>7998</v>
      </c>
      <c r="V1156" s="722">
        <v>15.84</v>
      </c>
      <c r="W1156" s="722">
        <v>2.64</v>
      </c>
      <c r="X1156" s="722">
        <v>1.79</v>
      </c>
      <c r="Y1156" s="722">
        <v>24.63</v>
      </c>
      <c r="Z1156" s="382" t="s">
        <v>934</v>
      </c>
      <c r="AA1156" s="372">
        <v>611.59595469999999</v>
      </c>
      <c r="AB1156" s="372">
        <v>782.78088160000004</v>
      </c>
      <c r="AC1156" s="372">
        <v>825.95000689999995</v>
      </c>
      <c r="AD1156" s="372">
        <v>684.49331329999995</v>
      </c>
      <c r="AE1156" s="372">
        <v>0</v>
      </c>
      <c r="AF1156" s="372">
        <v>0</v>
      </c>
      <c r="AG1156" s="372">
        <v>0</v>
      </c>
      <c r="AH1156" s="372">
        <v>0</v>
      </c>
    </row>
    <row r="1157" spans="1:34">
      <c r="A1157" s="372" t="s">
        <v>7999</v>
      </c>
      <c r="B1157" s="373" t="s">
        <v>8000</v>
      </c>
      <c r="C1157" s="372" t="s">
        <v>8001</v>
      </c>
      <c r="D1157" s="374">
        <v>1101110412778</v>
      </c>
      <c r="E1157" s="372" t="s">
        <v>8002</v>
      </c>
      <c r="F1157" s="372" t="s">
        <v>8003</v>
      </c>
      <c r="G1157" s="375" t="s">
        <v>8003</v>
      </c>
      <c r="H1157" s="375" t="s">
        <v>1348</v>
      </c>
      <c r="I1157" s="375" t="s">
        <v>869</v>
      </c>
      <c r="J1157" s="375">
        <v>50977.13377</v>
      </c>
      <c r="K1157" s="375">
        <v>-3542.6380800000002</v>
      </c>
      <c r="L1157" s="375">
        <v>-3293.9607999999998</v>
      </c>
      <c r="M1157" s="375">
        <v>51727.10153</v>
      </c>
      <c r="N1157" s="372" t="s">
        <v>1033</v>
      </c>
      <c r="O1157" s="703">
        <v>1.8043733556468906</v>
      </c>
      <c r="P1157" s="375" t="s">
        <v>16142</v>
      </c>
      <c r="Q1157" s="375" t="s">
        <v>16145</v>
      </c>
      <c r="R1157" s="695">
        <v>19970704</v>
      </c>
      <c r="S1157" s="375" t="s">
        <v>8004</v>
      </c>
      <c r="T1157" s="696" t="s">
        <v>772</v>
      </c>
      <c r="U1157" s="375" t="s">
        <v>16046</v>
      </c>
      <c r="V1157" s="722">
        <v>0</v>
      </c>
      <c r="W1157" s="722">
        <v>2.76</v>
      </c>
      <c r="X1157" s="722">
        <v>0</v>
      </c>
      <c r="Y1157" s="722">
        <v>0</v>
      </c>
      <c r="Z1157" s="382" t="s">
        <v>934</v>
      </c>
      <c r="AA1157" s="372">
        <v>63.668180300000003</v>
      </c>
      <c r="AB1157" s="372">
        <v>472.60489519999999</v>
      </c>
      <c r="AC1157" s="372">
        <v>625.66412209999999</v>
      </c>
      <c r="AD1157" s="372">
        <v>509.7713377</v>
      </c>
      <c r="AE1157" s="372">
        <v>0</v>
      </c>
      <c r="AF1157" s="372">
        <v>0</v>
      </c>
      <c r="AG1157" s="372">
        <v>0</v>
      </c>
      <c r="AH1157" s="372">
        <v>0</v>
      </c>
    </row>
    <row r="1158" spans="1:34">
      <c r="A1158" s="372" t="s">
        <v>8005</v>
      </c>
      <c r="B1158" s="373" t="s">
        <v>8006</v>
      </c>
      <c r="C1158" s="372" t="s">
        <v>8007</v>
      </c>
      <c r="D1158" s="374">
        <v>1348110106600</v>
      </c>
      <c r="E1158" s="372" t="s">
        <v>8008</v>
      </c>
      <c r="F1158" s="375" t="s">
        <v>3266</v>
      </c>
      <c r="G1158" s="375" t="s">
        <v>3266</v>
      </c>
      <c r="H1158" s="375" t="s">
        <v>1388</v>
      </c>
      <c r="I1158" s="375" t="s">
        <v>869</v>
      </c>
      <c r="J1158" s="375">
        <v>61919.9931</v>
      </c>
      <c r="K1158" s="375">
        <v>12021.728069999999</v>
      </c>
      <c r="L1158" s="375">
        <v>11438.858550000001</v>
      </c>
      <c r="M1158" s="375">
        <v>65129.834349999997</v>
      </c>
      <c r="N1158" s="372">
        <v>1.0980000000000001</v>
      </c>
      <c r="O1158" s="703">
        <v>30.001245898242313</v>
      </c>
      <c r="P1158" s="375" t="s">
        <v>623</v>
      </c>
      <c r="Q1158" s="372" t="s">
        <v>623</v>
      </c>
      <c r="R1158" s="695">
        <v>20191025</v>
      </c>
      <c r="S1158" s="372" t="s">
        <v>8009</v>
      </c>
      <c r="T1158" s="696">
        <v>0.20900000000000002</v>
      </c>
      <c r="U1158" s="372" t="s">
        <v>8010</v>
      </c>
      <c r="V1158" s="722">
        <v>10.72</v>
      </c>
      <c r="W1158" s="722">
        <v>2.36</v>
      </c>
      <c r="X1158" s="722">
        <v>2.48</v>
      </c>
      <c r="Y1158" s="722">
        <v>14.28</v>
      </c>
      <c r="Z1158" s="382">
        <v>0.13841500139899066</v>
      </c>
      <c r="AA1158" s="372">
        <v>425.92377320000003</v>
      </c>
      <c r="AB1158" s="372">
        <v>465.10956659999999</v>
      </c>
      <c r="AC1158" s="372">
        <v>623.14404179999997</v>
      </c>
      <c r="AD1158" s="372">
        <v>619.19993099999999</v>
      </c>
      <c r="AE1158" s="372">
        <v>757</v>
      </c>
      <c r="AF1158" s="372">
        <v>904</v>
      </c>
      <c r="AG1158" s="372">
        <v>1040</v>
      </c>
      <c r="AH1158" s="372">
        <v>0</v>
      </c>
    </row>
    <row r="1159" spans="1:34">
      <c r="A1159" s="372" t="s">
        <v>8011</v>
      </c>
      <c r="B1159" s="373" t="s">
        <v>8012</v>
      </c>
      <c r="C1159" s="372" t="s">
        <v>8013</v>
      </c>
      <c r="D1159" s="374">
        <v>1501110006185</v>
      </c>
      <c r="E1159" s="372" t="s">
        <v>8014</v>
      </c>
      <c r="F1159" s="375" t="s">
        <v>622</v>
      </c>
      <c r="G1159" s="375" t="s">
        <v>622</v>
      </c>
      <c r="H1159" s="375" t="s">
        <v>1388</v>
      </c>
      <c r="I1159" s="375" t="s">
        <v>869</v>
      </c>
      <c r="J1159" s="375">
        <v>1092958.2812399999</v>
      </c>
      <c r="K1159" s="375">
        <v>-206310.59377000001</v>
      </c>
      <c r="L1159" s="375">
        <v>-222533.67280999999</v>
      </c>
      <c r="M1159" s="375">
        <v>418902.84266999998</v>
      </c>
      <c r="N1159" s="372">
        <v>1.2410000000000001</v>
      </c>
      <c r="O1159" s="703">
        <v>293.79943768127993</v>
      </c>
      <c r="P1159" s="375" t="s">
        <v>623</v>
      </c>
      <c r="Q1159" s="375" t="s">
        <v>623</v>
      </c>
      <c r="R1159" s="695">
        <v>19991229</v>
      </c>
      <c r="S1159" s="375" t="s">
        <v>2312</v>
      </c>
      <c r="T1159" s="696" t="s">
        <v>772</v>
      </c>
      <c r="U1159" s="372" t="s">
        <v>8015</v>
      </c>
      <c r="V1159" s="722" t="s">
        <v>774</v>
      </c>
      <c r="W1159" s="722">
        <v>1.24</v>
      </c>
      <c r="X1159" s="722">
        <v>0.15</v>
      </c>
      <c r="Y1159" s="722" t="s">
        <v>774</v>
      </c>
      <c r="Z1159" s="382" t="s">
        <v>934</v>
      </c>
      <c r="AA1159" s="372">
        <v>12017.1025558</v>
      </c>
      <c r="AB1159" s="372">
        <v>13661.285294400001</v>
      </c>
      <c r="AC1159" s="372">
        <v>17104.171707400001</v>
      </c>
      <c r="AD1159" s="372">
        <v>10929.5828124</v>
      </c>
      <c r="AE1159" s="372">
        <v>0</v>
      </c>
      <c r="AF1159" s="372">
        <v>0</v>
      </c>
      <c r="AG1159" s="372">
        <v>0</v>
      </c>
      <c r="AH1159" s="372">
        <v>0</v>
      </c>
    </row>
    <row r="1160" spans="1:34">
      <c r="A1160" s="372" t="s">
        <v>8016</v>
      </c>
      <c r="B1160" s="373" t="s">
        <v>8017</v>
      </c>
      <c r="C1160" s="372" t="s">
        <v>8018</v>
      </c>
      <c r="D1160" s="374">
        <v>1901110002721</v>
      </c>
      <c r="E1160" s="372" t="s">
        <v>8019</v>
      </c>
      <c r="F1160" s="375" t="s">
        <v>1977</v>
      </c>
      <c r="G1160" s="375" t="s">
        <v>1978</v>
      </c>
      <c r="H1160" s="375" t="s">
        <v>1327</v>
      </c>
      <c r="I1160" s="375" t="s">
        <v>755</v>
      </c>
      <c r="J1160" s="375">
        <v>146573.70082</v>
      </c>
      <c r="K1160" s="375">
        <v>16162.94197</v>
      </c>
      <c r="L1160" s="375">
        <v>83381.97309</v>
      </c>
      <c r="M1160" s="375">
        <v>539638.32050000003</v>
      </c>
      <c r="N1160" s="372">
        <v>1.022</v>
      </c>
      <c r="O1160" s="703">
        <v>28.695540037615945</v>
      </c>
      <c r="P1160" s="375" t="s">
        <v>623</v>
      </c>
      <c r="Q1160" s="375" t="s">
        <v>623</v>
      </c>
      <c r="R1160" s="695">
        <v>19980727</v>
      </c>
      <c r="S1160" s="375" t="s">
        <v>1979</v>
      </c>
      <c r="T1160" s="696">
        <v>0.23100000000000001</v>
      </c>
      <c r="U1160" s="372" t="s">
        <v>8020</v>
      </c>
      <c r="V1160" s="722">
        <v>4.8600000000000003</v>
      </c>
      <c r="W1160" s="722">
        <v>0.27</v>
      </c>
      <c r="X1160" s="722">
        <v>1.04</v>
      </c>
      <c r="Y1160" s="722">
        <v>2.33</v>
      </c>
      <c r="Z1160" s="382" t="s">
        <v>934</v>
      </c>
      <c r="AA1160" s="372">
        <v>1393.5180522999999</v>
      </c>
      <c r="AB1160" s="372">
        <v>1269.2833959</v>
      </c>
      <c r="AC1160" s="372">
        <v>1528.3244480999999</v>
      </c>
      <c r="AD1160" s="372">
        <v>1465.7370082</v>
      </c>
      <c r="AE1160" s="372">
        <v>0</v>
      </c>
      <c r="AF1160" s="372">
        <v>0</v>
      </c>
      <c r="AG1160" s="372">
        <v>0</v>
      </c>
      <c r="AH1160" s="372">
        <v>0</v>
      </c>
    </row>
    <row r="1161" spans="1:34">
      <c r="A1161" s="372" t="s">
        <v>8021</v>
      </c>
      <c r="B1161" s="373" t="s">
        <v>8022</v>
      </c>
      <c r="C1161" s="372" t="s">
        <v>8023</v>
      </c>
      <c r="D1161" s="374">
        <v>1101110511273</v>
      </c>
      <c r="E1161" s="372" t="s">
        <v>8024</v>
      </c>
      <c r="F1161" s="372" t="s">
        <v>3924</v>
      </c>
      <c r="G1161" s="375" t="s">
        <v>7859</v>
      </c>
      <c r="H1161" s="375" t="s">
        <v>902</v>
      </c>
      <c r="I1161" s="375" t="s">
        <v>869</v>
      </c>
      <c r="J1161" s="375">
        <v>29276.09447</v>
      </c>
      <c r="K1161" s="375">
        <v>8539.1829500000003</v>
      </c>
      <c r="L1161" s="375">
        <v>8540.5989699999991</v>
      </c>
      <c r="M1161" s="375">
        <v>126127.40315</v>
      </c>
      <c r="N1161" s="372">
        <v>0.89400000000000002</v>
      </c>
      <c r="O1161" s="703">
        <v>0</v>
      </c>
      <c r="P1161" s="375" t="s">
        <v>623</v>
      </c>
      <c r="Q1161" s="375" t="s">
        <v>623</v>
      </c>
      <c r="R1161" s="695">
        <v>19890830</v>
      </c>
      <c r="S1161" s="375" t="s">
        <v>7860</v>
      </c>
      <c r="T1161" s="696">
        <v>0.20900000000000002</v>
      </c>
      <c r="U1161" s="372" t="s">
        <v>8025</v>
      </c>
      <c r="V1161" s="722">
        <v>0</v>
      </c>
      <c r="W1161" s="722">
        <v>1.0900000000000001</v>
      </c>
      <c r="X1161" s="722">
        <v>0</v>
      </c>
      <c r="Y1161" s="722">
        <v>0</v>
      </c>
      <c r="Z1161" s="382" t="s">
        <v>934</v>
      </c>
      <c r="AA1161" s="372">
        <v>263.95904030000003</v>
      </c>
      <c r="AB1161" s="372">
        <v>383.88753400000002</v>
      </c>
      <c r="AC1161" s="372">
        <v>169.1939137</v>
      </c>
      <c r="AD1161" s="372">
        <v>292.76094469999998</v>
      </c>
      <c r="AE1161" s="372">
        <v>0</v>
      </c>
      <c r="AF1161" s="372">
        <v>0</v>
      </c>
      <c r="AG1161" s="372">
        <v>0</v>
      </c>
      <c r="AH1161" s="372">
        <v>0</v>
      </c>
    </row>
    <row r="1162" spans="1:34">
      <c r="A1162" s="372" t="s">
        <v>8026</v>
      </c>
      <c r="B1162" s="373" t="s">
        <v>8027</v>
      </c>
      <c r="C1162" s="372" t="s">
        <v>8028</v>
      </c>
      <c r="D1162" s="374">
        <v>1101114962042</v>
      </c>
      <c r="E1162" s="372" t="s">
        <v>8029</v>
      </c>
      <c r="F1162" s="375" t="s">
        <v>1714</v>
      </c>
      <c r="G1162" s="375" t="s">
        <v>1714</v>
      </c>
      <c r="H1162" s="375" t="s">
        <v>1348</v>
      </c>
      <c r="I1162" s="375" t="s">
        <v>869</v>
      </c>
      <c r="J1162" s="375">
        <v>106657.97859</v>
      </c>
      <c r="K1162" s="375">
        <v>-2766.3598000000002</v>
      </c>
      <c r="L1162" s="375">
        <v>-4513.1974</v>
      </c>
      <c r="M1162" s="375">
        <v>31928.29737</v>
      </c>
      <c r="N1162" s="372">
        <v>1.2849999999999999</v>
      </c>
      <c r="O1162" s="703">
        <v>25.664591205271087</v>
      </c>
      <c r="P1162" s="375" t="s">
        <v>623</v>
      </c>
      <c r="Q1162" s="375" t="s">
        <v>623</v>
      </c>
      <c r="R1162" s="695">
        <v>20210121</v>
      </c>
      <c r="S1162" s="375" t="s">
        <v>8030</v>
      </c>
      <c r="T1162" s="696" t="s">
        <v>772</v>
      </c>
      <c r="U1162" s="372" t="s">
        <v>8031</v>
      </c>
      <c r="V1162" s="722" t="s">
        <v>774</v>
      </c>
      <c r="W1162" s="722">
        <v>3.46</v>
      </c>
      <c r="X1162" s="722">
        <v>1.22</v>
      </c>
      <c r="Y1162" s="722" t="s">
        <v>774</v>
      </c>
      <c r="Z1162" s="382" t="s">
        <v>934</v>
      </c>
      <c r="AA1162" s="372">
        <v>442.82769919999998</v>
      </c>
      <c r="AB1162" s="372">
        <v>824.06273999999996</v>
      </c>
      <c r="AC1162" s="372">
        <v>1082.1087373</v>
      </c>
      <c r="AD1162" s="372">
        <v>1066.5797858999999</v>
      </c>
      <c r="AE1162" s="372">
        <v>1259.5</v>
      </c>
      <c r="AF1162" s="372">
        <v>1573</v>
      </c>
      <c r="AG1162" s="372">
        <v>0</v>
      </c>
      <c r="AH1162" s="372">
        <v>0</v>
      </c>
    </row>
    <row r="1163" spans="1:34">
      <c r="A1163" s="372" t="s">
        <v>8032</v>
      </c>
      <c r="B1163" s="373" t="s">
        <v>8033</v>
      </c>
      <c r="C1163" s="372" t="s">
        <v>8034</v>
      </c>
      <c r="D1163" s="374">
        <v>1201110764789</v>
      </c>
      <c r="E1163" s="372" t="s">
        <v>8035</v>
      </c>
      <c r="F1163" s="375" t="s">
        <v>1838</v>
      </c>
      <c r="G1163" s="375" t="s">
        <v>1839</v>
      </c>
      <c r="H1163" s="375" t="s">
        <v>1388</v>
      </c>
      <c r="I1163" s="375" t="s">
        <v>869</v>
      </c>
      <c r="J1163" s="375">
        <v>0</v>
      </c>
      <c r="K1163" s="375">
        <v>0</v>
      </c>
      <c r="L1163" s="375">
        <v>0</v>
      </c>
      <c r="M1163" s="375">
        <v>13941.156779999999</v>
      </c>
      <c r="N1163" s="372" t="s">
        <v>1033</v>
      </c>
      <c r="O1163" s="703">
        <v>10.459783767620555</v>
      </c>
      <c r="P1163" s="375" t="s">
        <v>623</v>
      </c>
      <c r="Q1163" s="372" t="s">
        <v>623</v>
      </c>
      <c r="R1163" s="695">
        <v>20230719</v>
      </c>
      <c r="S1163" s="372" t="s">
        <v>8036</v>
      </c>
      <c r="T1163" s="696" t="s">
        <v>772</v>
      </c>
      <c r="U1163" s="372" t="s">
        <v>8037</v>
      </c>
      <c r="V1163" s="722">
        <v>0</v>
      </c>
      <c r="W1163" s="722">
        <v>7.57</v>
      </c>
      <c r="X1163" s="722">
        <v>0</v>
      </c>
      <c r="Y1163" s="722">
        <v>0</v>
      </c>
      <c r="Z1163" s="382" t="s">
        <v>934</v>
      </c>
      <c r="AA1163" s="372">
        <v>31.5689815</v>
      </c>
      <c r="AB1163" s="372">
        <v>45.967706499999998</v>
      </c>
      <c r="AC1163" s="372">
        <v>56.142896700000001</v>
      </c>
      <c r="AD1163" s="372">
        <v>84.629195800000005</v>
      </c>
      <c r="AE1163" s="372">
        <v>0</v>
      </c>
      <c r="AF1163" s="372">
        <v>0</v>
      </c>
      <c r="AG1163" s="372">
        <v>0</v>
      </c>
      <c r="AH1163" s="372">
        <v>0</v>
      </c>
    </row>
    <row r="1164" spans="1:34">
      <c r="A1164" s="372" t="s">
        <v>8038</v>
      </c>
      <c r="B1164" s="373" t="s">
        <v>8039</v>
      </c>
      <c r="C1164" s="372" t="s">
        <v>8040</v>
      </c>
      <c r="D1164" s="374">
        <v>1101113306861</v>
      </c>
      <c r="E1164" s="372" t="s">
        <v>8041</v>
      </c>
      <c r="F1164" s="372" t="s">
        <v>1076</v>
      </c>
      <c r="G1164" s="375" t="s">
        <v>1076</v>
      </c>
      <c r="H1164" s="375" t="s">
        <v>3127</v>
      </c>
      <c r="I1164" s="375" t="s">
        <v>869</v>
      </c>
      <c r="J1164" s="375">
        <v>12154.926530000001</v>
      </c>
      <c r="K1164" s="375">
        <v>-4203.3769599999996</v>
      </c>
      <c r="L1164" s="375">
        <v>-7146.97732</v>
      </c>
      <c r="M1164" s="375">
        <v>118743.11805</v>
      </c>
      <c r="N1164" s="372">
        <v>1.089</v>
      </c>
      <c r="O1164" s="703">
        <v>65.738419006337395</v>
      </c>
      <c r="P1164" s="375" t="s">
        <v>623</v>
      </c>
      <c r="Q1164" s="372" t="s">
        <v>623</v>
      </c>
      <c r="R1164" s="695">
        <v>20220124</v>
      </c>
      <c r="S1164" s="372" t="s">
        <v>8042</v>
      </c>
      <c r="T1164" s="696" t="s">
        <v>772</v>
      </c>
      <c r="U1164" s="372" t="s">
        <v>8043</v>
      </c>
      <c r="V1164" s="722" t="s">
        <v>774</v>
      </c>
      <c r="W1164" s="722">
        <v>1.36</v>
      </c>
      <c r="X1164" s="722">
        <v>14.11</v>
      </c>
      <c r="Y1164" s="722" t="s">
        <v>774</v>
      </c>
      <c r="Z1164" s="382" t="s">
        <v>934</v>
      </c>
      <c r="AA1164" s="372">
        <v>241.92455620000001</v>
      </c>
      <c r="AB1164" s="372">
        <v>383.00247389999998</v>
      </c>
      <c r="AC1164" s="372">
        <v>277.16194309999997</v>
      </c>
      <c r="AD1164" s="372">
        <v>121.5492653</v>
      </c>
      <c r="AE1164" s="372">
        <v>0</v>
      </c>
      <c r="AF1164" s="372">
        <v>0</v>
      </c>
      <c r="AG1164" s="372">
        <v>0</v>
      </c>
      <c r="AH1164" s="372">
        <v>0</v>
      </c>
    </row>
    <row r="1165" spans="1:34">
      <c r="A1165" s="372" t="s">
        <v>8044</v>
      </c>
      <c r="B1165" s="373" t="s">
        <v>8045</v>
      </c>
      <c r="C1165" s="372" t="s">
        <v>8046</v>
      </c>
      <c r="D1165" s="374">
        <v>2801110078161</v>
      </c>
      <c r="E1165" s="372" t="s">
        <v>8047</v>
      </c>
      <c r="F1165" s="375" t="s">
        <v>5916</v>
      </c>
      <c r="G1165" s="375" t="s">
        <v>5916</v>
      </c>
      <c r="H1165" s="375" t="s">
        <v>868</v>
      </c>
      <c r="I1165" s="375" t="s">
        <v>869</v>
      </c>
      <c r="J1165" s="375">
        <v>53009.477350000001</v>
      </c>
      <c r="K1165" s="375">
        <v>10512.86328</v>
      </c>
      <c r="L1165" s="375">
        <v>12113.193450000001</v>
      </c>
      <c r="M1165" s="375">
        <v>66168.082469999994</v>
      </c>
      <c r="N1165" s="372">
        <v>7.4999999999999997E-2</v>
      </c>
      <c r="O1165" s="703">
        <v>0.67802966799754549</v>
      </c>
      <c r="P1165" s="375" t="s">
        <v>623</v>
      </c>
      <c r="Q1165" s="375" t="s">
        <v>623</v>
      </c>
      <c r="R1165" s="695">
        <v>20220323</v>
      </c>
      <c r="S1165" s="375" t="s">
        <v>8048</v>
      </c>
      <c r="T1165" s="696">
        <v>0.20900000000000002</v>
      </c>
      <c r="U1165" s="372" t="s">
        <v>8049</v>
      </c>
      <c r="V1165" s="722">
        <v>0</v>
      </c>
      <c r="W1165" s="722">
        <v>2.11</v>
      </c>
      <c r="X1165" s="722">
        <v>0</v>
      </c>
      <c r="Y1165" s="722">
        <v>0</v>
      </c>
      <c r="Z1165" s="382" t="s">
        <v>934</v>
      </c>
      <c r="AA1165" s="372">
        <v>326.83410500000002</v>
      </c>
      <c r="AB1165" s="372">
        <v>473.19807500000002</v>
      </c>
      <c r="AC1165" s="372">
        <v>586.86880110000004</v>
      </c>
      <c r="AD1165" s="372">
        <v>530.09477349999997</v>
      </c>
      <c r="AE1165" s="372">
        <v>0</v>
      </c>
      <c r="AF1165" s="372">
        <v>0</v>
      </c>
      <c r="AG1165" s="372">
        <v>0</v>
      </c>
      <c r="AH1165" s="372">
        <v>0</v>
      </c>
    </row>
    <row r="1166" spans="1:34">
      <c r="A1166" s="372" t="s">
        <v>8050</v>
      </c>
      <c r="B1166" s="373" t="s">
        <v>8051</v>
      </c>
      <c r="C1166" s="372" t="s">
        <v>8052</v>
      </c>
      <c r="D1166" s="374">
        <v>1301110008961</v>
      </c>
      <c r="E1166" s="372" t="s">
        <v>8053</v>
      </c>
      <c r="F1166" s="375" t="s">
        <v>1881</v>
      </c>
      <c r="G1166" s="375" t="s">
        <v>8054</v>
      </c>
      <c r="H1166" s="375" t="s">
        <v>868</v>
      </c>
      <c r="I1166" s="375" t="s">
        <v>869</v>
      </c>
      <c r="J1166" s="375">
        <v>939353.13780000003</v>
      </c>
      <c r="K1166" s="375">
        <v>27748.94211</v>
      </c>
      <c r="L1166" s="375">
        <v>9797.2152700000006</v>
      </c>
      <c r="M1166" s="375">
        <v>220100.19336999999</v>
      </c>
      <c r="N1166" s="372">
        <v>1.008</v>
      </c>
      <c r="O1166" s="703">
        <v>166.11516791293491</v>
      </c>
      <c r="P1166" s="375" t="s">
        <v>623</v>
      </c>
      <c r="Q1166" s="375" t="s">
        <v>623</v>
      </c>
      <c r="R1166" s="695">
        <v>19941019</v>
      </c>
      <c r="S1166" s="375" t="s">
        <v>8055</v>
      </c>
      <c r="T1166" s="696">
        <v>0.20900000000000002</v>
      </c>
      <c r="U1166" s="375" t="s">
        <v>8056</v>
      </c>
      <c r="V1166" s="722">
        <v>6.67</v>
      </c>
      <c r="W1166" s="722">
        <v>0.75</v>
      </c>
      <c r="X1166" s="722">
        <v>0.16</v>
      </c>
      <c r="Y1166" s="722">
        <v>16.66</v>
      </c>
      <c r="Z1166" s="382" t="s">
        <v>934</v>
      </c>
      <c r="AA1166" s="372">
        <v>7364.7366288000003</v>
      </c>
      <c r="AB1166" s="372">
        <v>7645.7307365999995</v>
      </c>
      <c r="AC1166" s="372">
        <v>9222.0863571000009</v>
      </c>
      <c r="AD1166" s="372">
        <v>9393.5313779999997</v>
      </c>
      <c r="AE1166" s="372">
        <v>0</v>
      </c>
      <c r="AF1166" s="372">
        <v>0</v>
      </c>
      <c r="AG1166" s="372">
        <v>0</v>
      </c>
      <c r="AH1166" s="372">
        <v>0</v>
      </c>
    </row>
    <row r="1167" spans="1:34">
      <c r="A1167" s="372" t="s">
        <v>8057</v>
      </c>
      <c r="B1167" s="373" t="s">
        <v>8058</v>
      </c>
      <c r="C1167" s="372" t="s">
        <v>8059</v>
      </c>
      <c r="D1167" s="374">
        <v>1101113430040</v>
      </c>
      <c r="E1167" s="372" t="s">
        <v>8060</v>
      </c>
      <c r="F1167" s="375" t="s">
        <v>1104</v>
      </c>
      <c r="G1167" s="375" t="s">
        <v>1105</v>
      </c>
      <c r="H1167" s="375" t="s">
        <v>868</v>
      </c>
      <c r="I1167" s="375" t="s">
        <v>869</v>
      </c>
      <c r="J1167" s="375">
        <v>27935.888370000001</v>
      </c>
      <c r="K1167" s="375">
        <v>-4050.0176499999998</v>
      </c>
      <c r="L1167" s="375">
        <v>-9209.6140799999994</v>
      </c>
      <c r="M1167" s="375">
        <v>32308.257989999998</v>
      </c>
      <c r="N1167" s="372">
        <v>1.349</v>
      </c>
      <c r="O1167" s="703">
        <v>42.460609425066579</v>
      </c>
      <c r="P1167" s="375" t="s">
        <v>623</v>
      </c>
      <c r="Q1167" s="372" t="s">
        <v>623</v>
      </c>
      <c r="R1167" s="695">
        <v>20191111</v>
      </c>
      <c r="S1167" s="372" t="s">
        <v>8061</v>
      </c>
      <c r="T1167" s="696" t="s">
        <v>772</v>
      </c>
      <c r="U1167" s="375" t="s">
        <v>8062</v>
      </c>
      <c r="V1167" s="722" t="s">
        <v>774</v>
      </c>
      <c r="W1167" s="722">
        <v>4.57</v>
      </c>
      <c r="X1167" s="722">
        <v>5.97</v>
      </c>
      <c r="Y1167" s="722" t="s">
        <v>774</v>
      </c>
      <c r="Z1167" s="382" t="s">
        <v>934</v>
      </c>
      <c r="AA1167" s="372">
        <v>178.6172157</v>
      </c>
      <c r="AB1167" s="372">
        <v>203.39266559999999</v>
      </c>
      <c r="AC1167" s="372">
        <v>236.3874658</v>
      </c>
      <c r="AD1167" s="372">
        <v>279.35888369999998</v>
      </c>
      <c r="AE1167" s="372">
        <v>435</v>
      </c>
      <c r="AF1167" s="372">
        <v>0</v>
      </c>
      <c r="AG1167" s="372">
        <v>0</v>
      </c>
      <c r="AH1167" s="372">
        <v>0</v>
      </c>
    </row>
    <row r="1168" spans="1:34">
      <c r="A1168" s="372" t="s">
        <v>8063</v>
      </c>
      <c r="B1168" s="373" t="s">
        <v>8064</v>
      </c>
      <c r="C1168" s="372" t="s">
        <v>8065</v>
      </c>
      <c r="D1168" s="374">
        <v>1101111412256</v>
      </c>
      <c r="E1168" s="372" t="s">
        <v>8066</v>
      </c>
      <c r="F1168" s="375" t="s">
        <v>5954</v>
      </c>
      <c r="G1168" s="375" t="s">
        <v>5954</v>
      </c>
      <c r="H1168" s="375" t="s">
        <v>823</v>
      </c>
      <c r="I1168" s="375" t="s">
        <v>755</v>
      </c>
      <c r="J1168" s="375">
        <v>503774.95514999999</v>
      </c>
      <c r="K1168" s="375">
        <v>19190.293320000001</v>
      </c>
      <c r="L1168" s="375">
        <v>18240.601890000002</v>
      </c>
      <c r="M1168" s="375">
        <v>70214.000450000007</v>
      </c>
      <c r="N1168" s="372">
        <v>0.69499999999999995</v>
      </c>
      <c r="O1168" s="703">
        <v>21.648505244787682</v>
      </c>
      <c r="P1168" s="375" t="s">
        <v>623</v>
      </c>
      <c r="Q1168" s="372" t="s">
        <v>623</v>
      </c>
      <c r="R1168" s="695">
        <v>20071025</v>
      </c>
      <c r="S1168" s="372" t="s">
        <v>8067</v>
      </c>
      <c r="T1168" s="696">
        <v>0.20900000000000002</v>
      </c>
      <c r="U1168" s="372" t="s">
        <v>8068</v>
      </c>
      <c r="V1168" s="722">
        <v>3.56</v>
      </c>
      <c r="W1168" s="722">
        <v>2</v>
      </c>
      <c r="X1168" s="722">
        <v>0.31</v>
      </c>
      <c r="Y1168" s="722">
        <v>10.6</v>
      </c>
      <c r="Z1168" s="382" t="s">
        <v>934</v>
      </c>
      <c r="AA1168" s="372">
        <v>4841.1958352000001</v>
      </c>
      <c r="AB1168" s="372">
        <v>4759.0442937999997</v>
      </c>
      <c r="AC1168" s="372">
        <v>5112.6662034000001</v>
      </c>
      <c r="AD1168" s="372">
        <v>5037.7495515000001</v>
      </c>
      <c r="AE1168" s="372">
        <v>0</v>
      </c>
      <c r="AF1168" s="372">
        <v>0</v>
      </c>
      <c r="AG1168" s="372">
        <v>0</v>
      </c>
      <c r="AH1168" s="372">
        <v>0</v>
      </c>
    </row>
    <row r="1169" spans="1:34">
      <c r="A1169" s="372" t="s">
        <v>8069</v>
      </c>
      <c r="B1169" s="373" t="s">
        <v>8070</v>
      </c>
      <c r="C1169" s="372" t="s">
        <v>8071</v>
      </c>
      <c r="D1169" s="374">
        <v>1358110085019</v>
      </c>
      <c r="E1169" s="372" t="s">
        <v>8072</v>
      </c>
      <c r="F1169" s="372" t="s">
        <v>1259</v>
      </c>
      <c r="G1169" s="375" t="s">
        <v>1259</v>
      </c>
      <c r="H1169" s="375" t="s">
        <v>868</v>
      </c>
      <c r="I1169" s="375" t="s">
        <v>869</v>
      </c>
      <c r="J1169" s="375">
        <v>71317.790869999997</v>
      </c>
      <c r="K1169" s="375">
        <v>2585.4416700000002</v>
      </c>
      <c r="L1169" s="375">
        <v>-2158.4456399999999</v>
      </c>
      <c r="M1169" s="375">
        <v>104067.05207000001</v>
      </c>
      <c r="N1169" s="372">
        <v>1.024</v>
      </c>
      <c r="O1169" s="703">
        <v>30.857565766378087</v>
      </c>
      <c r="P1169" s="375" t="s">
        <v>623</v>
      </c>
      <c r="Q1169" s="372" t="s">
        <v>623</v>
      </c>
      <c r="R1169" s="695">
        <v>20051118</v>
      </c>
      <c r="S1169" s="372" t="s">
        <v>8073</v>
      </c>
      <c r="T1169" s="696" t="s">
        <v>772</v>
      </c>
      <c r="U1169" s="372" t="s">
        <v>8074</v>
      </c>
      <c r="V1169" s="722">
        <v>28.88</v>
      </c>
      <c r="W1169" s="722">
        <v>1.39</v>
      </c>
      <c r="X1169" s="722">
        <v>2.02</v>
      </c>
      <c r="Y1169" s="722" t="s">
        <v>774</v>
      </c>
      <c r="Z1169" s="382" t="s">
        <v>934</v>
      </c>
      <c r="AA1169" s="372">
        <v>435.91507389999998</v>
      </c>
      <c r="AB1169" s="372">
        <v>575.59898920000001</v>
      </c>
      <c r="AC1169" s="372">
        <v>515.64307020000001</v>
      </c>
      <c r="AD1169" s="372">
        <v>713.17790869999999</v>
      </c>
      <c r="AE1169" s="372">
        <v>0</v>
      </c>
      <c r="AF1169" s="372">
        <v>0</v>
      </c>
      <c r="AG1169" s="372">
        <v>0</v>
      </c>
      <c r="AH1169" s="372">
        <v>0</v>
      </c>
    </row>
    <row r="1170" spans="1:34">
      <c r="A1170" s="372" t="s">
        <v>8075</v>
      </c>
      <c r="B1170" s="373" t="s">
        <v>8076</v>
      </c>
      <c r="C1170" s="372" t="s">
        <v>8077</v>
      </c>
      <c r="D1170" s="374">
        <v>1650110006768</v>
      </c>
      <c r="E1170" s="372" t="s">
        <v>8078</v>
      </c>
      <c r="F1170" s="375" t="s">
        <v>1368</v>
      </c>
      <c r="G1170" s="375" t="s">
        <v>1368</v>
      </c>
      <c r="H1170" s="375" t="s">
        <v>832</v>
      </c>
      <c r="I1170" s="375" t="s">
        <v>755</v>
      </c>
      <c r="J1170" s="375">
        <v>1008120.08464</v>
      </c>
      <c r="K1170" s="375">
        <v>33040.06884</v>
      </c>
      <c r="L1170" s="375">
        <v>21510.688440000002</v>
      </c>
      <c r="M1170" s="375">
        <v>316877.87059000001</v>
      </c>
      <c r="N1170" s="372">
        <v>0.92200000000000004</v>
      </c>
      <c r="O1170" s="703">
        <v>111.35185123097425</v>
      </c>
      <c r="P1170" s="375" t="s">
        <v>623</v>
      </c>
      <c r="Q1170" s="375" t="s">
        <v>623</v>
      </c>
      <c r="R1170" s="695">
        <v>20060925</v>
      </c>
      <c r="S1170" s="375" t="s">
        <v>8079</v>
      </c>
      <c r="T1170" s="696">
        <v>0.23100000000000001</v>
      </c>
      <c r="U1170" s="372" t="s">
        <v>8080</v>
      </c>
      <c r="V1170" s="722">
        <v>4.76</v>
      </c>
      <c r="W1170" s="722">
        <v>0.42</v>
      </c>
      <c r="X1170" s="722">
        <v>0.14000000000000001</v>
      </c>
      <c r="Y1170" s="722">
        <v>6.82</v>
      </c>
      <c r="Z1170" s="382" t="s">
        <v>934</v>
      </c>
      <c r="AA1170" s="372">
        <v>6894.2141023000004</v>
      </c>
      <c r="AB1170" s="372">
        <v>8597.5710192000006</v>
      </c>
      <c r="AC1170" s="372">
        <v>10383.913394699999</v>
      </c>
      <c r="AD1170" s="372">
        <v>10081.200846399999</v>
      </c>
      <c r="AE1170" s="372">
        <v>7149</v>
      </c>
      <c r="AF1170" s="372">
        <v>0</v>
      </c>
      <c r="AG1170" s="372">
        <v>0</v>
      </c>
      <c r="AH1170" s="372">
        <v>0</v>
      </c>
    </row>
    <row r="1171" spans="1:34">
      <c r="A1171" s="372" t="s">
        <v>8081</v>
      </c>
      <c r="B1171" s="373" t="s">
        <v>8082</v>
      </c>
      <c r="C1171" s="372" t="s">
        <v>8083</v>
      </c>
      <c r="D1171" s="374">
        <v>1101111234543</v>
      </c>
      <c r="E1171" s="372" t="s">
        <v>8084</v>
      </c>
      <c r="F1171" s="375" t="s">
        <v>1159</v>
      </c>
      <c r="G1171" s="375" t="s">
        <v>1159</v>
      </c>
      <c r="H1171" s="375" t="s">
        <v>8085</v>
      </c>
      <c r="I1171" s="375" t="s">
        <v>869</v>
      </c>
      <c r="J1171" s="375">
        <v>770338.85445999994</v>
      </c>
      <c r="K1171" s="375">
        <v>36036.019370000002</v>
      </c>
      <c r="L1171" s="375">
        <v>35591.982819999997</v>
      </c>
      <c r="M1171" s="375">
        <v>224516.59688</v>
      </c>
      <c r="N1171" s="372">
        <v>0.94799999999999995</v>
      </c>
      <c r="O1171" s="703">
        <v>83.811672844887582</v>
      </c>
      <c r="P1171" s="375" t="s">
        <v>623</v>
      </c>
      <c r="Q1171" s="372" t="s">
        <v>623</v>
      </c>
      <c r="R1171" s="695">
        <v>20191210</v>
      </c>
      <c r="S1171" s="372" t="s">
        <v>8086</v>
      </c>
      <c r="T1171" s="696">
        <v>0.23100000000000001</v>
      </c>
      <c r="U1171" s="372" t="s">
        <v>8087</v>
      </c>
      <c r="V1171" s="722">
        <v>3.32</v>
      </c>
      <c r="W1171" s="722">
        <v>0.67</v>
      </c>
      <c r="X1171" s="722">
        <v>0.19</v>
      </c>
      <c r="Y1171" s="722">
        <v>5.52</v>
      </c>
      <c r="Z1171" s="382" t="s">
        <v>934</v>
      </c>
      <c r="AA1171" s="372">
        <v>3412.8955099</v>
      </c>
      <c r="AB1171" s="372">
        <v>9390.0225967000006</v>
      </c>
      <c r="AC1171" s="372">
        <v>13282.0733206</v>
      </c>
      <c r="AD1171" s="372">
        <v>7703.3885446000004</v>
      </c>
      <c r="AE1171" s="372">
        <v>0</v>
      </c>
      <c r="AF1171" s="372">
        <v>0</v>
      </c>
      <c r="AG1171" s="372">
        <v>0</v>
      </c>
      <c r="AH1171" s="372">
        <v>0</v>
      </c>
    </row>
    <row r="1172" spans="1:34">
      <c r="A1172" s="372" t="s">
        <v>8088</v>
      </c>
      <c r="B1172" s="373" t="s">
        <v>8089</v>
      </c>
      <c r="C1172" s="372" t="s">
        <v>8090</v>
      </c>
      <c r="D1172" s="374">
        <v>1101111767510</v>
      </c>
      <c r="E1172" s="372" t="s">
        <v>8091</v>
      </c>
      <c r="F1172" s="375" t="s">
        <v>4782</v>
      </c>
      <c r="G1172" s="375" t="s">
        <v>6023</v>
      </c>
      <c r="H1172" s="375" t="s">
        <v>1950</v>
      </c>
      <c r="I1172" s="375" t="s">
        <v>869</v>
      </c>
      <c r="J1172" s="375">
        <v>82309.037639999995</v>
      </c>
      <c r="K1172" s="375">
        <v>4663.6881800000001</v>
      </c>
      <c r="L1172" s="375">
        <v>12329.052729999999</v>
      </c>
      <c r="M1172" s="375">
        <v>175135.12078</v>
      </c>
      <c r="N1172" s="372">
        <v>0.76700000000000002</v>
      </c>
      <c r="O1172" s="703">
        <v>8.6399713210287423</v>
      </c>
      <c r="P1172" s="375" t="s">
        <v>623</v>
      </c>
      <c r="Q1172" s="372" t="s">
        <v>623</v>
      </c>
      <c r="R1172" s="695">
        <v>20040728</v>
      </c>
      <c r="S1172" s="372" t="s">
        <v>8092</v>
      </c>
      <c r="T1172" s="696">
        <v>0.20900000000000002</v>
      </c>
      <c r="U1172" s="372" t="s">
        <v>8093</v>
      </c>
      <c r="V1172" s="722">
        <v>15.44</v>
      </c>
      <c r="W1172" s="722">
        <v>0.74</v>
      </c>
      <c r="X1172" s="722">
        <v>1.65</v>
      </c>
      <c r="Y1172" s="722">
        <v>12.69</v>
      </c>
      <c r="Z1172" s="382" t="s">
        <v>934</v>
      </c>
      <c r="AA1172" s="372">
        <v>948.75092110000003</v>
      </c>
      <c r="AB1172" s="372">
        <v>1194.2081169000001</v>
      </c>
      <c r="AC1172" s="372">
        <v>885.85591299999999</v>
      </c>
      <c r="AD1172" s="372">
        <v>823.09037639999997</v>
      </c>
      <c r="AE1172" s="372">
        <v>0</v>
      </c>
      <c r="AF1172" s="372">
        <v>0</v>
      </c>
      <c r="AG1172" s="372">
        <v>0</v>
      </c>
      <c r="AH1172" s="372">
        <v>0</v>
      </c>
    </row>
    <row r="1173" spans="1:34">
      <c r="A1173" s="372" t="s">
        <v>8094</v>
      </c>
      <c r="B1173" s="373" t="s">
        <v>8095</v>
      </c>
      <c r="C1173" s="372" t="s">
        <v>8096</v>
      </c>
      <c r="D1173" s="374">
        <v>1101113734955</v>
      </c>
      <c r="E1173" s="372" t="s">
        <v>8097</v>
      </c>
      <c r="F1173" s="375" t="s">
        <v>1714</v>
      </c>
      <c r="G1173" s="375" t="s">
        <v>1714</v>
      </c>
      <c r="H1173" s="375" t="s">
        <v>1348</v>
      </c>
      <c r="I1173" s="375" t="s">
        <v>869</v>
      </c>
      <c r="J1173" s="375">
        <v>46817.787149999996</v>
      </c>
      <c r="K1173" s="375">
        <v>12638.55983</v>
      </c>
      <c r="L1173" s="375">
        <v>16332.149359999999</v>
      </c>
      <c r="M1173" s="375">
        <v>114422.41171</v>
      </c>
      <c r="N1173" s="372">
        <v>0.66800000000000004</v>
      </c>
      <c r="O1173" s="703">
        <v>1.8919450008416903</v>
      </c>
      <c r="P1173" s="375" t="s">
        <v>623</v>
      </c>
      <c r="Q1173" s="372" t="s">
        <v>623</v>
      </c>
      <c r="R1173" s="695">
        <v>20161031</v>
      </c>
      <c r="S1173" s="372" t="s">
        <v>8098</v>
      </c>
      <c r="T1173" s="696">
        <v>0.20900000000000002</v>
      </c>
      <c r="U1173" s="372" t="s">
        <v>8099</v>
      </c>
      <c r="V1173" s="722">
        <v>9.66</v>
      </c>
      <c r="W1173" s="722">
        <v>1.03</v>
      </c>
      <c r="X1173" s="722">
        <v>2.94</v>
      </c>
      <c r="Y1173" s="722">
        <v>10.87</v>
      </c>
      <c r="Z1173" s="382" t="s">
        <v>934</v>
      </c>
      <c r="AA1173" s="372">
        <v>394.40174259999998</v>
      </c>
      <c r="AB1173" s="372">
        <v>518.01203740000005</v>
      </c>
      <c r="AC1173" s="372">
        <v>533.08042479999995</v>
      </c>
      <c r="AD1173" s="372">
        <v>468.17787149999998</v>
      </c>
      <c r="AE1173" s="372">
        <v>530</v>
      </c>
      <c r="AF1173" s="372">
        <v>597.66999999999996</v>
      </c>
      <c r="AG1173" s="372">
        <v>0</v>
      </c>
      <c r="AH1173" s="372">
        <v>0</v>
      </c>
    </row>
    <row r="1174" spans="1:34">
      <c r="A1174" s="372" t="s">
        <v>8100</v>
      </c>
      <c r="B1174" s="373" t="s">
        <v>8101</v>
      </c>
      <c r="C1174" s="372" t="s">
        <v>8102</v>
      </c>
      <c r="D1174" s="374">
        <v>1450110002801</v>
      </c>
      <c r="E1174" s="372" t="s">
        <v>8103</v>
      </c>
      <c r="F1174" s="375" t="s">
        <v>3319</v>
      </c>
      <c r="G1174" s="375" t="s">
        <v>8104</v>
      </c>
      <c r="H1174" s="375" t="s">
        <v>823</v>
      </c>
      <c r="I1174" s="375" t="s">
        <v>755</v>
      </c>
      <c r="J1174" s="375">
        <v>211647.59611000001</v>
      </c>
      <c r="K1174" s="375">
        <v>21404.935089999999</v>
      </c>
      <c r="L1174" s="375">
        <v>12763.30465</v>
      </c>
      <c r="M1174" s="375">
        <v>385774.12293000001</v>
      </c>
      <c r="N1174" s="372">
        <v>0.88300000000000001</v>
      </c>
      <c r="O1174" s="703">
        <v>154.29171347610432</v>
      </c>
      <c r="P1174" s="375" t="s">
        <v>623</v>
      </c>
      <c r="Q1174" s="372" t="s">
        <v>623</v>
      </c>
      <c r="R1174" s="695">
        <v>20160527</v>
      </c>
      <c r="S1174" s="372" t="s">
        <v>8105</v>
      </c>
      <c r="T1174" s="696">
        <v>0.20900000000000002</v>
      </c>
      <c r="U1174" s="372" t="s">
        <v>8106</v>
      </c>
      <c r="V1174" s="722">
        <v>5.23</v>
      </c>
      <c r="W1174" s="722">
        <v>0.38</v>
      </c>
      <c r="X1174" s="722">
        <v>0.69</v>
      </c>
      <c r="Y1174" s="722">
        <v>14.68</v>
      </c>
      <c r="Z1174" s="382" t="s">
        <v>934</v>
      </c>
      <c r="AA1174" s="372">
        <v>1274.1772526</v>
      </c>
      <c r="AB1174" s="372">
        <v>2363.3011465999998</v>
      </c>
      <c r="AC1174" s="372">
        <v>1433.149572</v>
      </c>
      <c r="AD1174" s="372">
        <v>2116.4759610999999</v>
      </c>
      <c r="AE1174" s="372">
        <v>4113</v>
      </c>
      <c r="AF1174" s="372">
        <v>0</v>
      </c>
      <c r="AG1174" s="372">
        <v>0</v>
      </c>
      <c r="AH1174" s="372">
        <v>0</v>
      </c>
    </row>
    <row r="1175" spans="1:34">
      <c r="A1175" s="372" t="s">
        <v>8107</v>
      </c>
      <c r="B1175" s="373" t="s">
        <v>8108</v>
      </c>
      <c r="C1175" s="372" t="s">
        <v>8109</v>
      </c>
      <c r="D1175" s="374">
        <v>1351110082291</v>
      </c>
      <c r="E1175" s="372" t="s">
        <v>8110</v>
      </c>
      <c r="F1175" s="375" t="s">
        <v>2147</v>
      </c>
      <c r="G1175" s="375" t="s">
        <v>4273</v>
      </c>
      <c r="H1175" s="375" t="s">
        <v>868</v>
      </c>
      <c r="I1175" s="375" t="s">
        <v>869</v>
      </c>
      <c r="J1175" s="375">
        <v>56204.476589999998</v>
      </c>
      <c r="K1175" s="375">
        <v>1448.67805</v>
      </c>
      <c r="L1175" s="375">
        <v>-6042.1678300000003</v>
      </c>
      <c r="M1175" s="375">
        <v>53854.636899999998</v>
      </c>
      <c r="N1175" s="372">
        <v>0.75800000000000001</v>
      </c>
      <c r="O1175" s="703">
        <v>13.03570171158327</v>
      </c>
      <c r="P1175" s="375" t="s">
        <v>623</v>
      </c>
      <c r="Q1175" s="375" t="s">
        <v>623</v>
      </c>
      <c r="R1175" s="695">
        <v>20200806</v>
      </c>
      <c r="S1175" s="375" t="s">
        <v>8111</v>
      </c>
      <c r="T1175" s="696" t="s">
        <v>772</v>
      </c>
      <c r="U1175" s="372" t="s">
        <v>8112</v>
      </c>
      <c r="V1175" s="722">
        <v>41.42</v>
      </c>
      <c r="W1175" s="722">
        <v>2.4900000000000002</v>
      </c>
      <c r="X1175" s="722">
        <v>2.46</v>
      </c>
      <c r="Y1175" s="722" t="s">
        <v>774</v>
      </c>
      <c r="Z1175" s="382" t="s">
        <v>934</v>
      </c>
      <c r="AA1175" s="372">
        <v>210.3026031</v>
      </c>
      <c r="AB1175" s="372">
        <v>306.91930660000003</v>
      </c>
      <c r="AC1175" s="372">
        <v>462.83191740000001</v>
      </c>
      <c r="AD1175" s="372">
        <v>562.04476590000002</v>
      </c>
      <c r="AE1175" s="372">
        <v>777</v>
      </c>
      <c r="AF1175" s="372">
        <v>0</v>
      </c>
      <c r="AG1175" s="372">
        <v>0</v>
      </c>
      <c r="AH1175" s="372">
        <v>0</v>
      </c>
    </row>
    <row r="1176" spans="1:34">
      <c r="A1176" s="372" t="s">
        <v>8113</v>
      </c>
      <c r="B1176" s="373" t="s">
        <v>8114</v>
      </c>
      <c r="C1176" s="372" t="s">
        <v>8115</v>
      </c>
      <c r="D1176" s="374">
        <v>1101116353116</v>
      </c>
      <c r="E1176" s="372" t="s">
        <v>8116</v>
      </c>
      <c r="F1176" s="375" t="s">
        <v>1985</v>
      </c>
      <c r="G1176" s="375" t="s">
        <v>1985</v>
      </c>
      <c r="H1176" s="375" t="s">
        <v>1388</v>
      </c>
      <c r="I1176" s="375" t="s">
        <v>869</v>
      </c>
      <c r="J1176" s="375">
        <v>123048.37927</v>
      </c>
      <c r="K1176" s="375">
        <v>-3097.7203500000001</v>
      </c>
      <c r="L1176" s="375">
        <v>13257.803669999999</v>
      </c>
      <c r="M1176" s="375">
        <v>90215.111340000003</v>
      </c>
      <c r="N1176" s="372">
        <v>0.88800000000000001</v>
      </c>
      <c r="O1176" s="703">
        <v>51.620692926692783</v>
      </c>
      <c r="P1176" s="375" t="s">
        <v>623</v>
      </c>
      <c r="Q1176" s="375" t="s">
        <v>623</v>
      </c>
      <c r="R1176" s="695">
        <v>20170622</v>
      </c>
      <c r="S1176" s="375" t="s">
        <v>8117</v>
      </c>
      <c r="T1176" s="696">
        <v>0.20900000000000002</v>
      </c>
      <c r="U1176" s="375" t="s">
        <v>8118</v>
      </c>
      <c r="V1176" s="722" t="s">
        <v>774</v>
      </c>
      <c r="W1176" s="722">
        <v>1.91</v>
      </c>
      <c r="X1176" s="722">
        <v>1.23</v>
      </c>
      <c r="Y1176" s="722">
        <v>17.04</v>
      </c>
      <c r="Z1176" s="382" t="s">
        <v>934</v>
      </c>
      <c r="AA1176" s="372">
        <v>658.65810339999996</v>
      </c>
      <c r="AB1176" s="372">
        <v>630.80213449999997</v>
      </c>
      <c r="AC1176" s="372">
        <v>888.18411479999997</v>
      </c>
      <c r="AD1176" s="372">
        <v>1230.4837927000001</v>
      </c>
      <c r="AE1176" s="372">
        <v>2201</v>
      </c>
      <c r="AF1176" s="372">
        <v>2730</v>
      </c>
      <c r="AG1176" s="372">
        <v>0</v>
      </c>
      <c r="AH1176" s="372">
        <v>0</v>
      </c>
    </row>
    <row r="1177" spans="1:34">
      <c r="A1177" s="372" t="s">
        <v>8119</v>
      </c>
      <c r="B1177" s="373" t="s">
        <v>8120</v>
      </c>
      <c r="C1177" s="372" t="s">
        <v>8121</v>
      </c>
      <c r="D1177" s="374">
        <v>1101116246759</v>
      </c>
      <c r="E1177" s="372" t="s">
        <v>8122</v>
      </c>
      <c r="F1177" s="375" t="s">
        <v>1768</v>
      </c>
      <c r="G1177" s="375" t="s">
        <v>1768</v>
      </c>
      <c r="H1177" s="375" t="s">
        <v>868</v>
      </c>
      <c r="I1177" s="375" t="s">
        <v>869</v>
      </c>
      <c r="J1177" s="375">
        <v>94334.674929999994</v>
      </c>
      <c r="K1177" s="375">
        <v>428.68840999999998</v>
      </c>
      <c r="L1177" s="375">
        <v>2780.2998499999999</v>
      </c>
      <c r="M1177" s="375">
        <v>57409.17325</v>
      </c>
      <c r="N1177" s="372">
        <v>0.873</v>
      </c>
      <c r="O1177" s="703">
        <v>65.098983180952956</v>
      </c>
      <c r="P1177" s="375" t="s">
        <v>623</v>
      </c>
      <c r="Q1177" s="375" t="s">
        <v>623</v>
      </c>
      <c r="R1177" s="695">
        <v>20170626</v>
      </c>
      <c r="S1177" s="375" t="s">
        <v>8123</v>
      </c>
      <c r="T1177" s="696">
        <v>0.20900000000000002</v>
      </c>
      <c r="U1177" s="372" t="s">
        <v>8124</v>
      </c>
      <c r="V1177" s="722">
        <v>42.16</v>
      </c>
      <c r="W1177" s="722">
        <v>2.35</v>
      </c>
      <c r="X1177" s="722">
        <v>1.51</v>
      </c>
      <c r="Y1177" s="722">
        <v>37.26</v>
      </c>
      <c r="Z1177" s="382" t="s">
        <v>934</v>
      </c>
      <c r="AA1177" s="372">
        <v>467.1723101</v>
      </c>
      <c r="AB1177" s="372">
        <v>657.40648190000002</v>
      </c>
      <c r="AC1177" s="372">
        <v>870.87135920000003</v>
      </c>
      <c r="AD1177" s="372">
        <v>943.34674930000006</v>
      </c>
      <c r="AE1177" s="372">
        <v>1383</v>
      </c>
      <c r="AF1177" s="372">
        <v>0</v>
      </c>
      <c r="AG1177" s="372">
        <v>0</v>
      </c>
      <c r="AH1177" s="372">
        <v>0</v>
      </c>
    </row>
    <row r="1178" spans="1:34">
      <c r="A1178" s="372" t="s">
        <v>8125</v>
      </c>
      <c r="B1178" s="373" t="s">
        <v>8126</v>
      </c>
      <c r="C1178" s="372" t="s">
        <v>8127</v>
      </c>
      <c r="D1178" s="374">
        <v>1351110048798</v>
      </c>
      <c r="E1178" s="372" t="s">
        <v>8128</v>
      </c>
      <c r="F1178" s="375" t="s">
        <v>2207</v>
      </c>
      <c r="G1178" s="375" t="s">
        <v>4931</v>
      </c>
      <c r="H1178" s="375" t="s">
        <v>1388</v>
      </c>
      <c r="I1178" s="375" t="s">
        <v>869</v>
      </c>
      <c r="J1178" s="375">
        <v>33020.955070000004</v>
      </c>
      <c r="K1178" s="375">
        <v>5611.3548499999997</v>
      </c>
      <c r="L1178" s="375">
        <v>6816.1579300000003</v>
      </c>
      <c r="M1178" s="375">
        <v>72446.439929999993</v>
      </c>
      <c r="N1178" s="372">
        <v>0.84499999999999997</v>
      </c>
      <c r="O1178" s="703">
        <v>0.21789373544714852</v>
      </c>
      <c r="P1178" s="375" t="s">
        <v>623</v>
      </c>
      <c r="Q1178" s="375" t="s">
        <v>623</v>
      </c>
      <c r="R1178" s="695">
        <v>20200729</v>
      </c>
      <c r="S1178" s="375" t="s">
        <v>8129</v>
      </c>
      <c r="T1178" s="696">
        <v>0.20900000000000002</v>
      </c>
      <c r="U1178" s="372" t="s">
        <v>8130</v>
      </c>
      <c r="V1178" s="722">
        <v>0</v>
      </c>
      <c r="W1178" s="722">
        <v>1.72</v>
      </c>
      <c r="X1178" s="722">
        <v>0</v>
      </c>
      <c r="Y1178" s="722">
        <v>0</v>
      </c>
      <c r="Z1178" s="382" t="s">
        <v>934</v>
      </c>
      <c r="AA1178" s="372">
        <v>332.22849480000002</v>
      </c>
      <c r="AB1178" s="372">
        <v>392.86972300000002</v>
      </c>
      <c r="AC1178" s="372">
        <v>416.82637749999998</v>
      </c>
      <c r="AD1178" s="372">
        <v>330.20955070000002</v>
      </c>
      <c r="AE1178" s="372">
        <v>0</v>
      </c>
      <c r="AF1178" s="372">
        <v>0</v>
      </c>
      <c r="AG1178" s="372">
        <v>0</v>
      </c>
      <c r="AH1178" s="372">
        <v>0</v>
      </c>
    </row>
    <row r="1179" spans="1:34">
      <c r="A1179" s="372" t="s">
        <v>8131</v>
      </c>
      <c r="B1179" s="373" t="s">
        <v>8132</v>
      </c>
      <c r="C1179" s="372" t="s">
        <v>8133</v>
      </c>
      <c r="D1179" s="374">
        <v>1101111909906</v>
      </c>
      <c r="E1179" s="372" t="s">
        <v>8134</v>
      </c>
      <c r="F1179" s="372" t="s">
        <v>852</v>
      </c>
      <c r="G1179" s="375" t="s">
        <v>852</v>
      </c>
      <c r="H1179" s="375" t="s">
        <v>3127</v>
      </c>
      <c r="I1179" s="375" t="s">
        <v>869</v>
      </c>
      <c r="J1179" s="375">
        <v>6500.24953</v>
      </c>
      <c r="K1179" s="375">
        <v>-5073.8426300000001</v>
      </c>
      <c r="L1179" s="375">
        <v>-2840.8497400000001</v>
      </c>
      <c r="M1179" s="375">
        <v>129444.93704999999</v>
      </c>
      <c r="N1179" s="372">
        <v>1.077</v>
      </c>
      <c r="O1179" s="703">
        <v>6.9557165971716035</v>
      </c>
      <c r="P1179" s="375" t="s">
        <v>623</v>
      </c>
      <c r="Q1179" s="372" t="s">
        <v>623</v>
      </c>
      <c r="R1179" s="695">
        <v>20160215</v>
      </c>
      <c r="S1179" s="375" t="s">
        <v>8135</v>
      </c>
      <c r="T1179" s="696" t="s">
        <v>772</v>
      </c>
      <c r="U1179" s="372" t="s">
        <v>8136</v>
      </c>
      <c r="V1179" s="722">
        <v>0</v>
      </c>
      <c r="W1179" s="722">
        <v>1.28</v>
      </c>
      <c r="X1179" s="722">
        <v>0</v>
      </c>
      <c r="Y1179" s="722">
        <v>0</v>
      </c>
      <c r="Z1179" s="382" t="s">
        <v>934</v>
      </c>
      <c r="AA1179" s="372">
        <v>41.512334699999997</v>
      </c>
      <c r="AB1179" s="372">
        <v>81.215526999999994</v>
      </c>
      <c r="AC1179" s="372">
        <v>65.9101079</v>
      </c>
      <c r="AD1179" s="372">
        <v>65.002495300000007</v>
      </c>
      <c r="AE1179" s="372">
        <v>0</v>
      </c>
      <c r="AF1179" s="372">
        <v>0</v>
      </c>
      <c r="AG1179" s="372">
        <v>0</v>
      </c>
      <c r="AH1179" s="372">
        <v>0</v>
      </c>
    </row>
    <row r="1180" spans="1:34">
      <c r="A1180" s="372" t="s">
        <v>8137</v>
      </c>
      <c r="B1180" s="373" t="s">
        <v>8138</v>
      </c>
      <c r="C1180" s="372" t="s">
        <v>8139</v>
      </c>
      <c r="D1180" s="374">
        <v>1801110001717</v>
      </c>
      <c r="E1180" s="372" t="s">
        <v>8140</v>
      </c>
      <c r="F1180" s="375" t="s">
        <v>2649</v>
      </c>
      <c r="G1180" s="375" t="s">
        <v>2650</v>
      </c>
      <c r="H1180" s="375" t="s">
        <v>823</v>
      </c>
      <c r="I1180" s="375" t="s">
        <v>755</v>
      </c>
      <c r="J1180" s="375">
        <v>166253.79930000001</v>
      </c>
      <c r="K1180" s="375">
        <v>-16701.274730000001</v>
      </c>
      <c r="L1180" s="375">
        <v>-27430.617750000001</v>
      </c>
      <c r="M1180" s="375">
        <v>573298.04399000003</v>
      </c>
      <c r="N1180" s="372">
        <v>1.0529999999999999</v>
      </c>
      <c r="O1180" s="703">
        <v>73.669470289806071</v>
      </c>
      <c r="P1180" s="375" t="s">
        <v>623</v>
      </c>
      <c r="Q1180" s="375" t="s">
        <v>623</v>
      </c>
      <c r="R1180" s="695">
        <v>19760602</v>
      </c>
      <c r="S1180" s="375" t="s">
        <v>8141</v>
      </c>
      <c r="T1180" s="696" t="s">
        <v>772</v>
      </c>
      <c r="U1180" s="372" t="s">
        <v>8142</v>
      </c>
      <c r="V1180" s="722" t="s">
        <v>774</v>
      </c>
      <c r="W1180" s="722">
        <v>0.23</v>
      </c>
      <c r="X1180" s="722">
        <v>0.81</v>
      </c>
      <c r="Y1180" s="722" t="s">
        <v>774</v>
      </c>
      <c r="Z1180" s="382" t="s">
        <v>934</v>
      </c>
      <c r="AA1180" s="372">
        <v>1709.1658316999999</v>
      </c>
      <c r="AB1180" s="372">
        <v>1979.4031305999999</v>
      </c>
      <c r="AC1180" s="372">
        <v>2275.1969761999999</v>
      </c>
      <c r="AD1180" s="372">
        <v>1662.5379929999999</v>
      </c>
      <c r="AE1180" s="372">
        <v>0</v>
      </c>
      <c r="AF1180" s="372">
        <v>0</v>
      </c>
      <c r="AG1180" s="372">
        <v>0</v>
      </c>
      <c r="AH1180" s="372">
        <v>0</v>
      </c>
    </row>
    <row r="1181" spans="1:34">
      <c r="A1181" s="372" t="s">
        <v>8143</v>
      </c>
      <c r="B1181" s="373" t="s">
        <v>8144</v>
      </c>
      <c r="C1181" s="372" t="s">
        <v>8145</v>
      </c>
      <c r="D1181" s="374">
        <v>1101112102070</v>
      </c>
      <c r="E1181" s="372" t="s">
        <v>8146</v>
      </c>
      <c r="F1181" s="375" t="s">
        <v>1970</v>
      </c>
      <c r="G1181" s="375" t="s">
        <v>2522</v>
      </c>
      <c r="H1181" s="375" t="s">
        <v>832</v>
      </c>
      <c r="I1181" s="375" t="s">
        <v>755</v>
      </c>
      <c r="J1181" s="375">
        <v>927679.16991000006</v>
      </c>
      <c r="K1181" s="375">
        <v>-71628.570850000004</v>
      </c>
      <c r="L1181" s="375">
        <v>-118560.38201</v>
      </c>
      <c r="M1181" s="375">
        <v>271387.14293999999</v>
      </c>
      <c r="N1181" s="372">
        <v>0.66100000000000003</v>
      </c>
      <c r="O1181" s="703">
        <v>248.70469759023405</v>
      </c>
      <c r="P1181" s="375" t="s">
        <v>623</v>
      </c>
      <c r="Q1181" s="372" t="s">
        <v>623</v>
      </c>
      <c r="R1181" s="695">
        <v>20120223</v>
      </c>
      <c r="S1181" s="372" t="s">
        <v>8147</v>
      </c>
      <c r="T1181" s="696" t="s">
        <v>772</v>
      </c>
      <c r="U1181" s="372" t="s">
        <v>8148</v>
      </c>
      <c r="V1181" s="722" t="s">
        <v>774</v>
      </c>
      <c r="W1181" s="722">
        <v>0.49</v>
      </c>
      <c r="X1181" s="722">
        <v>0.15</v>
      </c>
      <c r="Y1181" s="722" t="s">
        <v>774</v>
      </c>
      <c r="Z1181" s="382" t="s">
        <v>934</v>
      </c>
      <c r="AA1181" s="372">
        <v>9203.0330916000003</v>
      </c>
      <c r="AB1181" s="372">
        <v>10825.715269300001</v>
      </c>
      <c r="AC1181" s="372">
        <v>10217.259819700001</v>
      </c>
      <c r="AD1181" s="372">
        <v>9276.7916991000002</v>
      </c>
      <c r="AE1181" s="372">
        <v>0</v>
      </c>
      <c r="AF1181" s="372">
        <v>0</v>
      </c>
      <c r="AG1181" s="372">
        <v>0</v>
      </c>
      <c r="AH1181" s="372">
        <v>0</v>
      </c>
    </row>
    <row r="1182" spans="1:34">
      <c r="A1182" s="372" t="s">
        <v>8149</v>
      </c>
      <c r="B1182" s="373" t="s">
        <v>8150</v>
      </c>
      <c r="C1182" s="372" t="s">
        <v>8151</v>
      </c>
      <c r="D1182" s="374">
        <v>1311110131159</v>
      </c>
      <c r="E1182" s="372" t="s">
        <v>8152</v>
      </c>
      <c r="F1182" s="375" t="s">
        <v>1814</v>
      </c>
      <c r="G1182" s="375" t="s">
        <v>2821</v>
      </c>
      <c r="H1182" s="375" t="s">
        <v>1693</v>
      </c>
      <c r="I1182" s="375" t="s">
        <v>869</v>
      </c>
      <c r="J1182" s="375">
        <v>42891.621149999999</v>
      </c>
      <c r="K1182" s="375">
        <v>6467.0310600000003</v>
      </c>
      <c r="L1182" s="375">
        <v>6524.18869</v>
      </c>
      <c r="M1182" s="375">
        <v>50510.731529999997</v>
      </c>
      <c r="N1182" s="372">
        <v>1.01</v>
      </c>
      <c r="O1182" s="703">
        <v>0.38832819957631259</v>
      </c>
      <c r="P1182" s="375" t="s">
        <v>623</v>
      </c>
      <c r="Q1182" s="372" t="s">
        <v>623</v>
      </c>
      <c r="R1182" s="695">
        <v>20170802</v>
      </c>
      <c r="S1182" s="372" t="s">
        <v>8153</v>
      </c>
      <c r="T1182" s="696">
        <v>0.20900000000000002</v>
      </c>
      <c r="U1182" s="372" t="s">
        <v>8154</v>
      </c>
      <c r="V1182" s="722">
        <v>16.77</v>
      </c>
      <c r="W1182" s="722">
        <v>2.0699999999999998</v>
      </c>
      <c r="X1182" s="722">
        <v>2.78</v>
      </c>
      <c r="Y1182" s="722">
        <v>19.07</v>
      </c>
      <c r="Z1182" s="382" t="s">
        <v>934</v>
      </c>
      <c r="AA1182" s="372">
        <v>268.14488779999999</v>
      </c>
      <c r="AB1182" s="372">
        <v>319.17740930000002</v>
      </c>
      <c r="AC1182" s="372">
        <v>384.52577830000001</v>
      </c>
      <c r="AD1182" s="372">
        <v>428.91621149999997</v>
      </c>
      <c r="AE1182" s="372">
        <v>491.5</v>
      </c>
      <c r="AF1182" s="372">
        <v>574.5</v>
      </c>
      <c r="AG1182" s="372">
        <v>0</v>
      </c>
      <c r="AH1182" s="372">
        <v>0</v>
      </c>
    </row>
    <row r="1183" spans="1:34">
      <c r="A1183" s="372" t="s">
        <v>8155</v>
      </c>
      <c r="B1183" s="373" t="s">
        <v>8156</v>
      </c>
      <c r="C1183" s="372" t="s">
        <v>8157</v>
      </c>
      <c r="D1183" s="374">
        <v>1345110021549</v>
      </c>
      <c r="E1183" s="372" t="s">
        <v>8158</v>
      </c>
      <c r="F1183" s="375" t="s">
        <v>2147</v>
      </c>
      <c r="G1183" s="375" t="s">
        <v>4273</v>
      </c>
      <c r="H1183" s="375" t="s">
        <v>2079</v>
      </c>
      <c r="I1183" s="375" t="s">
        <v>755</v>
      </c>
      <c r="J1183" s="375">
        <v>112779.71532</v>
      </c>
      <c r="K1183" s="375">
        <v>1832.1064100000001</v>
      </c>
      <c r="L1183" s="375">
        <v>1624.51496</v>
      </c>
      <c r="M1183" s="375">
        <v>128326.94011</v>
      </c>
      <c r="N1183" s="372">
        <v>0.67900000000000005</v>
      </c>
      <c r="O1183" s="703">
        <v>0.46448174359339561</v>
      </c>
      <c r="P1183" s="375" t="s">
        <v>623</v>
      </c>
      <c r="Q1183" s="372" t="s">
        <v>623</v>
      </c>
      <c r="R1183" s="695">
        <v>20210817</v>
      </c>
      <c r="S1183" s="372" t="s">
        <v>8159</v>
      </c>
      <c r="T1183" s="696">
        <v>0.20900000000000002</v>
      </c>
      <c r="U1183" s="372" t="s">
        <v>16047</v>
      </c>
      <c r="V1183" s="722">
        <v>14.16</v>
      </c>
      <c r="W1183" s="722">
        <v>0.98</v>
      </c>
      <c r="X1183" s="722">
        <v>1.1100000000000001</v>
      </c>
      <c r="Y1183" s="722">
        <v>152.18</v>
      </c>
      <c r="Z1183" s="382">
        <v>0.10278604831324212</v>
      </c>
      <c r="AA1183" s="372">
        <v>1518.4184103</v>
      </c>
      <c r="AB1183" s="372">
        <v>1211.4035664999999</v>
      </c>
      <c r="AC1183" s="372">
        <v>1001.2011284</v>
      </c>
      <c r="AD1183" s="372">
        <v>1127.7971531999999</v>
      </c>
      <c r="AE1183" s="372">
        <v>1303</v>
      </c>
      <c r="AF1183" s="372">
        <v>1465</v>
      </c>
      <c r="AG1183" s="372">
        <v>1668</v>
      </c>
      <c r="AH1183" s="372">
        <v>0</v>
      </c>
    </row>
    <row r="1184" spans="1:34">
      <c r="A1184" s="372" t="s">
        <v>8160</v>
      </c>
      <c r="B1184" s="373" t="s">
        <v>8161</v>
      </c>
      <c r="C1184" s="372" t="s">
        <v>8162</v>
      </c>
      <c r="D1184" s="374">
        <v>1101112494451</v>
      </c>
      <c r="E1184" s="372" t="s">
        <v>8163</v>
      </c>
      <c r="F1184" s="375" t="s">
        <v>1195</v>
      </c>
      <c r="G1184" s="375" t="s">
        <v>3144</v>
      </c>
      <c r="H1184" s="375" t="s">
        <v>1388</v>
      </c>
      <c r="I1184" s="375" t="s">
        <v>869</v>
      </c>
      <c r="J1184" s="375">
        <v>41987.801720000003</v>
      </c>
      <c r="K1184" s="375">
        <v>-5437.3841599999996</v>
      </c>
      <c r="L1184" s="375">
        <v>-5543.6119699999999</v>
      </c>
      <c r="M1184" s="375">
        <v>155175.90074000001</v>
      </c>
      <c r="N1184" s="372">
        <v>1.4810000000000001</v>
      </c>
      <c r="O1184" s="703">
        <v>2.8190688688333285</v>
      </c>
      <c r="P1184" s="375" t="s">
        <v>623</v>
      </c>
      <c r="Q1184" s="375" t="s">
        <v>623</v>
      </c>
      <c r="R1184" s="695">
        <v>20170929</v>
      </c>
      <c r="S1184" s="375" t="s">
        <v>8164</v>
      </c>
      <c r="T1184" s="696" t="s">
        <v>772</v>
      </c>
      <c r="U1184" s="375" t="s">
        <v>8165</v>
      </c>
      <c r="V1184" s="722" t="s">
        <v>774</v>
      </c>
      <c r="W1184" s="722">
        <v>0.89</v>
      </c>
      <c r="X1184" s="722">
        <v>3.32</v>
      </c>
      <c r="Y1184" s="722" t="s">
        <v>774</v>
      </c>
      <c r="Z1184" s="382" t="s">
        <v>934</v>
      </c>
      <c r="AA1184" s="372">
        <v>550.55076919999999</v>
      </c>
      <c r="AB1184" s="372">
        <v>496.92710770000002</v>
      </c>
      <c r="AC1184" s="372">
        <v>548.12295300000005</v>
      </c>
      <c r="AD1184" s="372">
        <v>419.87801719999999</v>
      </c>
      <c r="AE1184" s="372">
        <v>1515</v>
      </c>
      <c r="AF1184" s="372">
        <v>0</v>
      </c>
      <c r="AG1184" s="372">
        <v>0</v>
      </c>
      <c r="AH1184" s="372">
        <v>0</v>
      </c>
    </row>
    <row r="1185" spans="1:34">
      <c r="A1185" s="372" t="s">
        <v>8166</v>
      </c>
      <c r="B1185" s="373" t="s">
        <v>8167</v>
      </c>
      <c r="C1185" s="372" t="s">
        <v>8168</v>
      </c>
      <c r="D1185" s="374">
        <v>1101116363313</v>
      </c>
      <c r="E1185" s="372" t="s">
        <v>8169</v>
      </c>
      <c r="F1185" s="375" t="s">
        <v>1124</v>
      </c>
      <c r="G1185" s="375" t="s">
        <v>1347</v>
      </c>
      <c r="H1185" s="375" t="s">
        <v>1348</v>
      </c>
      <c r="I1185" s="375" t="s">
        <v>869</v>
      </c>
      <c r="J1185" s="375">
        <v>26586.27736</v>
      </c>
      <c r="K1185" s="375">
        <v>-12124.9342</v>
      </c>
      <c r="L1185" s="375">
        <v>-17307.024600000001</v>
      </c>
      <c r="M1185" s="375">
        <v>31678.923780000001</v>
      </c>
      <c r="N1185" s="372" t="s">
        <v>1033</v>
      </c>
      <c r="O1185" s="703">
        <v>18.67167853134978</v>
      </c>
      <c r="P1185" s="375" t="s">
        <v>623</v>
      </c>
      <c r="Q1185" s="372" t="s">
        <v>623</v>
      </c>
      <c r="R1185" s="695">
        <v>20221111</v>
      </c>
      <c r="S1185" s="375" t="s">
        <v>8170</v>
      </c>
      <c r="T1185" s="696" t="s">
        <v>772</v>
      </c>
      <c r="U1185" s="372" t="s">
        <v>8171</v>
      </c>
      <c r="V1185" s="722">
        <v>0</v>
      </c>
      <c r="W1185" s="722">
        <v>7.29</v>
      </c>
      <c r="X1185" s="722">
        <v>0</v>
      </c>
      <c r="Y1185" s="722">
        <v>0</v>
      </c>
      <c r="Z1185" s="382" t="s">
        <v>934</v>
      </c>
      <c r="AA1185" s="372">
        <v>200.88805780000001</v>
      </c>
      <c r="AB1185" s="372">
        <v>327.48664659999997</v>
      </c>
      <c r="AC1185" s="372">
        <v>440.076999</v>
      </c>
      <c r="AD1185" s="372">
        <v>265.86277360000003</v>
      </c>
      <c r="AE1185" s="372">
        <v>0</v>
      </c>
      <c r="AF1185" s="372">
        <v>0</v>
      </c>
      <c r="AG1185" s="372">
        <v>0</v>
      </c>
      <c r="AH1185" s="372">
        <v>0</v>
      </c>
    </row>
    <row r="1186" spans="1:34">
      <c r="A1186" s="372" t="s">
        <v>8172</v>
      </c>
      <c r="B1186" s="373" t="s">
        <v>8173</v>
      </c>
      <c r="C1186" s="372" t="s">
        <v>8174</v>
      </c>
      <c r="D1186" s="374">
        <v>1942110234534</v>
      </c>
      <c r="E1186" s="372" t="s">
        <v>8175</v>
      </c>
      <c r="F1186" s="375" t="s">
        <v>1292</v>
      </c>
      <c r="G1186" s="375" t="s">
        <v>1293</v>
      </c>
      <c r="H1186" s="375" t="s">
        <v>1050</v>
      </c>
      <c r="I1186" s="375" t="s">
        <v>755</v>
      </c>
      <c r="J1186" s="375">
        <v>430034.67589999997</v>
      </c>
      <c r="K1186" s="375">
        <v>36324.12124</v>
      </c>
      <c r="L1186" s="375">
        <v>36544.150119999998</v>
      </c>
      <c r="M1186" s="375">
        <v>263890.90292000002</v>
      </c>
      <c r="N1186" s="372">
        <v>1.103</v>
      </c>
      <c r="O1186" s="703">
        <v>6.8436643196252325</v>
      </c>
      <c r="P1186" s="375" t="s">
        <v>623</v>
      </c>
      <c r="Q1186" s="372" t="s">
        <v>623</v>
      </c>
      <c r="R1186" s="695">
        <v>20150115</v>
      </c>
      <c r="S1186" s="372" t="s">
        <v>8176</v>
      </c>
      <c r="T1186" s="696">
        <v>0.23100000000000001</v>
      </c>
      <c r="U1186" s="372" t="s">
        <v>8177</v>
      </c>
      <c r="V1186" s="722">
        <v>2.82</v>
      </c>
      <c r="W1186" s="722">
        <v>0.52</v>
      </c>
      <c r="X1186" s="722">
        <v>0.32</v>
      </c>
      <c r="Y1186" s="722">
        <v>4.95</v>
      </c>
      <c r="Z1186" s="382" t="s">
        <v>934</v>
      </c>
      <c r="AA1186" s="372">
        <v>3047.5106328000002</v>
      </c>
      <c r="AB1186" s="372">
        <v>4371.6157110000004</v>
      </c>
      <c r="AC1186" s="372">
        <v>4190.1870608999998</v>
      </c>
      <c r="AD1186" s="372">
        <v>4300.346759</v>
      </c>
      <c r="AE1186" s="372">
        <v>0</v>
      </c>
      <c r="AF1186" s="372">
        <v>0</v>
      </c>
      <c r="AG1186" s="372">
        <v>0</v>
      </c>
      <c r="AH1186" s="372">
        <v>0</v>
      </c>
    </row>
    <row r="1187" spans="1:34">
      <c r="A1187" s="372" t="s">
        <v>8178</v>
      </c>
      <c r="B1187" s="373" t="s">
        <v>8179</v>
      </c>
      <c r="C1187" s="372" t="s">
        <v>8180</v>
      </c>
      <c r="D1187" s="374">
        <v>1341110045290</v>
      </c>
      <c r="E1187" s="372" t="s">
        <v>8181</v>
      </c>
      <c r="F1187" s="375" t="s">
        <v>1195</v>
      </c>
      <c r="G1187" s="375" t="s">
        <v>3144</v>
      </c>
      <c r="H1187" s="375" t="s">
        <v>868</v>
      </c>
      <c r="I1187" s="375" t="s">
        <v>869</v>
      </c>
      <c r="J1187" s="375">
        <v>71500.309070000003</v>
      </c>
      <c r="K1187" s="375">
        <v>-9707.3771699999998</v>
      </c>
      <c r="L1187" s="375">
        <v>4173.0504300000002</v>
      </c>
      <c r="M1187" s="375">
        <v>149529.57010000001</v>
      </c>
      <c r="N1187" s="372">
        <v>0.72299999999999998</v>
      </c>
      <c r="O1187" s="703">
        <v>8.1000683868804249</v>
      </c>
      <c r="P1187" s="375" t="s">
        <v>623</v>
      </c>
      <c r="Q1187" s="372" t="s">
        <v>623</v>
      </c>
      <c r="R1187" s="695">
        <v>20090923</v>
      </c>
      <c r="S1187" s="372" t="s">
        <v>8182</v>
      </c>
      <c r="T1187" s="696">
        <v>0.20900000000000002</v>
      </c>
      <c r="U1187" s="372" t="s">
        <v>8183</v>
      </c>
      <c r="V1187" s="722" t="s">
        <v>774</v>
      </c>
      <c r="W1187" s="722">
        <v>0.98</v>
      </c>
      <c r="X1187" s="722">
        <v>1.95</v>
      </c>
      <c r="Y1187" s="722">
        <v>42.72</v>
      </c>
      <c r="Z1187" s="382" t="s">
        <v>934</v>
      </c>
      <c r="AA1187" s="372">
        <v>325.8732104</v>
      </c>
      <c r="AB1187" s="372">
        <v>497.91112170000002</v>
      </c>
      <c r="AC1187" s="372">
        <v>482.31988769999998</v>
      </c>
      <c r="AD1187" s="372">
        <v>715.00309070000003</v>
      </c>
      <c r="AE1187" s="372">
        <v>0</v>
      </c>
      <c r="AF1187" s="372">
        <v>0</v>
      </c>
      <c r="AG1187" s="372">
        <v>0</v>
      </c>
      <c r="AH1187" s="372">
        <v>0</v>
      </c>
    </row>
    <row r="1188" spans="1:34">
      <c r="A1188" s="372" t="s">
        <v>8184</v>
      </c>
      <c r="B1188" s="373" t="s">
        <v>8185</v>
      </c>
      <c r="C1188" s="372" t="s">
        <v>8186</v>
      </c>
      <c r="D1188" s="374">
        <v>1845110001335</v>
      </c>
      <c r="E1188" s="372" t="s">
        <v>8187</v>
      </c>
      <c r="F1188" s="375" t="s">
        <v>4871</v>
      </c>
      <c r="G1188" s="375" t="s">
        <v>4872</v>
      </c>
      <c r="H1188" s="375" t="s">
        <v>832</v>
      </c>
      <c r="I1188" s="375" t="s">
        <v>755</v>
      </c>
      <c r="J1188" s="375">
        <v>1157998.80721</v>
      </c>
      <c r="K1188" s="375">
        <v>27841.803019999999</v>
      </c>
      <c r="L1188" s="375">
        <v>19543.046310000002</v>
      </c>
      <c r="M1188" s="375">
        <v>213878.09401999999</v>
      </c>
      <c r="N1188" s="372">
        <v>0.72499999999999998</v>
      </c>
      <c r="O1188" s="703">
        <v>142.47060872790803</v>
      </c>
      <c r="P1188" s="375" t="s">
        <v>623</v>
      </c>
      <c r="Q1188" s="375" t="s">
        <v>623</v>
      </c>
      <c r="R1188" s="695">
        <v>19910131</v>
      </c>
      <c r="S1188" s="375" t="s">
        <v>8188</v>
      </c>
      <c r="T1188" s="696">
        <v>0.20900000000000002</v>
      </c>
      <c r="U1188" s="372" t="s">
        <v>8189</v>
      </c>
      <c r="V1188" s="722">
        <v>8.8000000000000007</v>
      </c>
      <c r="W1188" s="722">
        <v>0.73</v>
      </c>
      <c r="X1188" s="722">
        <v>0.13</v>
      </c>
      <c r="Y1188" s="722">
        <v>10.25</v>
      </c>
      <c r="Z1188" s="382" t="s">
        <v>934</v>
      </c>
      <c r="AA1188" s="372">
        <v>6228.6117491000005</v>
      </c>
      <c r="AB1188" s="372">
        <v>9648.3174254999994</v>
      </c>
      <c r="AC1188" s="372">
        <v>12424.7583545</v>
      </c>
      <c r="AD1188" s="372">
        <v>11579.988072100001</v>
      </c>
      <c r="AE1188" s="372">
        <v>0</v>
      </c>
      <c r="AF1188" s="372">
        <v>0</v>
      </c>
      <c r="AG1188" s="372">
        <v>0</v>
      </c>
      <c r="AH1188" s="372">
        <v>0</v>
      </c>
    </row>
    <row r="1189" spans="1:34">
      <c r="A1189" s="372" t="s">
        <v>8190</v>
      </c>
      <c r="B1189" s="373" t="s">
        <v>8191</v>
      </c>
      <c r="C1189" s="372" t="s">
        <v>8192</v>
      </c>
      <c r="D1189" s="374">
        <v>1101110047864</v>
      </c>
      <c r="E1189" s="372" t="s">
        <v>8193</v>
      </c>
      <c r="F1189" s="375" t="s">
        <v>5182</v>
      </c>
      <c r="G1189" s="375" t="s">
        <v>8194</v>
      </c>
      <c r="H1189" s="375" t="s">
        <v>853</v>
      </c>
      <c r="I1189" s="375" t="s">
        <v>755</v>
      </c>
      <c r="J1189" s="375">
        <v>112442.78047</v>
      </c>
      <c r="K1189" s="375">
        <v>11356.004000000001</v>
      </c>
      <c r="L1189" s="375">
        <v>11979.822109999999</v>
      </c>
      <c r="M1189" s="375">
        <v>113890.70895</v>
      </c>
      <c r="N1189" s="372">
        <v>0.435</v>
      </c>
      <c r="O1189" s="703">
        <v>6.405709115532793</v>
      </c>
      <c r="P1189" s="375" t="s">
        <v>623</v>
      </c>
      <c r="Q1189" s="375" t="s">
        <v>623</v>
      </c>
      <c r="R1189" s="695">
        <v>19910208</v>
      </c>
      <c r="S1189" s="375" t="s">
        <v>8195</v>
      </c>
      <c r="T1189" s="696">
        <v>0.20900000000000002</v>
      </c>
      <c r="U1189" s="372" t="s">
        <v>8196</v>
      </c>
      <c r="V1189" s="722">
        <v>9.57</v>
      </c>
      <c r="W1189" s="722">
        <v>1.19</v>
      </c>
      <c r="X1189" s="722">
        <v>1.21</v>
      </c>
      <c r="Y1189" s="722">
        <v>14.76</v>
      </c>
      <c r="Z1189" s="382" t="s">
        <v>934</v>
      </c>
      <c r="AA1189" s="372">
        <v>1166.5226928</v>
      </c>
      <c r="AB1189" s="372">
        <v>1268.5344037</v>
      </c>
      <c r="AC1189" s="372">
        <v>1181.7654666000001</v>
      </c>
      <c r="AD1189" s="372">
        <v>1124.4278047</v>
      </c>
      <c r="AE1189" s="372">
        <v>0</v>
      </c>
      <c r="AF1189" s="372">
        <v>0</v>
      </c>
      <c r="AG1189" s="372">
        <v>0</v>
      </c>
      <c r="AH1189" s="372">
        <v>0</v>
      </c>
    </row>
    <row r="1190" spans="1:34">
      <c r="A1190" s="372" t="s">
        <v>8197</v>
      </c>
      <c r="B1190" s="373" t="s">
        <v>8198</v>
      </c>
      <c r="C1190" s="372" t="s">
        <v>8199</v>
      </c>
      <c r="D1190" s="374">
        <v>1101110300303</v>
      </c>
      <c r="E1190" s="372" t="s">
        <v>8200</v>
      </c>
      <c r="F1190" s="375" t="s">
        <v>2858</v>
      </c>
      <c r="G1190" s="375" t="s">
        <v>2858</v>
      </c>
      <c r="H1190" s="375" t="s">
        <v>1388</v>
      </c>
      <c r="I1190" s="375" t="s">
        <v>869</v>
      </c>
      <c r="J1190" s="375">
        <v>2526207.9279100001</v>
      </c>
      <c r="K1190" s="375">
        <v>78343.445250000004</v>
      </c>
      <c r="L1190" s="375">
        <v>65611.664869999993</v>
      </c>
      <c r="M1190" s="375">
        <v>546576.46738000005</v>
      </c>
      <c r="N1190" s="372">
        <v>0.878</v>
      </c>
      <c r="O1190" s="703">
        <v>123.33928446564184</v>
      </c>
      <c r="P1190" s="375" t="s">
        <v>623</v>
      </c>
      <c r="Q1190" s="375" t="s">
        <v>623</v>
      </c>
      <c r="R1190" s="695">
        <v>19991214</v>
      </c>
      <c r="S1190" s="372" t="s">
        <v>8201</v>
      </c>
      <c r="T1190" s="696">
        <v>0.23100000000000001</v>
      </c>
      <c r="U1190" s="372" t="s">
        <v>8202</v>
      </c>
      <c r="V1190" s="722">
        <v>4.12</v>
      </c>
      <c r="W1190" s="722">
        <v>0.39</v>
      </c>
      <c r="X1190" s="722">
        <v>0.05</v>
      </c>
      <c r="Y1190" s="722">
        <v>4.38</v>
      </c>
      <c r="Z1190" s="382" t="s">
        <v>934</v>
      </c>
      <c r="AA1190" s="372">
        <v>15894.773949099999</v>
      </c>
      <c r="AB1190" s="372">
        <v>24833.9864017</v>
      </c>
      <c r="AC1190" s="372">
        <v>29189.0306021</v>
      </c>
      <c r="AD1190" s="372">
        <v>25262.079279099999</v>
      </c>
      <c r="AE1190" s="372">
        <v>0</v>
      </c>
      <c r="AF1190" s="372">
        <v>0</v>
      </c>
      <c r="AG1190" s="372">
        <v>0</v>
      </c>
      <c r="AH1190" s="372">
        <v>0</v>
      </c>
    </row>
    <row r="1191" spans="1:34">
      <c r="A1191" s="372" t="s">
        <v>8203</v>
      </c>
      <c r="B1191" s="373" t="s">
        <v>8204</v>
      </c>
      <c r="C1191" s="372" t="s">
        <v>8205</v>
      </c>
      <c r="D1191" s="374">
        <v>1101112407470</v>
      </c>
      <c r="E1191" s="372" t="s">
        <v>8206</v>
      </c>
      <c r="F1191" s="375" t="s">
        <v>3941</v>
      </c>
      <c r="G1191" s="375" t="s">
        <v>6406</v>
      </c>
      <c r="H1191" s="375" t="s">
        <v>868</v>
      </c>
      <c r="I1191" s="375" t="s">
        <v>869</v>
      </c>
      <c r="J1191" s="375">
        <v>333630.90888</v>
      </c>
      <c r="K1191" s="375">
        <v>11976.872719999999</v>
      </c>
      <c r="L1191" s="375">
        <v>409.07220999999998</v>
      </c>
      <c r="M1191" s="375">
        <v>40591.307309999997</v>
      </c>
      <c r="N1191" s="372">
        <v>0.73</v>
      </c>
      <c r="O1191" s="703">
        <v>218.4892427359986</v>
      </c>
      <c r="P1191" s="375" t="s">
        <v>623</v>
      </c>
      <c r="Q1191" s="372" t="s">
        <v>623</v>
      </c>
      <c r="R1191" s="695">
        <v>20151216</v>
      </c>
      <c r="S1191" s="372" t="s">
        <v>3603</v>
      </c>
      <c r="T1191" s="696">
        <v>0.20900000000000002</v>
      </c>
      <c r="U1191" s="372" t="s">
        <v>8207</v>
      </c>
      <c r="V1191" s="722">
        <v>10.96</v>
      </c>
      <c r="W1191" s="722">
        <v>3.61</v>
      </c>
      <c r="X1191" s="722">
        <v>0.4</v>
      </c>
      <c r="Y1191" s="722" t="s">
        <v>774</v>
      </c>
      <c r="Z1191" s="382" t="s">
        <v>934</v>
      </c>
      <c r="AA1191" s="372">
        <v>2667.9132463000001</v>
      </c>
      <c r="AB1191" s="372">
        <v>2893.4725779999999</v>
      </c>
      <c r="AC1191" s="372">
        <v>3282.07413</v>
      </c>
      <c r="AD1191" s="372">
        <v>3336.3090888000002</v>
      </c>
      <c r="AE1191" s="372">
        <v>3750</v>
      </c>
      <c r="AF1191" s="372">
        <v>4192.5</v>
      </c>
      <c r="AG1191" s="372">
        <v>0</v>
      </c>
      <c r="AH1191" s="372">
        <v>0</v>
      </c>
    </row>
    <row r="1192" spans="1:34">
      <c r="A1192" s="372" t="s">
        <v>8208</v>
      </c>
      <c r="B1192" s="373" t="s">
        <v>8209</v>
      </c>
      <c r="C1192" s="372" t="s">
        <v>8210</v>
      </c>
      <c r="D1192" s="374">
        <v>1101111574874</v>
      </c>
      <c r="E1192" s="372" t="s">
        <v>8211</v>
      </c>
      <c r="F1192" s="375" t="s">
        <v>1814</v>
      </c>
      <c r="G1192" s="375" t="s">
        <v>2821</v>
      </c>
      <c r="H1192" s="375" t="s">
        <v>1693</v>
      </c>
      <c r="I1192" s="375" t="s">
        <v>869</v>
      </c>
      <c r="J1192" s="375">
        <v>508904.59642000002</v>
      </c>
      <c r="K1192" s="375">
        <v>15207.00928</v>
      </c>
      <c r="L1192" s="375">
        <v>19811.868340000001</v>
      </c>
      <c r="M1192" s="375">
        <v>198807.25692000001</v>
      </c>
      <c r="N1192" s="372">
        <v>1.272</v>
      </c>
      <c r="O1192" s="703">
        <v>41.454813114202658</v>
      </c>
      <c r="P1192" s="375" t="s">
        <v>623</v>
      </c>
      <c r="Q1192" s="375" t="s">
        <v>623</v>
      </c>
      <c r="R1192" s="695">
        <v>20020524</v>
      </c>
      <c r="S1192" s="375" t="s">
        <v>8212</v>
      </c>
      <c r="T1192" s="696">
        <v>0.20900000000000002</v>
      </c>
      <c r="U1192" s="375" t="s">
        <v>8213</v>
      </c>
      <c r="V1192" s="722">
        <v>6.96</v>
      </c>
      <c r="W1192" s="722">
        <v>1.1000000000000001</v>
      </c>
      <c r="X1192" s="722">
        <v>0.28999999999999998</v>
      </c>
      <c r="Y1192" s="722">
        <v>13.97</v>
      </c>
      <c r="Z1192" s="382" t="s">
        <v>934</v>
      </c>
      <c r="AA1192" s="372">
        <v>2588.898001</v>
      </c>
      <c r="AB1192" s="372">
        <v>3786.0366706</v>
      </c>
      <c r="AC1192" s="372">
        <v>4546.3245642000002</v>
      </c>
      <c r="AD1192" s="372">
        <v>5089.0459641999996</v>
      </c>
      <c r="AE1192" s="372">
        <v>10970</v>
      </c>
      <c r="AF1192" s="372">
        <v>0</v>
      </c>
      <c r="AG1192" s="372">
        <v>0</v>
      </c>
      <c r="AH1192" s="372">
        <v>0</v>
      </c>
    </row>
    <row r="1193" spans="1:34">
      <c r="A1193" s="372" t="s">
        <v>8214</v>
      </c>
      <c r="B1193" s="373" t="s">
        <v>8215</v>
      </c>
      <c r="C1193" s="372" t="s">
        <v>8216</v>
      </c>
      <c r="D1193" s="374">
        <v>1101112693235</v>
      </c>
      <c r="E1193" s="372" t="s">
        <v>8217</v>
      </c>
      <c r="F1193" s="375" t="s">
        <v>1814</v>
      </c>
      <c r="G1193" s="375" t="s">
        <v>1815</v>
      </c>
      <c r="H1193" s="375" t="s">
        <v>1348</v>
      </c>
      <c r="I1193" s="375" t="s">
        <v>869</v>
      </c>
      <c r="J1193" s="375">
        <v>117951.67199</v>
      </c>
      <c r="K1193" s="375">
        <v>18340.862420000001</v>
      </c>
      <c r="L1193" s="375">
        <v>4918.5402800000002</v>
      </c>
      <c r="M1193" s="375">
        <v>87475.286699999997</v>
      </c>
      <c r="N1193" s="372">
        <v>0.80400000000000005</v>
      </c>
      <c r="O1193" s="703">
        <v>5.7134380151144457</v>
      </c>
      <c r="P1193" s="375" t="s">
        <v>623</v>
      </c>
      <c r="Q1193" s="372" t="s">
        <v>623</v>
      </c>
      <c r="R1193" s="695">
        <v>20131227</v>
      </c>
      <c r="S1193" s="372" t="s">
        <v>8218</v>
      </c>
      <c r="T1193" s="696">
        <v>0.20900000000000002</v>
      </c>
      <c r="U1193" s="372" t="s">
        <v>16048</v>
      </c>
      <c r="V1193" s="722">
        <v>6.43</v>
      </c>
      <c r="W1193" s="722">
        <v>1.61</v>
      </c>
      <c r="X1193" s="722">
        <v>1.19</v>
      </c>
      <c r="Y1193" s="722" t="s">
        <v>774</v>
      </c>
      <c r="Z1193" s="382" t="s">
        <v>934</v>
      </c>
      <c r="AA1193" s="372">
        <v>871.87532329999999</v>
      </c>
      <c r="AB1193" s="372">
        <v>965.21903810000003</v>
      </c>
      <c r="AC1193" s="372">
        <v>1124.6035827999999</v>
      </c>
      <c r="AD1193" s="372">
        <v>1179.5167199</v>
      </c>
      <c r="AE1193" s="372">
        <v>1304.56</v>
      </c>
      <c r="AF1193" s="372">
        <v>1412</v>
      </c>
      <c r="AG1193" s="372">
        <v>0</v>
      </c>
      <c r="AH1193" s="372">
        <v>0</v>
      </c>
    </row>
    <row r="1194" spans="1:34">
      <c r="A1194" s="372" t="s">
        <v>8219</v>
      </c>
      <c r="B1194" s="373" t="s">
        <v>8220</v>
      </c>
      <c r="C1194" s="372" t="s">
        <v>8221</v>
      </c>
      <c r="D1194" s="374">
        <v>1101110724107</v>
      </c>
      <c r="E1194" s="372" t="s">
        <v>8222</v>
      </c>
      <c r="F1194" s="375" t="s">
        <v>1334</v>
      </c>
      <c r="G1194" s="375" t="s">
        <v>1334</v>
      </c>
      <c r="H1194" s="375" t="s">
        <v>868</v>
      </c>
      <c r="I1194" s="375" t="s">
        <v>869</v>
      </c>
      <c r="J1194" s="375">
        <v>221724.62372</v>
      </c>
      <c r="K1194" s="375">
        <v>11559.99733</v>
      </c>
      <c r="L1194" s="375">
        <v>33022.882400000002</v>
      </c>
      <c r="M1194" s="375">
        <v>152932.53766</v>
      </c>
      <c r="N1194" s="372">
        <v>0.96799999999999997</v>
      </c>
      <c r="O1194" s="703">
        <v>28.494567880991557</v>
      </c>
      <c r="P1194" s="375" t="s">
        <v>623</v>
      </c>
      <c r="Q1194" s="375" t="s">
        <v>623</v>
      </c>
      <c r="R1194" s="695">
        <v>20040524</v>
      </c>
      <c r="S1194" s="375" t="s">
        <v>8223</v>
      </c>
      <c r="T1194" s="696">
        <v>0.23100000000000001</v>
      </c>
      <c r="U1194" s="372" t="s">
        <v>8224</v>
      </c>
      <c r="V1194" s="722">
        <v>9.94</v>
      </c>
      <c r="W1194" s="722">
        <v>1.06</v>
      </c>
      <c r="X1194" s="722">
        <v>0.65</v>
      </c>
      <c r="Y1194" s="722">
        <v>5.54</v>
      </c>
      <c r="Z1194" s="382" t="s">
        <v>934</v>
      </c>
      <c r="AA1194" s="372">
        <v>1430.2252742000001</v>
      </c>
      <c r="AB1194" s="372">
        <v>1665.6662478000001</v>
      </c>
      <c r="AC1194" s="372">
        <v>1907.6901928</v>
      </c>
      <c r="AD1194" s="372">
        <v>2217.2462372</v>
      </c>
      <c r="AE1194" s="372">
        <v>0</v>
      </c>
      <c r="AF1194" s="372">
        <v>0</v>
      </c>
      <c r="AG1194" s="372">
        <v>0</v>
      </c>
      <c r="AH1194" s="372">
        <v>0</v>
      </c>
    </row>
    <row r="1195" spans="1:34">
      <c r="A1195" s="372" t="s">
        <v>8225</v>
      </c>
      <c r="B1195" s="373" t="s">
        <v>8226</v>
      </c>
      <c r="C1195" s="372" t="s">
        <v>8227</v>
      </c>
      <c r="D1195" s="374">
        <v>1101111871072</v>
      </c>
      <c r="E1195" s="372" t="s">
        <v>8228</v>
      </c>
      <c r="F1195" s="375" t="s">
        <v>7050</v>
      </c>
      <c r="G1195" s="375" t="s">
        <v>7051</v>
      </c>
      <c r="H1195" s="375" t="s">
        <v>3127</v>
      </c>
      <c r="I1195" s="375" t="s">
        <v>869</v>
      </c>
      <c r="J1195" s="375">
        <v>69412.990000000005</v>
      </c>
      <c r="K1195" s="375">
        <v>2324.0812799999999</v>
      </c>
      <c r="L1195" s="375">
        <v>2098.4265500000001</v>
      </c>
      <c r="M1195" s="375">
        <v>81537.381779999996</v>
      </c>
      <c r="N1195" s="372">
        <v>0.94299999999999995</v>
      </c>
      <c r="O1195" s="703">
        <v>0.89645057235932302</v>
      </c>
      <c r="P1195" s="375" t="s">
        <v>623</v>
      </c>
      <c r="Q1195" s="375" t="s">
        <v>623</v>
      </c>
      <c r="R1195" s="695">
        <v>20130219</v>
      </c>
      <c r="S1195" s="375" t="s">
        <v>8229</v>
      </c>
      <c r="T1195" s="696">
        <v>0.20900000000000002</v>
      </c>
      <c r="U1195" s="372" t="s">
        <v>8230</v>
      </c>
      <c r="V1195" s="722">
        <v>22.63</v>
      </c>
      <c r="W1195" s="722">
        <v>1.57</v>
      </c>
      <c r="X1195" s="722">
        <v>1.84</v>
      </c>
      <c r="Y1195" s="722">
        <v>132.79</v>
      </c>
      <c r="Z1195" s="382" t="s">
        <v>934</v>
      </c>
      <c r="AA1195" s="372">
        <v>1410.0074460000001</v>
      </c>
      <c r="AB1195" s="372">
        <v>863.73685780000005</v>
      </c>
      <c r="AC1195" s="372">
        <v>903.91450840000005</v>
      </c>
      <c r="AD1195" s="372">
        <v>694.12990000000002</v>
      </c>
      <c r="AE1195" s="372">
        <v>1295</v>
      </c>
      <c r="AF1195" s="372">
        <v>1652</v>
      </c>
      <c r="AG1195" s="372">
        <v>0</v>
      </c>
      <c r="AH1195" s="372">
        <v>0</v>
      </c>
    </row>
    <row r="1196" spans="1:34">
      <c r="A1196" s="372" t="s">
        <v>8231</v>
      </c>
      <c r="B1196" s="373" t="s">
        <v>8232</v>
      </c>
      <c r="C1196" s="372" t="s">
        <v>8233</v>
      </c>
      <c r="D1196" s="374">
        <v>1101110008254</v>
      </c>
      <c r="E1196" s="372" t="s">
        <v>8234</v>
      </c>
      <c r="F1196" s="375" t="s">
        <v>6225</v>
      </c>
      <c r="G1196" s="375" t="s">
        <v>6226</v>
      </c>
      <c r="H1196" s="375">
        <v>0</v>
      </c>
      <c r="I1196" s="375" t="s">
        <v>755</v>
      </c>
      <c r="J1196" s="375">
        <v>434185.75553000002</v>
      </c>
      <c r="K1196" s="375">
        <v>13925.63357</v>
      </c>
      <c r="L1196" s="375">
        <v>23211.56828</v>
      </c>
      <c r="M1196" s="375">
        <v>570051.83883999998</v>
      </c>
      <c r="N1196" s="372">
        <v>0.71399999999999997</v>
      </c>
      <c r="O1196" s="703">
        <v>70.682897178553716</v>
      </c>
      <c r="P1196" s="375" t="s">
        <v>623</v>
      </c>
      <c r="Q1196" s="375" t="s">
        <v>623</v>
      </c>
      <c r="R1196" s="695">
        <v>19760630</v>
      </c>
      <c r="S1196" s="375" t="s">
        <v>8235</v>
      </c>
      <c r="T1196" s="696">
        <v>0.23100000000000001</v>
      </c>
      <c r="U1196" s="372" t="s">
        <v>8236</v>
      </c>
      <c r="V1196" s="722">
        <v>4.5199999999999996</v>
      </c>
      <c r="W1196" s="722">
        <v>0.24</v>
      </c>
      <c r="X1196" s="722">
        <v>0.32</v>
      </c>
      <c r="Y1196" s="722">
        <v>8.09</v>
      </c>
      <c r="Z1196" s="382" t="s">
        <v>934</v>
      </c>
      <c r="AA1196" s="372">
        <v>3723.2211527999998</v>
      </c>
      <c r="AB1196" s="372">
        <v>3465.0204604999999</v>
      </c>
      <c r="AC1196" s="372">
        <v>4326.4928055999999</v>
      </c>
      <c r="AD1196" s="372">
        <v>4341.8575553000001</v>
      </c>
      <c r="AE1196" s="372">
        <v>0</v>
      </c>
      <c r="AF1196" s="372">
        <v>0</v>
      </c>
      <c r="AG1196" s="372">
        <v>0</v>
      </c>
      <c r="AH1196" s="372">
        <v>0</v>
      </c>
    </row>
    <row r="1197" spans="1:34">
      <c r="A1197" s="372" t="s">
        <v>8237</v>
      </c>
      <c r="B1197" s="373" t="s">
        <v>8238</v>
      </c>
      <c r="C1197" s="372" t="s">
        <v>8239</v>
      </c>
      <c r="D1197" s="374">
        <v>1701110202416</v>
      </c>
      <c r="E1197" s="372" t="s">
        <v>8240</v>
      </c>
      <c r="F1197" s="375" t="s">
        <v>1782</v>
      </c>
      <c r="G1197" s="375" t="s">
        <v>8241</v>
      </c>
      <c r="H1197" s="375" t="s">
        <v>1388</v>
      </c>
      <c r="I1197" s="375" t="s">
        <v>869</v>
      </c>
      <c r="J1197" s="375">
        <v>62271.679250000001</v>
      </c>
      <c r="K1197" s="375">
        <v>-7826.0068899999997</v>
      </c>
      <c r="L1197" s="375">
        <v>-8950.6475200000004</v>
      </c>
      <c r="M1197" s="375">
        <v>60485.9234</v>
      </c>
      <c r="N1197" s="372">
        <v>0.85799999999999998</v>
      </c>
      <c r="O1197" s="703">
        <v>17.999371016778333</v>
      </c>
      <c r="P1197" s="375" t="s">
        <v>623</v>
      </c>
      <c r="Q1197" s="372" t="s">
        <v>623</v>
      </c>
      <c r="R1197" s="695">
        <v>20220714</v>
      </c>
      <c r="S1197" s="372" t="s">
        <v>8242</v>
      </c>
      <c r="T1197" s="696" t="s">
        <v>772</v>
      </c>
      <c r="U1197" s="372" t="s">
        <v>8243</v>
      </c>
      <c r="V1197" s="722">
        <v>0</v>
      </c>
      <c r="W1197" s="722">
        <v>1.91</v>
      </c>
      <c r="X1197" s="722">
        <v>0</v>
      </c>
      <c r="Y1197" s="722">
        <v>0</v>
      </c>
      <c r="Z1197" s="382" t="s">
        <v>934</v>
      </c>
      <c r="AA1197" s="372">
        <v>607.59972119999998</v>
      </c>
      <c r="AB1197" s="372">
        <v>664.30133750000005</v>
      </c>
      <c r="AC1197" s="372">
        <v>823.50140220000003</v>
      </c>
      <c r="AD1197" s="372">
        <v>622.7167925</v>
      </c>
      <c r="AE1197" s="372">
        <v>0</v>
      </c>
      <c r="AF1197" s="372">
        <v>0</v>
      </c>
      <c r="AG1197" s="372">
        <v>0</v>
      </c>
      <c r="AH1197" s="372">
        <v>0</v>
      </c>
    </row>
    <row r="1198" spans="1:34">
      <c r="A1198" s="372" t="s">
        <v>8244</v>
      </c>
      <c r="B1198" s="373" t="s">
        <v>8245</v>
      </c>
      <c r="C1198" s="372" t="s">
        <v>8246</v>
      </c>
      <c r="D1198" s="374">
        <v>1101110152770</v>
      </c>
      <c r="E1198" s="372" t="s">
        <v>8247</v>
      </c>
      <c r="F1198" s="375" t="s">
        <v>1553</v>
      </c>
      <c r="G1198" s="375" t="s">
        <v>3677</v>
      </c>
      <c r="H1198" s="375" t="s">
        <v>1555</v>
      </c>
      <c r="I1198" s="375" t="s">
        <v>755</v>
      </c>
      <c r="J1198" s="375">
        <v>834478.14145999996</v>
      </c>
      <c r="K1198" s="375">
        <v>23429.995620000002</v>
      </c>
      <c r="L1198" s="375">
        <v>10172.922619999999</v>
      </c>
      <c r="M1198" s="375">
        <v>213786.72203</v>
      </c>
      <c r="N1198" s="372">
        <v>0.86099999999999999</v>
      </c>
      <c r="O1198" s="703">
        <v>219.76623232710924</v>
      </c>
      <c r="P1198" s="375" t="s">
        <v>623</v>
      </c>
      <c r="Q1198" s="372" t="s">
        <v>623</v>
      </c>
      <c r="R1198" s="695">
        <v>19880824</v>
      </c>
      <c r="S1198" s="372" t="s">
        <v>8248</v>
      </c>
      <c r="T1198" s="696">
        <v>0.20900000000000002</v>
      </c>
      <c r="U1198" s="372" t="s">
        <v>8249</v>
      </c>
      <c r="V1198" s="722">
        <v>9.74</v>
      </c>
      <c r="W1198" s="722">
        <v>0.56999999999999995</v>
      </c>
      <c r="X1198" s="722">
        <v>0.18</v>
      </c>
      <c r="Y1198" s="722">
        <v>24.69</v>
      </c>
      <c r="Z1198" s="382" t="s">
        <v>934</v>
      </c>
      <c r="AA1198" s="372">
        <v>6942.9686948999997</v>
      </c>
      <c r="AB1198" s="372">
        <v>8794.1758620000001</v>
      </c>
      <c r="AC1198" s="372">
        <v>9954.3950430999994</v>
      </c>
      <c r="AD1198" s="372">
        <v>8344.7814146000001</v>
      </c>
      <c r="AE1198" s="372">
        <v>0</v>
      </c>
      <c r="AF1198" s="372">
        <v>0</v>
      </c>
      <c r="AG1198" s="372">
        <v>0</v>
      </c>
      <c r="AH1198" s="372">
        <v>0</v>
      </c>
    </row>
    <row r="1199" spans="1:34">
      <c r="A1199" s="372" t="s">
        <v>8250</v>
      </c>
      <c r="B1199" s="373" t="s">
        <v>8251</v>
      </c>
      <c r="C1199" s="372" t="s">
        <v>8252</v>
      </c>
      <c r="D1199" s="374">
        <v>1101113161306</v>
      </c>
      <c r="E1199" s="372" t="s">
        <v>8253</v>
      </c>
      <c r="F1199" s="372" t="s">
        <v>5680</v>
      </c>
      <c r="G1199" s="375" t="s">
        <v>5680</v>
      </c>
      <c r="H1199" s="375" t="s">
        <v>1388</v>
      </c>
      <c r="I1199" s="375" t="s">
        <v>869</v>
      </c>
      <c r="J1199" s="375">
        <v>47174.83193</v>
      </c>
      <c r="K1199" s="375">
        <v>11387.643249999999</v>
      </c>
      <c r="L1199" s="375">
        <v>13493.808779999999</v>
      </c>
      <c r="M1199" s="375">
        <v>89508.351410000003</v>
      </c>
      <c r="N1199" s="372" t="s">
        <v>1033</v>
      </c>
      <c r="O1199" s="703">
        <v>0.22990276750809263</v>
      </c>
      <c r="P1199" s="375" t="s">
        <v>623</v>
      </c>
      <c r="Q1199" s="375" t="s">
        <v>623</v>
      </c>
      <c r="R1199" s="695">
        <v>20230517</v>
      </c>
      <c r="S1199" s="375" t="s">
        <v>8254</v>
      </c>
      <c r="T1199" s="696">
        <v>0.20900000000000002</v>
      </c>
      <c r="U1199" s="375" t="s">
        <v>8255</v>
      </c>
      <c r="V1199" s="722">
        <v>0</v>
      </c>
      <c r="W1199" s="722">
        <v>1.41</v>
      </c>
      <c r="X1199" s="722">
        <v>0</v>
      </c>
      <c r="Y1199" s="722">
        <v>0</v>
      </c>
      <c r="Z1199" s="382" t="s">
        <v>934</v>
      </c>
      <c r="AA1199" s="372">
        <v>330.10686320000002</v>
      </c>
      <c r="AB1199" s="372">
        <v>359.80311710000001</v>
      </c>
      <c r="AC1199" s="372">
        <v>388.31800709999999</v>
      </c>
      <c r="AD1199" s="372">
        <v>471.74831929999999</v>
      </c>
      <c r="AE1199" s="372">
        <v>0</v>
      </c>
      <c r="AF1199" s="372">
        <v>0</v>
      </c>
      <c r="AG1199" s="372">
        <v>0</v>
      </c>
      <c r="AH1199" s="372">
        <v>0</v>
      </c>
    </row>
    <row r="1200" spans="1:34">
      <c r="A1200" s="372" t="s">
        <v>8256</v>
      </c>
      <c r="B1200" s="373" t="s">
        <v>8257</v>
      </c>
      <c r="C1200" s="372" t="s">
        <v>8258</v>
      </c>
      <c r="D1200" s="374">
        <v>1101111327869</v>
      </c>
      <c r="E1200" s="372" t="s">
        <v>8259</v>
      </c>
      <c r="F1200" s="375" t="s">
        <v>6069</v>
      </c>
      <c r="G1200" s="375" t="s">
        <v>6069</v>
      </c>
      <c r="H1200" s="375" t="s">
        <v>1547</v>
      </c>
      <c r="I1200" s="375" t="s">
        <v>869</v>
      </c>
      <c r="J1200" s="375">
        <v>52023.895530000002</v>
      </c>
      <c r="K1200" s="375">
        <v>-1475.03124</v>
      </c>
      <c r="L1200" s="375">
        <v>-5373.3927899999999</v>
      </c>
      <c r="M1200" s="375">
        <v>58600.776230000003</v>
      </c>
      <c r="N1200" s="372">
        <v>1.0980000000000001</v>
      </c>
      <c r="O1200" s="703">
        <v>4.3930451838114797</v>
      </c>
      <c r="P1200" s="375" t="s">
        <v>623</v>
      </c>
      <c r="Q1200" s="372" t="s">
        <v>623</v>
      </c>
      <c r="R1200" s="695">
        <v>20031112</v>
      </c>
      <c r="S1200" s="372" t="s">
        <v>8260</v>
      </c>
      <c r="T1200" s="696" t="s">
        <v>772</v>
      </c>
      <c r="U1200" s="372" t="s">
        <v>8261</v>
      </c>
      <c r="V1200" s="722">
        <v>0</v>
      </c>
      <c r="W1200" s="722">
        <v>2.46</v>
      </c>
      <c r="X1200" s="722">
        <v>0</v>
      </c>
      <c r="Y1200" s="722">
        <v>0</v>
      </c>
      <c r="Z1200" s="382" t="s">
        <v>934</v>
      </c>
      <c r="AA1200" s="372">
        <v>481.10630559999998</v>
      </c>
      <c r="AB1200" s="372">
        <v>465.25413579999997</v>
      </c>
      <c r="AC1200" s="372">
        <v>620.44179220000001</v>
      </c>
      <c r="AD1200" s="372">
        <v>520.23895530000004</v>
      </c>
      <c r="AE1200" s="372">
        <v>0</v>
      </c>
      <c r="AF1200" s="372">
        <v>0</v>
      </c>
      <c r="AG1200" s="372">
        <v>0</v>
      </c>
      <c r="AH1200" s="372">
        <v>0</v>
      </c>
    </row>
    <row r="1201" spans="1:34">
      <c r="A1201" s="372" t="s">
        <v>8262</v>
      </c>
      <c r="B1201" s="373" t="s">
        <v>8263</v>
      </c>
      <c r="C1201" s="372" t="s">
        <v>8264</v>
      </c>
      <c r="D1201" s="374">
        <v>1101114222503</v>
      </c>
      <c r="E1201" s="372" t="s">
        <v>8265</v>
      </c>
      <c r="F1201" s="372" t="s">
        <v>3708</v>
      </c>
      <c r="G1201" s="375" t="s">
        <v>3708</v>
      </c>
      <c r="H1201" s="375" t="s">
        <v>1348</v>
      </c>
      <c r="I1201" s="375" t="s">
        <v>869</v>
      </c>
      <c r="J1201" s="375">
        <v>5575.0537199999999</v>
      </c>
      <c r="K1201" s="375">
        <v>-32056.613829999998</v>
      </c>
      <c r="L1201" s="375">
        <v>-22912.847160000001</v>
      </c>
      <c r="M1201" s="375">
        <v>71495.691640000005</v>
      </c>
      <c r="N1201" s="372">
        <v>1.0509999999999999</v>
      </c>
      <c r="O1201" s="703">
        <v>6.3313918422055417</v>
      </c>
      <c r="P1201" s="375" t="s">
        <v>623</v>
      </c>
      <c r="Q1201" s="372" t="s">
        <v>623</v>
      </c>
      <c r="R1201" s="695">
        <v>20191226</v>
      </c>
      <c r="S1201" s="372" t="s">
        <v>8266</v>
      </c>
      <c r="T1201" s="696" t="s">
        <v>772</v>
      </c>
      <c r="U1201" s="372" t="s">
        <v>8267</v>
      </c>
      <c r="V1201" s="722" t="s">
        <v>774</v>
      </c>
      <c r="W1201" s="722">
        <v>2.06</v>
      </c>
      <c r="X1201" s="722">
        <v>21.75</v>
      </c>
      <c r="Y1201" s="722" t="s">
        <v>774</v>
      </c>
      <c r="Z1201" s="382" t="s">
        <v>934</v>
      </c>
      <c r="AA1201" s="372">
        <v>53.115467700000004</v>
      </c>
      <c r="AB1201" s="372">
        <v>43.630272900000001</v>
      </c>
      <c r="AC1201" s="372">
        <v>40.746616899999999</v>
      </c>
      <c r="AD1201" s="372">
        <v>55.750537199999997</v>
      </c>
      <c r="AE1201" s="372">
        <v>0</v>
      </c>
      <c r="AF1201" s="372">
        <v>0</v>
      </c>
      <c r="AG1201" s="372">
        <v>0</v>
      </c>
      <c r="AH1201" s="372">
        <v>0</v>
      </c>
    </row>
    <row r="1202" spans="1:34">
      <c r="A1202" s="372" t="s">
        <v>8268</v>
      </c>
      <c r="B1202" s="373" t="s">
        <v>8269</v>
      </c>
      <c r="C1202" s="372" t="s">
        <v>8270</v>
      </c>
      <c r="D1202" s="374">
        <v>1101111303140</v>
      </c>
      <c r="E1202" s="372" t="s">
        <v>8271</v>
      </c>
      <c r="F1202" s="375" t="s">
        <v>2465</v>
      </c>
      <c r="G1202" s="375" t="s">
        <v>2465</v>
      </c>
      <c r="H1202" s="375" t="s">
        <v>1348</v>
      </c>
      <c r="I1202" s="375" t="s">
        <v>869</v>
      </c>
      <c r="J1202" s="375">
        <v>338183.14240999997</v>
      </c>
      <c r="K1202" s="375">
        <v>38770.681340000003</v>
      </c>
      <c r="L1202" s="375">
        <v>20624.509139999998</v>
      </c>
      <c r="M1202" s="375">
        <v>204247.52603000001</v>
      </c>
      <c r="N1202" s="372">
        <v>0.78800000000000003</v>
      </c>
      <c r="O1202" s="703">
        <v>340.70401398575109</v>
      </c>
      <c r="P1202" s="375" t="s">
        <v>623</v>
      </c>
      <c r="Q1202" s="372" t="s">
        <v>623</v>
      </c>
      <c r="R1202" s="695">
        <v>20000128</v>
      </c>
      <c r="S1202" s="372" t="s">
        <v>8272</v>
      </c>
      <c r="T1202" s="696">
        <v>0.23100000000000001</v>
      </c>
      <c r="U1202" s="375" t="s">
        <v>16049</v>
      </c>
      <c r="V1202" s="722">
        <v>2.74</v>
      </c>
      <c r="W1202" s="722">
        <v>0.64</v>
      </c>
      <c r="X1202" s="722">
        <v>0.4</v>
      </c>
      <c r="Y1202" s="722">
        <v>8.0500000000000007</v>
      </c>
      <c r="Z1202" s="382" t="s">
        <v>934</v>
      </c>
      <c r="AA1202" s="372">
        <v>2294.8941742000002</v>
      </c>
      <c r="AB1202" s="372">
        <v>2289.3266134</v>
      </c>
      <c r="AC1202" s="372">
        <v>2620.6478547000002</v>
      </c>
      <c r="AD1202" s="372">
        <v>3381.8314240999998</v>
      </c>
      <c r="AE1202" s="372">
        <v>0</v>
      </c>
      <c r="AF1202" s="372">
        <v>0</v>
      </c>
      <c r="AG1202" s="372">
        <v>0</v>
      </c>
      <c r="AH1202" s="372">
        <v>0</v>
      </c>
    </row>
    <row r="1203" spans="1:34">
      <c r="A1203" s="372" t="s">
        <v>8273</v>
      </c>
      <c r="B1203" s="373" t="s">
        <v>8274</v>
      </c>
      <c r="C1203" s="372" t="s">
        <v>8275</v>
      </c>
      <c r="D1203" s="374">
        <v>1345110144268</v>
      </c>
      <c r="E1203" s="372" t="s">
        <v>8276</v>
      </c>
      <c r="F1203" s="375" t="s">
        <v>3627</v>
      </c>
      <c r="G1203" s="375" t="s">
        <v>3628</v>
      </c>
      <c r="H1203" s="375" t="s">
        <v>1388</v>
      </c>
      <c r="I1203" s="375" t="s">
        <v>869</v>
      </c>
      <c r="J1203" s="375">
        <v>652633.70403999998</v>
      </c>
      <c r="K1203" s="375">
        <v>11209.32351</v>
      </c>
      <c r="L1203" s="375">
        <v>-76585.652990000002</v>
      </c>
      <c r="M1203" s="375">
        <v>247901.93544999999</v>
      </c>
      <c r="N1203" s="372">
        <v>1.1319999999999999</v>
      </c>
      <c r="O1203" s="703">
        <v>278.885428896154</v>
      </c>
      <c r="P1203" s="375" t="s">
        <v>623</v>
      </c>
      <c r="Q1203" s="372" t="s">
        <v>623</v>
      </c>
      <c r="R1203" s="695">
        <v>20091116</v>
      </c>
      <c r="S1203" s="372" t="s">
        <v>8277</v>
      </c>
      <c r="T1203" s="696" t="s">
        <v>772</v>
      </c>
      <c r="U1203" s="372" t="s">
        <v>8278</v>
      </c>
      <c r="V1203" s="722">
        <v>17.309999999999999</v>
      </c>
      <c r="W1203" s="722">
        <v>0.57999999999999996</v>
      </c>
      <c r="X1203" s="722">
        <v>0.2</v>
      </c>
      <c r="Y1203" s="722" t="s">
        <v>774</v>
      </c>
      <c r="Z1203" s="382" t="s">
        <v>934</v>
      </c>
      <c r="AA1203" s="372">
        <v>8746.1129772000004</v>
      </c>
      <c r="AB1203" s="372">
        <v>6438.8790172999998</v>
      </c>
      <c r="AC1203" s="372">
        <v>6894.7525298</v>
      </c>
      <c r="AD1203" s="372">
        <v>6526.3370403999998</v>
      </c>
      <c r="AE1203" s="372">
        <v>0</v>
      </c>
      <c r="AF1203" s="372">
        <v>0</v>
      </c>
      <c r="AG1203" s="372">
        <v>0</v>
      </c>
      <c r="AH1203" s="372">
        <v>0</v>
      </c>
    </row>
    <row r="1204" spans="1:34">
      <c r="A1204" s="372" t="s">
        <v>8279</v>
      </c>
      <c r="B1204" s="373" t="s">
        <v>8280</v>
      </c>
      <c r="C1204" s="372" t="s">
        <v>8281</v>
      </c>
      <c r="D1204" s="374">
        <v>1101110010001</v>
      </c>
      <c r="E1204" s="372" t="s">
        <v>8282</v>
      </c>
      <c r="F1204" s="375" t="s">
        <v>2888</v>
      </c>
      <c r="G1204" s="375" t="s">
        <v>2889</v>
      </c>
      <c r="H1204" s="375" t="s">
        <v>832</v>
      </c>
      <c r="I1204" s="375" t="s">
        <v>755</v>
      </c>
      <c r="J1204" s="375">
        <v>122586.70781000001</v>
      </c>
      <c r="K1204" s="375">
        <v>6029.5490900000004</v>
      </c>
      <c r="L1204" s="375">
        <v>12726.50044</v>
      </c>
      <c r="M1204" s="375">
        <v>67222.931020000004</v>
      </c>
      <c r="N1204" s="372">
        <v>0.80200000000000005</v>
      </c>
      <c r="O1204" s="703">
        <v>34.199623871740613</v>
      </c>
      <c r="P1204" s="375" t="s">
        <v>623</v>
      </c>
      <c r="Q1204" s="375" t="s">
        <v>623</v>
      </c>
      <c r="R1204" s="695">
        <v>19760630</v>
      </c>
      <c r="S1204" s="375" t="s">
        <v>8283</v>
      </c>
      <c r="T1204" s="696">
        <v>0.20900000000000002</v>
      </c>
      <c r="U1204" s="372" t="s">
        <v>8284</v>
      </c>
      <c r="V1204" s="722">
        <v>14.84</v>
      </c>
      <c r="W1204" s="722">
        <v>2.2000000000000002</v>
      </c>
      <c r="X1204" s="722">
        <v>1.25</v>
      </c>
      <c r="Y1204" s="722">
        <v>8.25</v>
      </c>
      <c r="Z1204" s="382">
        <v>0.16135600618264134</v>
      </c>
      <c r="AA1204" s="372">
        <v>1176.5777691999999</v>
      </c>
      <c r="AB1204" s="372">
        <v>1332.697762</v>
      </c>
      <c r="AC1204" s="372">
        <v>1352.5643603999999</v>
      </c>
      <c r="AD1204" s="372">
        <v>1225.8670781000001</v>
      </c>
      <c r="AE1204" s="372">
        <v>1465</v>
      </c>
      <c r="AF1204" s="372">
        <v>1894</v>
      </c>
      <c r="AG1204" s="372">
        <v>2230</v>
      </c>
      <c r="AH1204" s="372">
        <v>0</v>
      </c>
    </row>
    <row r="1205" spans="1:34">
      <c r="A1205" s="372" t="s">
        <v>8285</v>
      </c>
      <c r="B1205" s="373" t="s">
        <v>8286</v>
      </c>
      <c r="C1205" s="372" t="s">
        <v>8287</v>
      </c>
      <c r="D1205" s="374">
        <v>1101110016679</v>
      </c>
      <c r="E1205" s="372" t="s">
        <v>8288</v>
      </c>
      <c r="F1205" s="375" t="s">
        <v>1334</v>
      </c>
      <c r="G1205" s="375" t="s">
        <v>1334</v>
      </c>
      <c r="H1205" s="375" t="s">
        <v>788</v>
      </c>
      <c r="I1205" s="375" t="s">
        <v>755</v>
      </c>
      <c r="J1205" s="375">
        <v>196345.80783999999</v>
      </c>
      <c r="K1205" s="375">
        <v>6471.0277599999999</v>
      </c>
      <c r="L1205" s="375">
        <v>1423.7811400000001</v>
      </c>
      <c r="M1205" s="375">
        <v>127827.37178</v>
      </c>
      <c r="N1205" s="372">
        <v>0.41499999999999998</v>
      </c>
      <c r="O1205" s="703">
        <v>99.661164268849987</v>
      </c>
      <c r="P1205" s="375" t="s">
        <v>623</v>
      </c>
      <c r="Q1205" s="375" t="s">
        <v>623</v>
      </c>
      <c r="R1205" s="695">
        <v>19850529</v>
      </c>
      <c r="S1205" s="375" t="s">
        <v>8289</v>
      </c>
      <c r="T1205" s="696">
        <v>0.20900000000000002</v>
      </c>
      <c r="U1205" s="375" t="s">
        <v>8290</v>
      </c>
      <c r="V1205" s="722">
        <v>23.39</v>
      </c>
      <c r="W1205" s="722">
        <v>0.77</v>
      </c>
      <c r="X1205" s="722">
        <v>0.52</v>
      </c>
      <c r="Y1205" s="722">
        <v>61.26</v>
      </c>
      <c r="Z1205" s="382" t="s">
        <v>934</v>
      </c>
      <c r="AA1205" s="372">
        <v>1229.9899215</v>
      </c>
      <c r="AB1205" s="372">
        <v>1342.4677787999999</v>
      </c>
      <c r="AC1205" s="372">
        <v>1796.7610824000001</v>
      </c>
      <c r="AD1205" s="372">
        <v>1963.4580784</v>
      </c>
      <c r="AE1205" s="372">
        <v>2952</v>
      </c>
      <c r="AF1205" s="372">
        <v>0</v>
      </c>
      <c r="AG1205" s="372">
        <v>0</v>
      </c>
      <c r="AH1205" s="372">
        <v>0</v>
      </c>
    </row>
    <row r="1206" spans="1:34">
      <c r="A1206" s="372" t="s">
        <v>8291</v>
      </c>
      <c r="B1206" s="373" t="s">
        <v>8292</v>
      </c>
      <c r="C1206" s="372" t="s">
        <v>8293</v>
      </c>
      <c r="D1206" s="374">
        <v>1101116108587</v>
      </c>
      <c r="E1206" s="372" t="s">
        <v>8294</v>
      </c>
      <c r="F1206" s="372" t="s">
        <v>5824</v>
      </c>
      <c r="G1206" s="375" t="s">
        <v>5824</v>
      </c>
      <c r="H1206" s="375" t="s">
        <v>1693</v>
      </c>
      <c r="I1206" s="375" t="s">
        <v>869</v>
      </c>
      <c r="J1206" s="375">
        <v>19082.38911</v>
      </c>
      <c r="K1206" s="375">
        <v>-6515.71958</v>
      </c>
      <c r="L1206" s="375">
        <v>-5999.5680599999996</v>
      </c>
      <c r="M1206" s="375">
        <v>38808.970909999996</v>
      </c>
      <c r="N1206" s="372">
        <v>0.155</v>
      </c>
      <c r="O1206" s="703">
        <v>6.8137191412508162</v>
      </c>
      <c r="P1206" s="375" t="s">
        <v>623</v>
      </c>
      <c r="Q1206" s="375" t="s">
        <v>623</v>
      </c>
      <c r="R1206" s="695">
        <v>20160908</v>
      </c>
      <c r="S1206" s="375" t="s">
        <v>8295</v>
      </c>
      <c r="T1206" s="696" t="s">
        <v>772</v>
      </c>
      <c r="U1206" s="372" t="s">
        <v>8296</v>
      </c>
      <c r="V1206" s="722" t="s">
        <v>774</v>
      </c>
      <c r="W1206" s="722">
        <v>6.23</v>
      </c>
      <c r="X1206" s="722">
        <v>7.33</v>
      </c>
      <c r="Y1206" s="722" t="s">
        <v>774</v>
      </c>
      <c r="Z1206" s="382" t="s">
        <v>934</v>
      </c>
      <c r="AA1206" s="372">
        <v>138.92032119999999</v>
      </c>
      <c r="AB1206" s="372">
        <v>152.14261970000001</v>
      </c>
      <c r="AC1206" s="372">
        <v>196.6510394</v>
      </c>
      <c r="AD1206" s="372">
        <v>190.8238911</v>
      </c>
      <c r="AE1206" s="372">
        <v>0</v>
      </c>
      <c r="AF1206" s="372">
        <v>0</v>
      </c>
      <c r="AG1206" s="372">
        <v>0</v>
      </c>
      <c r="AH1206" s="372">
        <v>0</v>
      </c>
    </row>
    <row r="1207" spans="1:34">
      <c r="A1207" s="372" t="s">
        <v>8297</v>
      </c>
      <c r="B1207" s="373" t="s">
        <v>8298</v>
      </c>
      <c r="C1207" s="372" t="s">
        <v>8299</v>
      </c>
      <c r="D1207" s="374">
        <v>1101112499641</v>
      </c>
      <c r="E1207" s="372" t="s">
        <v>8300</v>
      </c>
      <c r="F1207" s="375" t="s">
        <v>1013</v>
      </c>
      <c r="G1207" s="375" t="s">
        <v>1013</v>
      </c>
      <c r="H1207" s="375" t="s">
        <v>1693</v>
      </c>
      <c r="I1207" s="375" t="s">
        <v>869</v>
      </c>
      <c r="J1207" s="375">
        <v>6247.55861</v>
      </c>
      <c r="K1207" s="375">
        <v>-6054.3920600000001</v>
      </c>
      <c r="L1207" s="375">
        <v>-5250.9287599999998</v>
      </c>
      <c r="M1207" s="375">
        <v>22795.808150000001</v>
      </c>
      <c r="N1207" s="372">
        <v>0.55800000000000005</v>
      </c>
      <c r="O1207" s="703">
        <v>0.66215724646562224</v>
      </c>
      <c r="P1207" s="375" t="s">
        <v>623</v>
      </c>
      <c r="Q1207" s="375" t="s">
        <v>623</v>
      </c>
      <c r="R1207" s="695">
        <v>20220204</v>
      </c>
      <c r="S1207" s="375" t="s">
        <v>8301</v>
      </c>
      <c r="T1207" s="696" t="s">
        <v>772</v>
      </c>
      <c r="U1207" s="372" t="s">
        <v>8302</v>
      </c>
      <c r="V1207" s="722" t="s">
        <v>774</v>
      </c>
      <c r="W1207" s="722">
        <v>4.6900000000000004</v>
      </c>
      <c r="X1207" s="722">
        <v>17.05</v>
      </c>
      <c r="Y1207" s="722" t="s">
        <v>774</v>
      </c>
      <c r="Z1207" s="382" t="s">
        <v>934</v>
      </c>
      <c r="AA1207" s="372">
        <v>47.122664100000001</v>
      </c>
      <c r="AB1207" s="372">
        <v>61.134198400000002</v>
      </c>
      <c r="AC1207" s="372">
        <v>36.433138900000003</v>
      </c>
      <c r="AD1207" s="372">
        <v>62.475586100000001</v>
      </c>
      <c r="AE1207" s="372">
        <v>143</v>
      </c>
      <c r="AF1207" s="372">
        <v>169</v>
      </c>
      <c r="AG1207" s="372">
        <v>0</v>
      </c>
      <c r="AH1207" s="372">
        <v>0</v>
      </c>
    </row>
    <row r="1208" spans="1:34">
      <c r="A1208" s="372" t="s">
        <v>8303</v>
      </c>
      <c r="B1208" s="373" t="s">
        <v>8304</v>
      </c>
      <c r="C1208" s="372" t="s">
        <v>8305</v>
      </c>
      <c r="D1208" s="374">
        <v>1101110963341</v>
      </c>
      <c r="E1208" s="372" t="s">
        <v>8306</v>
      </c>
      <c r="F1208" s="375" t="s">
        <v>1285</v>
      </c>
      <c r="G1208" s="375" t="s">
        <v>1285</v>
      </c>
      <c r="H1208" s="375" t="s">
        <v>1388</v>
      </c>
      <c r="I1208" s="375" t="s">
        <v>869</v>
      </c>
      <c r="J1208" s="375">
        <v>59179.508580000002</v>
      </c>
      <c r="K1208" s="375">
        <v>-10219.01052</v>
      </c>
      <c r="L1208" s="375">
        <v>-18913.980179999999</v>
      </c>
      <c r="M1208" s="375">
        <v>89875.744579999999</v>
      </c>
      <c r="N1208" s="372">
        <v>1.028</v>
      </c>
      <c r="O1208" s="703">
        <v>30.376182971326315</v>
      </c>
      <c r="P1208" s="375" t="s">
        <v>623</v>
      </c>
      <c r="Q1208" s="372" t="s">
        <v>623</v>
      </c>
      <c r="R1208" s="695">
        <v>20000425</v>
      </c>
      <c r="S1208" s="372" t="s">
        <v>8307</v>
      </c>
      <c r="T1208" s="696" t="s">
        <v>772</v>
      </c>
      <c r="U1208" s="372" t="s">
        <v>8308</v>
      </c>
      <c r="V1208" s="722" t="s">
        <v>774</v>
      </c>
      <c r="W1208" s="722">
        <v>1.61</v>
      </c>
      <c r="X1208" s="722">
        <v>2.25</v>
      </c>
      <c r="Y1208" s="722" t="s">
        <v>774</v>
      </c>
      <c r="Z1208" s="382" t="s">
        <v>934</v>
      </c>
      <c r="AA1208" s="372">
        <v>584.49522460000003</v>
      </c>
      <c r="AB1208" s="372">
        <v>812.28449880000005</v>
      </c>
      <c r="AC1208" s="372">
        <v>742.14714549999997</v>
      </c>
      <c r="AD1208" s="372">
        <v>591.79508580000004</v>
      </c>
      <c r="AE1208" s="372">
        <v>0</v>
      </c>
      <c r="AF1208" s="372">
        <v>0</v>
      </c>
      <c r="AG1208" s="372">
        <v>0</v>
      </c>
      <c r="AH1208" s="372">
        <v>0</v>
      </c>
    </row>
    <row r="1209" spans="1:34">
      <c r="A1209" s="372" t="s">
        <v>8309</v>
      </c>
      <c r="B1209" s="373" t="s">
        <v>8310</v>
      </c>
      <c r="C1209" s="372" t="s">
        <v>8311</v>
      </c>
      <c r="D1209" s="374">
        <v>1348110001256</v>
      </c>
      <c r="E1209" s="372" t="s">
        <v>8312</v>
      </c>
      <c r="F1209" s="372" t="s">
        <v>7872</v>
      </c>
      <c r="G1209" s="375" t="s">
        <v>8313</v>
      </c>
      <c r="H1209" s="375" t="s">
        <v>853</v>
      </c>
      <c r="I1209" s="375" t="s">
        <v>755</v>
      </c>
      <c r="J1209" s="375">
        <v>184299.57620000001</v>
      </c>
      <c r="K1209" s="375">
        <v>2010.104</v>
      </c>
      <c r="L1209" s="375">
        <v>1698.0699300000001</v>
      </c>
      <c r="M1209" s="375">
        <v>82244.765759999995</v>
      </c>
      <c r="N1209" s="372">
        <v>0.46700000000000003</v>
      </c>
      <c r="O1209" s="703">
        <v>14.869422693244919</v>
      </c>
      <c r="P1209" s="375" t="s">
        <v>623</v>
      </c>
      <c r="Q1209" s="375" t="s">
        <v>623</v>
      </c>
      <c r="R1209" s="695">
        <v>19750930</v>
      </c>
      <c r="S1209" s="375" t="s">
        <v>8314</v>
      </c>
      <c r="T1209" s="696">
        <v>0.20900000000000002</v>
      </c>
      <c r="U1209" s="372" t="s">
        <v>8315</v>
      </c>
      <c r="V1209" s="722">
        <v>0</v>
      </c>
      <c r="W1209" s="722">
        <v>1.6</v>
      </c>
      <c r="X1209" s="722">
        <v>0</v>
      </c>
      <c r="Y1209" s="722">
        <v>0</v>
      </c>
      <c r="Z1209" s="382" t="s">
        <v>934</v>
      </c>
      <c r="AA1209" s="372">
        <v>1724.4151454</v>
      </c>
      <c r="AB1209" s="372">
        <v>1935.1709980999999</v>
      </c>
      <c r="AC1209" s="372">
        <v>2027.2899044000001</v>
      </c>
      <c r="AD1209" s="372">
        <v>1842.995762</v>
      </c>
      <c r="AE1209" s="372">
        <v>0</v>
      </c>
      <c r="AF1209" s="372">
        <v>0</v>
      </c>
      <c r="AG1209" s="372">
        <v>0</v>
      </c>
      <c r="AH1209" s="372">
        <v>0</v>
      </c>
    </row>
    <row r="1210" spans="1:34">
      <c r="A1210" s="372" t="s">
        <v>8316</v>
      </c>
      <c r="B1210" s="373" t="s">
        <v>8317</v>
      </c>
      <c r="C1210" s="372" t="s">
        <v>8318</v>
      </c>
      <c r="D1210" s="374">
        <v>1345110147171</v>
      </c>
      <c r="E1210" s="372" t="s">
        <v>8319</v>
      </c>
      <c r="F1210" s="372" t="s">
        <v>1285</v>
      </c>
      <c r="G1210" s="375" t="s">
        <v>1285</v>
      </c>
      <c r="H1210" s="375" t="s">
        <v>1388</v>
      </c>
      <c r="I1210" s="375" t="s">
        <v>869</v>
      </c>
      <c r="J1210" s="375">
        <v>79747.736810000002</v>
      </c>
      <c r="K1210" s="375">
        <v>-3197.7582699999998</v>
      </c>
      <c r="L1210" s="375">
        <v>-5379.5490799999998</v>
      </c>
      <c r="M1210" s="375">
        <v>35851.589500000002</v>
      </c>
      <c r="N1210" s="372">
        <v>1.661</v>
      </c>
      <c r="O1210" s="703">
        <v>12.31563953468253</v>
      </c>
      <c r="P1210" s="375" t="s">
        <v>623</v>
      </c>
      <c r="Q1210" s="375" t="s">
        <v>623</v>
      </c>
      <c r="R1210" s="695">
        <v>20170811</v>
      </c>
      <c r="S1210" s="375" t="s">
        <v>8320</v>
      </c>
      <c r="T1210" s="696" t="s">
        <v>772</v>
      </c>
      <c r="U1210" s="372" t="s">
        <v>8321</v>
      </c>
      <c r="V1210" s="722" t="s">
        <v>774</v>
      </c>
      <c r="W1210" s="722">
        <v>3.75</v>
      </c>
      <c r="X1210" s="722">
        <v>1.72</v>
      </c>
      <c r="Y1210" s="722" t="s">
        <v>774</v>
      </c>
      <c r="Z1210" s="382" t="s">
        <v>934</v>
      </c>
      <c r="AA1210" s="372">
        <v>987.49760819999995</v>
      </c>
      <c r="AB1210" s="372">
        <v>1134.2972950000001</v>
      </c>
      <c r="AC1210" s="372">
        <v>1024.4880246</v>
      </c>
      <c r="AD1210" s="372">
        <v>797.47736810000004</v>
      </c>
      <c r="AE1210" s="372">
        <v>1480</v>
      </c>
      <c r="AF1210" s="372">
        <v>0</v>
      </c>
      <c r="AG1210" s="372">
        <v>0</v>
      </c>
      <c r="AH1210" s="372">
        <v>0</v>
      </c>
    </row>
    <row r="1211" spans="1:34">
      <c r="A1211" s="372" t="s">
        <v>8322</v>
      </c>
      <c r="B1211" s="373" t="s">
        <v>8323</v>
      </c>
      <c r="C1211" s="372" t="s">
        <v>8324</v>
      </c>
      <c r="D1211" s="374">
        <v>1601110176572</v>
      </c>
      <c r="E1211" s="372" t="s">
        <v>8325</v>
      </c>
      <c r="F1211" s="375" t="s">
        <v>3151</v>
      </c>
      <c r="G1211" s="375" t="s">
        <v>3151</v>
      </c>
      <c r="H1211" s="375" t="s">
        <v>868</v>
      </c>
      <c r="I1211" s="375" t="s">
        <v>869</v>
      </c>
      <c r="J1211" s="375">
        <v>14496.957780000001</v>
      </c>
      <c r="K1211" s="375">
        <v>-2995.9202300000002</v>
      </c>
      <c r="L1211" s="375">
        <v>-2851.7774899999999</v>
      </c>
      <c r="M1211" s="375">
        <v>-6444.4918500000003</v>
      </c>
      <c r="N1211" s="372" t="s">
        <v>1033</v>
      </c>
      <c r="O1211" s="703">
        <v>19.115861205535584</v>
      </c>
      <c r="P1211" s="375" t="s">
        <v>16142</v>
      </c>
      <c r="Q1211" s="372" t="s">
        <v>16145</v>
      </c>
      <c r="R1211" s="695">
        <v>20171226</v>
      </c>
      <c r="S1211" s="372" t="s">
        <v>8326</v>
      </c>
      <c r="T1211" s="696" t="s">
        <v>772</v>
      </c>
      <c r="U1211" s="372" t="s">
        <v>8327</v>
      </c>
      <c r="V1211" s="722" t="s">
        <v>774</v>
      </c>
      <c r="W1211" s="722" t="s">
        <v>774</v>
      </c>
      <c r="X1211" s="722">
        <v>9.11</v>
      </c>
      <c r="Y1211" s="722" t="s">
        <v>774</v>
      </c>
      <c r="Z1211" s="382" t="s">
        <v>934</v>
      </c>
      <c r="AA1211" s="372">
        <v>196.00403610000001</v>
      </c>
      <c r="AB1211" s="372">
        <v>169.69391150000001</v>
      </c>
      <c r="AC1211" s="372">
        <v>265.38567310000002</v>
      </c>
      <c r="AD1211" s="372">
        <v>144.9695778</v>
      </c>
      <c r="AE1211" s="372">
        <v>0</v>
      </c>
      <c r="AF1211" s="372">
        <v>0</v>
      </c>
      <c r="AG1211" s="372">
        <v>0</v>
      </c>
      <c r="AH1211" s="372">
        <v>0</v>
      </c>
    </row>
    <row r="1212" spans="1:34">
      <c r="A1212" s="372" t="s">
        <v>8328</v>
      </c>
      <c r="B1212" s="373" t="s">
        <v>8329</v>
      </c>
      <c r="C1212" s="372" t="s">
        <v>8330</v>
      </c>
      <c r="D1212" s="374">
        <v>1101111549786</v>
      </c>
      <c r="E1212" s="372" t="s">
        <v>8331</v>
      </c>
      <c r="F1212" s="375" t="s">
        <v>2055</v>
      </c>
      <c r="G1212" s="375" t="s">
        <v>2056</v>
      </c>
      <c r="H1212" s="375" t="s">
        <v>1547</v>
      </c>
      <c r="I1212" s="375" t="s">
        <v>869</v>
      </c>
      <c r="J1212" s="375">
        <v>241315.82044000001</v>
      </c>
      <c r="K1212" s="375">
        <v>-297.20778999999999</v>
      </c>
      <c r="L1212" s="375">
        <v>-25763.763989999999</v>
      </c>
      <c r="M1212" s="375">
        <v>342544.7807</v>
      </c>
      <c r="N1212" s="372">
        <v>1.0369999999999999</v>
      </c>
      <c r="O1212" s="703">
        <v>23.353012822444271</v>
      </c>
      <c r="P1212" s="375" t="s">
        <v>16142</v>
      </c>
      <c r="Q1212" s="372" t="s">
        <v>16145</v>
      </c>
      <c r="R1212" s="695">
        <v>20021220</v>
      </c>
      <c r="S1212" s="372" t="s">
        <v>8332</v>
      </c>
      <c r="T1212" s="696" t="s">
        <v>772</v>
      </c>
      <c r="U1212" s="372" t="s">
        <v>8333</v>
      </c>
      <c r="V1212" s="722">
        <v>8.64</v>
      </c>
      <c r="W1212" s="722">
        <v>0.49</v>
      </c>
      <c r="X1212" s="722">
        <v>0.51</v>
      </c>
      <c r="Y1212" s="722" t="s">
        <v>774</v>
      </c>
      <c r="Z1212" s="382" t="s">
        <v>934</v>
      </c>
      <c r="AA1212" s="372">
        <v>467.40870589999997</v>
      </c>
      <c r="AB1212" s="372">
        <v>1491.1004144999999</v>
      </c>
      <c r="AC1212" s="372">
        <v>1925.4218913</v>
      </c>
      <c r="AD1212" s="372">
        <v>2413.1582044000002</v>
      </c>
      <c r="AE1212" s="372">
        <v>0</v>
      </c>
      <c r="AF1212" s="372">
        <v>0</v>
      </c>
      <c r="AG1212" s="372">
        <v>0</v>
      </c>
      <c r="AH1212" s="372">
        <v>0</v>
      </c>
    </row>
    <row r="1213" spans="1:34">
      <c r="A1213" s="372" t="s">
        <v>8334</v>
      </c>
      <c r="B1213" s="373" t="s">
        <v>8335</v>
      </c>
      <c r="C1213" s="372" t="s">
        <v>8336</v>
      </c>
      <c r="D1213" s="374">
        <v>1350110119749</v>
      </c>
      <c r="E1213" s="372" t="s">
        <v>8337</v>
      </c>
      <c r="F1213" s="375" t="s">
        <v>7108</v>
      </c>
      <c r="G1213" s="375" t="s">
        <v>8338</v>
      </c>
      <c r="H1213" s="375" t="s">
        <v>868</v>
      </c>
      <c r="I1213" s="375" t="s">
        <v>869</v>
      </c>
      <c r="J1213" s="375">
        <v>86873.727989999999</v>
      </c>
      <c r="K1213" s="375">
        <v>6353.0999400000001</v>
      </c>
      <c r="L1213" s="375">
        <v>3524.8259600000001</v>
      </c>
      <c r="M1213" s="375">
        <v>57474.227639999997</v>
      </c>
      <c r="N1213" s="372">
        <v>1.081</v>
      </c>
      <c r="O1213" s="703">
        <v>39.434137051660727</v>
      </c>
      <c r="P1213" s="375" t="s">
        <v>623</v>
      </c>
      <c r="Q1213" s="375" t="s">
        <v>623</v>
      </c>
      <c r="R1213" s="695">
        <v>20211007</v>
      </c>
      <c r="S1213" s="375" t="s">
        <v>8339</v>
      </c>
      <c r="T1213" s="696">
        <v>0.20900000000000002</v>
      </c>
      <c r="U1213" s="372" t="s">
        <v>8340</v>
      </c>
      <c r="V1213" s="722">
        <v>18.420000000000002</v>
      </c>
      <c r="W1213" s="722">
        <v>2.33</v>
      </c>
      <c r="X1213" s="722">
        <v>1.6</v>
      </c>
      <c r="Y1213" s="722">
        <v>38.83</v>
      </c>
      <c r="Z1213" s="382" t="s">
        <v>934</v>
      </c>
      <c r="AA1213" s="372">
        <v>447.96833270000002</v>
      </c>
      <c r="AB1213" s="372">
        <v>588.94552599999997</v>
      </c>
      <c r="AC1213" s="372">
        <v>886.5576757</v>
      </c>
      <c r="AD1213" s="372">
        <v>868.73727989999998</v>
      </c>
      <c r="AE1213" s="372">
        <v>1267</v>
      </c>
      <c r="AF1213" s="372">
        <v>1729</v>
      </c>
      <c r="AG1213" s="372">
        <v>0</v>
      </c>
      <c r="AH1213" s="372">
        <v>0</v>
      </c>
    </row>
    <row r="1214" spans="1:34">
      <c r="A1214" s="372" t="s">
        <v>8341</v>
      </c>
      <c r="B1214" s="373" t="s">
        <v>8342</v>
      </c>
      <c r="C1214" s="372" t="s">
        <v>8343</v>
      </c>
      <c r="D1214" s="374">
        <v>1341110000400</v>
      </c>
      <c r="E1214" s="372" t="s">
        <v>8344</v>
      </c>
      <c r="F1214" s="375" t="s">
        <v>5414</v>
      </c>
      <c r="G1214" s="375" t="s">
        <v>8345</v>
      </c>
      <c r="H1214" s="375" t="s">
        <v>868</v>
      </c>
      <c r="I1214" s="375" t="s">
        <v>869</v>
      </c>
      <c r="J1214" s="375">
        <v>150194.75768000001</v>
      </c>
      <c r="K1214" s="375">
        <v>-2030.5921900000001</v>
      </c>
      <c r="L1214" s="375">
        <v>-1518.4352699999999</v>
      </c>
      <c r="M1214" s="375">
        <v>142269.14676999999</v>
      </c>
      <c r="N1214" s="372" t="s">
        <v>1033</v>
      </c>
      <c r="O1214" s="703">
        <v>31.573047921313389</v>
      </c>
      <c r="P1214" s="375" t="s">
        <v>16142</v>
      </c>
      <c r="Q1214" s="372" t="s">
        <v>16145</v>
      </c>
      <c r="R1214" s="695">
        <v>19931222</v>
      </c>
      <c r="S1214" s="375" t="s">
        <v>8346</v>
      </c>
      <c r="T1214" s="696" t="s">
        <v>772</v>
      </c>
      <c r="U1214" s="372" t="s">
        <v>5799</v>
      </c>
      <c r="V1214" s="722">
        <v>19.5</v>
      </c>
      <c r="W1214" s="722">
        <v>0.79</v>
      </c>
      <c r="X1214" s="722">
        <v>0.77</v>
      </c>
      <c r="Y1214" s="722">
        <v>2528.59</v>
      </c>
      <c r="Z1214" s="382" t="s">
        <v>934</v>
      </c>
      <c r="AA1214" s="372">
        <v>2140.2456354999999</v>
      </c>
      <c r="AB1214" s="372">
        <v>1275.5743084999999</v>
      </c>
      <c r="AC1214" s="372">
        <v>1233.4109605000001</v>
      </c>
      <c r="AD1214" s="372">
        <v>1501.9475768</v>
      </c>
      <c r="AE1214" s="372">
        <v>0</v>
      </c>
      <c r="AF1214" s="372">
        <v>0</v>
      </c>
      <c r="AG1214" s="372">
        <v>0</v>
      </c>
      <c r="AH1214" s="372">
        <v>0</v>
      </c>
    </row>
    <row r="1215" spans="1:34">
      <c r="A1215" s="372" t="s">
        <v>8347</v>
      </c>
      <c r="B1215" s="373" t="s">
        <v>8348</v>
      </c>
      <c r="C1215" s="372" t="s">
        <v>8349</v>
      </c>
      <c r="D1215" s="374">
        <v>1801110796665</v>
      </c>
      <c r="E1215" s="372" t="s">
        <v>8350</v>
      </c>
      <c r="F1215" s="375" t="s">
        <v>5674</v>
      </c>
      <c r="G1215" s="375" t="s">
        <v>5674</v>
      </c>
      <c r="H1215" s="375" t="s">
        <v>868</v>
      </c>
      <c r="I1215" s="375" t="s">
        <v>869</v>
      </c>
      <c r="J1215" s="375">
        <v>0</v>
      </c>
      <c r="K1215" s="375">
        <v>0</v>
      </c>
      <c r="L1215" s="375">
        <v>0</v>
      </c>
      <c r="M1215" s="375">
        <v>54917.000110000001</v>
      </c>
      <c r="N1215" s="372" t="s">
        <v>1033</v>
      </c>
      <c r="O1215" s="703">
        <v>7.6921827607721998</v>
      </c>
      <c r="P1215" s="375" t="s">
        <v>623</v>
      </c>
      <c r="Q1215" s="372" t="s">
        <v>623</v>
      </c>
      <c r="R1215" s="695">
        <v>20231124</v>
      </c>
      <c r="S1215" s="375" t="s">
        <v>8351</v>
      </c>
      <c r="T1215" s="696" t="s">
        <v>772</v>
      </c>
      <c r="U1215" s="372" t="s">
        <v>8352</v>
      </c>
      <c r="V1215" s="722">
        <v>0</v>
      </c>
      <c r="W1215" s="722">
        <v>2.87</v>
      </c>
      <c r="X1215" s="722">
        <v>0</v>
      </c>
      <c r="Y1215" s="722">
        <v>0</v>
      </c>
      <c r="Z1215" s="382" t="s">
        <v>934</v>
      </c>
      <c r="AA1215" s="372">
        <v>212.25830780000001</v>
      </c>
      <c r="AB1215" s="372">
        <v>271.99896999999999</v>
      </c>
      <c r="AC1215" s="372">
        <v>409.71122320000001</v>
      </c>
      <c r="AD1215" s="372">
        <v>477.52548300000001</v>
      </c>
      <c r="AE1215" s="372">
        <v>0</v>
      </c>
      <c r="AF1215" s="372">
        <v>0</v>
      </c>
      <c r="AG1215" s="372">
        <v>0</v>
      </c>
      <c r="AH1215" s="372">
        <v>0</v>
      </c>
    </row>
    <row r="1216" spans="1:34">
      <c r="A1216" s="372" t="s">
        <v>8353</v>
      </c>
      <c r="B1216" s="373" t="s">
        <v>8354</v>
      </c>
      <c r="C1216" s="372" t="s">
        <v>8355</v>
      </c>
      <c r="D1216" s="374">
        <v>1301110057421</v>
      </c>
      <c r="E1216" s="372" t="s">
        <v>8356</v>
      </c>
      <c r="F1216" s="372" t="s">
        <v>786</v>
      </c>
      <c r="G1216" s="375" t="s">
        <v>787</v>
      </c>
      <c r="H1216" s="375" t="s">
        <v>868</v>
      </c>
      <c r="I1216" s="375" t="s">
        <v>869</v>
      </c>
      <c r="J1216" s="375">
        <v>12461.714309999999</v>
      </c>
      <c r="K1216" s="375">
        <v>-5031.91338</v>
      </c>
      <c r="L1216" s="375">
        <v>-1249.0123599999999</v>
      </c>
      <c r="M1216" s="375">
        <v>42190.126149999996</v>
      </c>
      <c r="N1216" s="372">
        <v>0.91200000000000003</v>
      </c>
      <c r="O1216" s="703">
        <v>23.648434461223552</v>
      </c>
      <c r="P1216" s="375" t="s">
        <v>623</v>
      </c>
      <c r="Q1216" s="372" t="s">
        <v>623</v>
      </c>
      <c r="R1216" s="695">
        <v>20180820</v>
      </c>
      <c r="S1216" s="372" t="s">
        <v>8357</v>
      </c>
      <c r="T1216" s="696" t="s">
        <v>772</v>
      </c>
      <c r="U1216" s="372" t="s">
        <v>8358</v>
      </c>
      <c r="V1216" s="722">
        <v>0</v>
      </c>
      <c r="W1216" s="722">
        <v>3.74</v>
      </c>
      <c r="X1216" s="722">
        <v>0</v>
      </c>
      <c r="Y1216" s="722">
        <v>0</v>
      </c>
      <c r="Z1216" s="382" t="s">
        <v>934</v>
      </c>
      <c r="AA1216" s="372">
        <v>77.441934599999996</v>
      </c>
      <c r="AB1216" s="372">
        <v>118.0225902</v>
      </c>
      <c r="AC1216" s="372">
        <v>101.016426</v>
      </c>
      <c r="AD1216" s="372">
        <v>124.61714310000001</v>
      </c>
      <c r="AE1216" s="372">
        <v>0</v>
      </c>
      <c r="AF1216" s="372">
        <v>0</v>
      </c>
      <c r="AG1216" s="372">
        <v>0</v>
      </c>
      <c r="AH1216" s="372">
        <v>0</v>
      </c>
    </row>
    <row r="1217" spans="1:34">
      <c r="A1217" s="372" t="s">
        <v>8359</v>
      </c>
      <c r="B1217" s="373" t="s">
        <v>8360</v>
      </c>
      <c r="C1217" s="372" t="s">
        <v>8361</v>
      </c>
      <c r="D1217" s="374">
        <v>1801110000537</v>
      </c>
      <c r="E1217" s="372" t="s">
        <v>8362</v>
      </c>
      <c r="F1217" s="375" t="s">
        <v>4871</v>
      </c>
      <c r="G1217" s="375" t="s">
        <v>4872</v>
      </c>
      <c r="H1217" s="375" t="s">
        <v>832</v>
      </c>
      <c r="I1217" s="375" t="s">
        <v>755</v>
      </c>
      <c r="J1217" s="375">
        <v>409234.73556</v>
      </c>
      <c r="K1217" s="375">
        <v>47989.880019999997</v>
      </c>
      <c r="L1217" s="375">
        <v>60645.118900000001</v>
      </c>
      <c r="M1217" s="375">
        <v>364859.82023000001</v>
      </c>
      <c r="N1217" s="372">
        <v>0.57399999999999995</v>
      </c>
      <c r="O1217" s="703">
        <v>11.322391241313147</v>
      </c>
      <c r="P1217" s="375" t="s">
        <v>623</v>
      </c>
      <c r="Q1217" s="372" t="s">
        <v>623</v>
      </c>
      <c r="R1217" s="695">
        <v>19890927</v>
      </c>
      <c r="S1217" s="372" t="s">
        <v>8363</v>
      </c>
      <c r="T1217" s="696">
        <v>0.23100000000000001</v>
      </c>
      <c r="U1217" s="372" t="s">
        <v>8364</v>
      </c>
      <c r="V1217" s="722">
        <v>2.4300000000000002</v>
      </c>
      <c r="W1217" s="722">
        <v>0.33</v>
      </c>
      <c r="X1217" s="722">
        <v>0.3</v>
      </c>
      <c r="Y1217" s="722">
        <v>2.62</v>
      </c>
      <c r="Z1217" s="382" t="s">
        <v>934</v>
      </c>
      <c r="AA1217" s="372">
        <v>2775.7823492000002</v>
      </c>
      <c r="AB1217" s="372">
        <v>4062.9267273</v>
      </c>
      <c r="AC1217" s="372">
        <v>4187.8969004999999</v>
      </c>
      <c r="AD1217" s="372">
        <v>4092.3473555999999</v>
      </c>
      <c r="AE1217" s="372">
        <v>0</v>
      </c>
      <c r="AF1217" s="372">
        <v>0</v>
      </c>
      <c r="AG1217" s="372">
        <v>0</v>
      </c>
      <c r="AH1217" s="372">
        <v>0</v>
      </c>
    </row>
    <row r="1218" spans="1:34">
      <c r="A1218" s="372" t="s">
        <v>8365</v>
      </c>
      <c r="B1218" s="373" t="s">
        <v>8366</v>
      </c>
      <c r="C1218" s="372" t="s">
        <v>8367</v>
      </c>
      <c r="D1218" s="374">
        <v>1101116110045</v>
      </c>
      <c r="E1218" s="372" t="s">
        <v>8368</v>
      </c>
      <c r="F1218" s="375" t="s">
        <v>1915</v>
      </c>
      <c r="G1218" s="375" t="s">
        <v>8369</v>
      </c>
      <c r="H1218" s="375" t="s">
        <v>1327</v>
      </c>
      <c r="I1218" s="375" t="s">
        <v>755</v>
      </c>
      <c r="J1218" s="375">
        <v>383426.04074000003</v>
      </c>
      <c r="K1218" s="375">
        <v>9846.4520599999996</v>
      </c>
      <c r="L1218" s="375">
        <v>11556.38571</v>
      </c>
      <c r="M1218" s="375">
        <v>236475.37552</v>
      </c>
      <c r="N1218" s="372">
        <v>0.78900000000000003</v>
      </c>
      <c r="O1218" s="703">
        <v>58.587478928084927</v>
      </c>
      <c r="P1218" s="375" t="s">
        <v>623</v>
      </c>
      <c r="Q1218" s="372" t="s">
        <v>623</v>
      </c>
      <c r="R1218" s="695">
        <v>20160809</v>
      </c>
      <c r="S1218" s="372" t="s">
        <v>8370</v>
      </c>
      <c r="T1218" s="696">
        <v>0.20900000000000002</v>
      </c>
      <c r="U1218" s="375" t="s">
        <v>7975</v>
      </c>
      <c r="V1218" s="722">
        <v>5.31</v>
      </c>
      <c r="W1218" s="722">
        <v>0.53</v>
      </c>
      <c r="X1218" s="722">
        <v>0.33</v>
      </c>
      <c r="Y1218" s="722">
        <v>12.05</v>
      </c>
      <c r="Z1218" s="382" t="s">
        <v>934</v>
      </c>
      <c r="AA1218" s="372">
        <v>3189.4877895999998</v>
      </c>
      <c r="AB1218" s="372">
        <v>3487.0105431000002</v>
      </c>
      <c r="AC1218" s="372">
        <v>3711.9828096000001</v>
      </c>
      <c r="AD1218" s="372">
        <v>3834.2604074000001</v>
      </c>
      <c r="AE1218" s="372">
        <v>0</v>
      </c>
      <c r="AF1218" s="372">
        <v>0</v>
      </c>
      <c r="AG1218" s="372">
        <v>0</v>
      </c>
      <c r="AH1218" s="372">
        <v>0</v>
      </c>
    </row>
    <row r="1219" spans="1:34">
      <c r="A1219" s="372" t="s">
        <v>8371</v>
      </c>
      <c r="B1219" s="373" t="s">
        <v>8372</v>
      </c>
      <c r="C1219" s="372" t="s">
        <v>8373</v>
      </c>
      <c r="D1219" s="374">
        <v>1341110106357</v>
      </c>
      <c r="E1219" s="372" t="s">
        <v>8374</v>
      </c>
      <c r="F1219" s="372" t="s">
        <v>1985</v>
      </c>
      <c r="G1219" s="375" t="s">
        <v>1985</v>
      </c>
      <c r="H1219" s="375" t="s">
        <v>868</v>
      </c>
      <c r="I1219" s="375" t="s">
        <v>869</v>
      </c>
      <c r="J1219" s="375">
        <v>340051.60800000001</v>
      </c>
      <c r="K1219" s="375">
        <v>23880.060099999999</v>
      </c>
      <c r="L1219" s="375">
        <v>23677.4401</v>
      </c>
      <c r="M1219" s="375">
        <v>74140.571219999998</v>
      </c>
      <c r="N1219" s="372">
        <v>1.2110000000000001</v>
      </c>
      <c r="O1219" s="703">
        <v>48.967287381337485</v>
      </c>
      <c r="P1219" s="375" t="s">
        <v>623</v>
      </c>
      <c r="Q1219" s="372" t="s">
        <v>623</v>
      </c>
      <c r="R1219" s="695">
        <v>20170920</v>
      </c>
      <c r="S1219" s="372" t="s">
        <v>8375</v>
      </c>
      <c r="T1219" s="696">
        <v>0.23100000000000001</v>
      </c>
      <c r="U1219" s="375" t="s">
        <v>8376</v>
      </c>
      <c r="V1219" s="722">
        <v>5.01</v>
      </c>
      <c r="W1219" s="722">
        <v>1.83</v>
      </c>
      <c r="X1219" s="722">
        <v>0.42</v>
      </c>
      <c r="Y1219" s="722">
        <v>7.09</v>
      </c>
      <c r="Z1219" s="382" t="s">
        <v>934</v>
      </c>
      <c r="AA1219" s="372">
        <v>1585.4080469999999</v>
      </c>
      <c r="AB1219" s="372">
        <v>764.8180476</v>
      </c>
      <c r="AC1219" s="372">
        <v>1166.1160364</v>
      </c>
      <c r="AD1219" s="372">
        <v>3400.5160799999999</v>
      </c>
      <c r="AE1219" s="372">
        <v>3495</v>
      </c>
      <c r="AF1219" s="372">
        <v>3995</v>
      </c>
      <c r="AG1219" s="372">
        <v>0</v>
      </c>
      <c r="AH1219" s="372">
        <v>0</v>
      </c>
    </row>
    <row r="1220" spans="1:34">
      <c r="A1220" s="372" t="s">
        <v>8377</v>
      </c>
      <c r="B1220" s="373" t="s">
        <v>8378</v>
      </c>
      <c r="C1220" s="372" t="s">
        <v>8379</v>
      </c>
      <c r="D1220" s="374">
        <v>1311110056480</v>
      </c>
      <c r="E1220" s="372" t="s">
        <v>8380</v>
      </c>
      <c r="F1220" s="375" t="s">
        <v>887</v>
      </c>
      <c r="G1220" s="375" t="s">
        <v>887</v>
      </c>
      <c r="H1220" s="375" t="s">
        <v>868</v>
      </c>
      <c r="I1220" s="375" t="s">
        <v>869</v>
      </c>
      <c r="J1220" s="375">
        <v>95369.711649999997</v>
      </c>
      <c r="K1220" s="375">
        <v>5220.7580099999996</v>
      </c>
      <c r="L1220" s="375">
        <v>2689.1491700000001</v>
      </c>
      <c r="M1220" s="375">
        <v>125108.65240000001</v>
      </c>
      <c r="N1220" s="372">
        <v>1.234</v>
      </c>
      <c r="O1220" s="703">
        <v>9.257043437059572</v>
      </c>
      <c r="P1220" s="375" t="s">
        <v>623</v>
      </c>
      <c r="Q1220" s="372" t="s">
        <v>623</v>
      </c>
      <c r="R1220" s="695">
        <v>20090929</v>
      </c>
      <c r="S1220" s="375" t="s">
        <v>8381</v>
      </c>
      <c r="T1220" s="696">
        <v>0.20900000000000002</v>
      </c>
      <c r="U1220" s="375" t="s">
        <v>8382</v>
      </c>
      <c r="V1220" s="722">
        <v>13.12</v>
      </c>
      <c r="W1220" s="722">
        <v>1.08</v>
      </c>
      <c r="X1220" s="722">
        <v>1.21</v>
      </c>
      <c r="Y1220" s="722">
        <v>56.09</v>
      </c>
      <c r="Z1220" s="382" t="s">
        <v>934</v>
      </c>
      <c r="AA1220" s="372">
        <v>278.84159119999998</v>
      </c>
      <c r="AB1220" s="372">
        <v>718.31826390000003</v>
      </c>
      <c r="AC1220" s="372">
        <v>995.81713539999998</v>
      </c>
      <c r="AD1220" s="372">
        <v>953.69711649999999</v>
      </c>
      <c r="AE1220" s="372">
        <v>0</v>
      </c>
      <c r="AF1220" s="372">
        <v>0</v>
      </c>
      <c r="AG1220" s="372">
        <v>0</v>
      </c>
      <c r="AH1220" s="372">
        <v>0</v>
      </c>
    </row>
    <row r="1221" spans="1:34">
      <c r="A1221" s="372" t="s">
        <v>8383</v>
      </c>
      <c r="B1221" s="373" t="s">
        <v>8384</v>
      </c>
      <c r="C1221" s="372" t="s">
        <v>8385</v>
      </c>
      <c r="D1221" s="374">
        <v>2062110001540</v>
      </c>
      <c r="E1221" s="372" t="s">
        <v>8386</v>
      </c>
      <c r="F1221" s="375" t="s">
        <v>8387</v>
      </c>
      <c r="G1221" s="375" t="s">
        <v>8387</v>
      </c>
      <c r="H1221" s="375" t="s">
        <v>1348</v>
      </c>
      <c r="I1221" s="375" t="s">
        <v>869</v>
      </c>
      <c r="J1221" s="375">
        <v>121396.16127</v>
      </c>
      <c r="K1221" s="375">
        <v>32121.34217</v>
      </c>
      <c r="L1221" s="375">
        <v>30506.614890000001</v>
      </c>
      <c r="M1221" s="375">
        <v>250838.16334</v>
      </c>
      <c r="N1221" s="372">
        <v>0.88600000000000001</v>
      </c>
      <c r="O1221" s="703">
        <v>61.390525389476103</v>
      </c>
      <c r="P1221" s="375" t="s">
        <v>623</v>
      </c>
      <c r="Q1221" s="375" t="s">
        <v>623</v>
      </c>
      <c r="R1221" s="695">
        <v>20051223</v>
      </c>
      <c r="S1221" s="375" t="s">
        <v>8388</v>
      </c>
      <c r="T1221" s="696">
        <v>0.23100000000000001</v>
      </c>
      <c r="U1221" s="372" t="s">
        <v>8389</v>
      </c>
      <c r="V1221" s="722">
        <v>3.73</v>
      </c>
      <c r="W1221" s="722">
        <v>0.52</v>
      </c>
      <c r="X1221" s="722">
        <v>1.0900000000000001</v>
      </c>
      <c r="Y1221" s="722">
        <v>5.49</v>
      </c>
      <c r="Z1221" s="382" t="s">
        <v>934</v>
      </c>
      <c r="AA1221" s="372">
        <v>1060.3365533000001</v>
      </c>
      <c r="AB1221" s="372">
        <v>1117.8891060000001</v>
      </c>
      <c r="AC1221" s="372">
        <v>1238.0255161</v>
      </c>
      <c r="AD1221" s="372">
        <v>1213.9616126999999</v>
      </c>
      <c r="AE1221" s="372">
        <v>1406</v>
      </c>
      <c r="AF1221" s="372">
        <v>1469</v>
      </c>
      <c r="AG1221" s="372">
        <v>0</v>
      </c>
      <c r="AH1221" s="372">
        <v>0</v>
      </c>
    </row>
    <row r="1222" spans="1:34">
      <c r="A1222" s="372" t="s">
        <v>8390</v>
      </c>
      <c r="B1222" s="373" t="s">
        <v>8391</v>
      </c>
      <c r="C1222" s="372" t="s">
        <v>8392</v>
      </c>
      <c r="D1222" s="374">
        <v>1101112683179</v>
      </c>
      <c r="E1222" s="372" t="s">
        <v>8393</v>
      </c>
      <c r="F1222" s="375" t="s">
        <v>1381</v>
      </c>
      <c r="G1222" s="375" t="s">
        <v>1381</v>
      </c>
      <c r="H1222" s="375" t="s">
        <v>1693</v>
      </c>
      <c r="I1222" s="375" t="s">
        <v>869</v>
      </c>
      <c r="J1222" s="375">
        <v>92018.605209999994</v>
      </c>
      <c r="K1222" s="375">
        <v>5773.8909199999998</v>
      </c>
      <c r="L1222" s="375">
        <v>23445.958070000001</v>
      </c>
      <c r="M1222" s="375">
        <v>134009.62323999999</v>
      </c>
      <c r="N1222" s="372">
        <v>1.115</v>
      </c>
      <c r="O1222" s="703">
        <v>2.9301872808914871</v>
      </c>
      <c r="P1222" s="375" t="s">
        <v>623</v>
      </c>
      <c r="Q1222" s="375" t="s">
        <v>623</v>
      </c>
      <c r="R1222" s="695">
        <v>20100526</v>
      </c>
      <c r="S1222" s="375" t="s">
        <v>8394</v>
      </c>
      <c r="T1222" s="696">
        <v>0.23100000000000001</v>
      </c>
      <c r="U1222" s="375" t="s">
        <v>8395</v>
      </c>
      <c r="V1222" s="722">
        <v>15.25</v>
      </c>
      <c r="W1222" s="722">
        <v>0.94</v>
      </c>
      <c r="X1222" s="722">
        <v>1.37</v>
      </c>
      <c r="Y1222" s="722">
        <v>6.59</v>
      </c>
      <c r="Z1222" s="382" t="s">
        <v>934</v>
      </c>
      <c r="AA1222" s="372">
        <v>700.69398669999998</v>
      </c>
      <c r="AB1222" s="372">
        <v>781.69939460000001</v>
      </c>
      <c r="AC1222" s="372">
        <v>882.86336630000005</v>
      </c>
      <c r="AD1222" s="372">
        <v>920.18605209999998</v>
      </c>
      <c r="AE1222" s="372">
        <v>0</v>
      </c>
      <c r="AF1222" s="372">
        <v>0</v>
      </c>
      <c r="AG1222" s="372">
        <v>0</v>
      </c>
      <c r="AH1222" s="372">
        <v>0</v>
      </c>
    </row>
    <row r="1223" spans="1:34">
      <c r="A1223" s="372" t="s">
        <v>8396</v>
      </c>
      <c r="B1223" s="373" t="s">
        <v>8397</v>
      </c>
      <c r="C1223" s="372" t="s">
        <v>8398</v>
      </c>
      <c r="D1223" s="374">
        <v>1244110000662</v>
      </c>
      <c r="E1223" s="372" t="s">
        <v>8399</v>
      </c>
      <c r="F1223" s="372" t="s">
        <v>4879</v>
      </c>
      <c r="G1223" s="375" t="s">
        <v>4879</v>
      </c>
      <c r="H1223" s="375" t="s">
        <v>1327</v>
      </c>
      <c r="I1223" s="375" t="s">
        <v>755</v>
      </c>
      <c r="J1223" s="375">
        <v>678497.88688999997</v>
      </c>
      <c r="K1223" s="375">
        <v>38636.74035</v>
      </c>
      <c r="L1223" s="375">
        <v>16584.865890000001</v>
      </c>
      <c r="M1223" s="375">
        <v>242629.19531000001</v>
      </c>
      <c r="N1223" s="372">
        <v>1.0429999999999999</v>
      </c>
      <c r="O1223" s="703">
        <v>93.385759906134354</v>
      </c>
      <c r="P1223" s="375" t="s">
        <v>623</v>
      </c>
      <c r="Q1223" s="372" t="s">
        <v>623</v>
      </c>
      <c r="R1223" s="695">
        <v>19890624</v>
      </c>
      <c r="S1223" s="372" t="s">
        <v>8400</v>
      </c>
      <c r="T1223" s="696">
        <v>0.20900000000000002</v>
      </c>
      <c r="U1223" s="372" t="s">
        <v>8401</v>
      </c>
      <c r="V1223" s="722">
        <v>5.0999999999999996</v>
      </c>
      <c r="W1223" s="722">
        <v>0.56000000000000005</v>
      </c>
      <c r="X1223" s="722">
        <v>0.2</v>
      </c>
      <c r="Y1223" s="722">
        <v>12.55</v>
      </c>
      <c r="Z1223" s="382" t="s">
        <v>934</v>
      </c>
      <c r="AA1223" s="372">
        <v>3876.0362009</v>
      </c>
      <c r="AB1223" s="372">
        <v>4121.3956076000004</v>
      </c>
      <c r="AC1223" s="372">
        <v>6315.6723318000004</v>
      </c>
      <c r="AD1223" s="372">
        <v>6784.9788688999997</v>
      </c>
      <c r="AE1223" s="372">
        <v>0</v>
      </c>
      <c r="AF1223" s="372">
        <v>0</v>
      </c>
      <c r="AG1223" s="372">
        <v>0</v>
      </c>
      <c r="AH1223" s="372">
        <v>0</v>
      </c>
    </row>
    <row r="1224" spans="1:34">
      <c r="A1224" s="372" t="s">
        <v>8402</v>
      </c>
      <c r="B1224" s="373" t="s">
        <v>8403</v>
      </c>
      <c r="C1224" s="372" t="s">
        <v>8404</v>
      </c>
      <c r="D1224" s="374">
        <v>1801110051770</v>
      </c>
      <c r="E1224" s="372" t="s">
        <v>8405</v>
      </c>
      <c r="F1224" s="375" t="s">
        <v>1144</v>
      </c>
      <c r="G1224" s="375" t="s">
        <v>3158</v>
      </c>
      <c r="H1224" s="375" t="s">
        <v>868</v>
      </c>
      <c r="I1224" s="375" t="s">
        <v>869</v>
      </c>
      <c r="J1224" s="375">
        <v>590659.69324000005</v>
      </c>
      <c r="K1224" s="375">
        <v>40953.906750000002</v>
      </c>
      <c r="L1224" s="375">
        <v>41077.118280000002</v>
      </c>
      <c r="M1224" s="375">
        <v>253983.01303</v>
      </c>
      <c r="N1224" s="372">
        <v>0.999</v>
      </c>
      <c r="O1224" s="703">
        <v>102.37130160502537</v>
      </c>
      <c r="P1224" s="375" t="s">
        <v>623</v>
      </c>
      <c r="Q1224" s="372" t="s">
        <v>623</v>
      </c>
      <c r="R1224" s="695">
        <v>20070529</v>
      </c>
      <c r="S1224" s="372" t="s">
        <v>8406</v>
      </c>
      <c r="T1224" s="696">
        <v>0.23100000000000001</v>
      </c>
      <c r="U1224" s="372" t="s">
        <v>8407</v>
      </c>
      <c r="V1224" s="722">
        <v>6.68</v>
      </c>
      <c r="W1224" s="722">
        <v>0.6</v>
      </c>
      <c r="X1224" s="722">
        <v>0.22</v>
      </c>
      <c r="Y1224" s="722">
        <v>5.46</v>
      </c>
      <c r="Z1224" s="382" t="s">
        <v>934</v>
      </c>
      <c r="AA1224" s="372">
        <v>4202.0292497</v>
      </c>
      <c r="AB1224" s="372">
        <v>4276.6628363999998</v>
      </c>
      <c r="AC1224" s="372">
        <v>6097.0036245000001</v>
      </c>
      <c r="AD1224" s="372">
        <v>5906.5969323999998</v>
      </c>
      <c r="AE1224" s="372">
        <v>0</v>
      </c>
      <c r="AF1224" s="372">
        <v>0</v>
      </c>
      <c r="AG1224" s="372">
        <v>0</v>
      </c>
      <c r="AH1224" s="372">
        <v>0</v>
      </c>
    </row>
    <row r="1225" spans="1:34">
      <c r="A1225" s="372" t="s">
        <v>8408</v>
      </c>
      <c r="B1225" s="373" t="s">
        <v>8409</v>
      </c>
      <c r="C1225" s="372" t="s">
        <v>8410</v>
      </c>
      <c r="D1225" s="374">
        <v>1301110009498</v>
      </c>
      <c r="E1225" s="372" t="s">
        <v>8411</v>
      </c>
      <c r="F1225" s="375" t="s">
        <v>2139</v>
      </c>
      <c r="G1225" s="375" t="s">
        <v>8412</v>
      </c>
      <c r="H1225" s="375" t="s">
        <v>817</v>
      </c>
      <c r="I1225" s="375" t="s">
        <v>755</v>
      </c>
      <c r="J1225" s="375">
        <v>433373.17773</v>
      </c>
      <c r="K1225" s="375">
        <v>10213.32775</v>
      </c>
      <c r="L1225" s="375">
        <v>233.51829000000001</v>
      </c>
      <c r="M1225" s="375">
        <v>125926.0346</v>
      </c>
      <c r="N1225" s="372">
        <v>0.94199999999999995</v>
      </c>
      <c r="O1225" s="703">
        <v>55.701476611799926</v>
      </c>
      <c r="P1225" s="375" t="s">
        <v>623</v>
      </c>
      <c r="Q1225" s="372" t="s">
        <v>623</v>
      </c>
      <c r="R1225" s="695">
        <v>19950818</v>
      </c>
      <c r="S1225" s="372" t="s">
        <v>8413</v>
      </c>
      <c r="T1225" s="696">
        <v>0.20900000000000002</v>
      </c>
      <c r="U1225" s="372" t="s">
        <v>8414</v>
      </c>
      <c r="V1225" s="722">
        <v>0</v>
      </c>
      <c r="W1225" s="722">
        <v>1.02</v>
      </c>
      <c r="X1225" s="722">
        <v>0</v>
      </c>
      <c r="Y1225" s="722">
        <v>0</v>
      </c>
      <c r="Z1225" s="382" t="s">
        <v>934</v>
      </c>
      <c r="AA1225" s="372">
        <v>2029.3644495999999</v>
      </c>
      <c r="AB1225" s="372">
        <v>3343.5673194999999</v>
      </c>
      <c r="AC1225" s="372">
        <v>4296.1875221999999</v>
      </c>
      <c r="AD1225" s="372">
        <v>4333.7317773000004</v>
      </c>
      <c r="AE1225" s="372">
        <v>0</v>
      </c>
      <c r="AF1225" s="372">
        <v>0</v>
      </c>
      <c r="AG1225" s="372">
        <v>0</v>
      </c>
      <c r="AH1225" s="372">
        <v>0</v>
      </c>
    </row>
    <row r="1226" spans="1:34">
      <c r="A1226" s="372" t="s">
        <v>8415</v>
      </c>
      <c r="B1226" s="373" t="s">
        <v>8416</v>
      </c>
      <c r="C1226" s="372" t="s">
        <v>8417</v>
      </c>
      <c r="D1226" s="374">
        <v>1101110254104</v>
      </c>
      <c r="E1226" s="372" t="s">
        <v>8418</v>
      </c>
      <c r="F1226" s="375" t="s">
        <v>6318</v>
      </c>
      <c r="G1226" s="375" t="s">
        <v>6318</v>
      </c>
      <c r="H1226" s="375" t="s">
        <v>3998</v>
      </c>
      <c r="I1226" s="375" t="s">
        <v>755</v>
      </c>
      <c r="J1226" s="375">
        <v>283462.47567000001</v>
      </c>
      <c r="K1226" s="375">
        <v>11078.018260000001</v>
      </c>
      <c r="L1226" s="375">
        <v>10903.703</v>
      </c>
      <c r="M1226" s="375">
        <v>174536.92919</v>
      </c>
      <c r="N1226" s="372">
        <v>1.2250000000000001</v>
      </c>
      <c r="O1226" s="703">
        <v>3.1989273083883747</v>
      </c>
      <c r="P1226" s="375" t="s">
        <v>623</v>
      </c>
      <c r="Q1226" s="372" t="s">
        <v>623</v>
      </c>
      <c r="R1226" s="695">
        <v>19900306</v>
      </c>
      <c r="S1226" s="372" t="s">
        <v>8419</v>
      </c>
      <c r="T1226" s="696">
        <v>0.20900000000000002</v>
      </c>
      <c r="U1226" s="372" t="s">
        <v>5799</v>
      </c>
      <c r="V1226" s="722">
        <v>0</v>
      </c>
      <c r="W1226" s="722">
        <v>0.64</v>
      </c>
      <c r="X1226" s="722">
        <v>0</v>
      </c>
      <c r="Y1226" s="722">
        <v>0</v>
      </c>
      <c r="Z1226" s="382" t="s">
        <v>934</v>
      </c>
      <c r="AA1226" s="372">
        <v>2607.0638647999999</v>
      </c>
      <c r="AB1226" s="372">
        <v>2957.6369117999998</v>
      </c>
      <c r="AC1226" s="372">
        <v>3025.5404638999998</v>
      </c>
      <c r="AD1226" s="372">
        <v>2834.6247567</v>
      </c>
      <c r="AE1226" s="372">
        <v>0</v>
      </c>
      <c r="AF1226" s="372">
        <v>0</v>
      </c>
      <c r="AG1226" s="372">
        <v>0</v>
      </c>
      <c r="AH1226" s="372">
        <v>0</v>
      </c>
    </row>
    <row r="1227" spans="1:34">
      <c r="A1227" s="372" t="s">
        <v>8420</v>
      </c>
      <c r="B1227" s="373" t="s">
        <v>8421</v>
      </c>
      <c r="C1227" s="372" t="s">
        <v>8422</v>
      </c>
      <c r="D1227" s="374">
        <v>0</v>
      </c>
      <c r="E1227" s="372" t="s">
        <v>8423</v>
      </c>
      <c r="F1227" s="375" t="s">
        <v>900</v>
      </c>
      <c r="G1227" s="375" t="s">
        <v>901</v>
      </c>
      <c r="H1227" s="375">
        <v>0</v>
      </c>
      <c r="I1227" s="375" t="s">
        <v>869</v>
      </c>
      <c r="J1227" s="375">
        <v>82334.388999999996</v>
      </c>
      <c r="K1227" s="375">
        <v>23251.603999999999</v>
      </c>
      <c r="L1227" s="375">
        <v>14265.079</v>
      </c>
      <c r="M1227" s="375">
        <v>383727.22</v>
      </c>
      <c r="N1227" s="372">
        <v>1.0780000000000001</v>
      </c>
      <c r="O1227" s="703">
        <v>2.3001158767219816</v>
      </c>
      <c r="P1227" s="375" t="s">
        <v>623</v>
      </c>
      <c r="Q1227" s="372" t="s">
        <v>623</v>
      </c>
      <c r="R1227" s="695">
        <v>20160128</v>
      </c>
      <c r="S1227" s="372" t="s">
        <v>8424</v>
      </c>
      <c r="T1227" s="696">
        <v>0.20900000000000002</v>
      </c>
      <c r="U1227" s="372" t="s">
        <v>8425</v>
      </c>
      <c r="V1227" s="722">
        <v>3.96</v>
      </c>
      <c r="W1227" s="722">
        <v>0.39</v>
      </c>
      <c r="X1227" s="722">
        <v>1.81</v>
      </c>
      <c r="Y1227" s="722">
        <v>19.71</v>
      </c>
      <c r="Z1227" s="382" t="s">
        <v>934</v>
      </c>
      <c r="AA1227" s="372">
        <v>908.38702000000001</v>
      </c>
      <c r="AB1227" s="372">
        <v>622.98941000000002</v>
      </c>
      <c r="AC1227" s="372">
        <v>779.73671999999999</v>
      </c>
      <c r="AD1227" s="372">
        <v>823.34388999999999</v>
      </c>
      <c r="AE1227" s="372">
        <v>0</v>
      </c>
      <c r="AF1227" s="372">
        <v>0</v>
      </c>
      <c r="AG1227" s="372">
        <v>0</v>
      </c>
      <c r="AH1227" s="372">
        <v>0</v>
      </c>
    </row>
    <row r="1228" spans="1:34">
      <c r="A1228" s="372" t="s">
        <v>8426</v>
      </c>
      <c r="B1228" s="373" t="s">
        <v>8427</v>
      </c>
      <c r="C1228" s="372" t="s">
        <v>8428</v>
      </c>
      <c r="D1228" s="374">
        <v>1812110025384</v>
      </c>
      <c r="E1228" s="372" t="s">
        <v>8429</v>
      </c>
      <c r="F1228" s="375" t="s">
        <v>7069</v>
      </c>
      <c r="G1228" s="375" t="s">
        <v>7069</v>
      </c>
      <c r="H1228" s="375" t="s">
        <v>4894</v>
      </c>
      <c r="I1228" s="375" t="s">
        <v>869</v>
      </c>
      <c r="J1228" s="375">
        <v>238857.67913999999</v>
      </c>
      <c r="K1228" s="375">
        <v>6051.8549300000004</v>
      </c>
      <c r="L1228" s="375">
        <v>15568.427890000001</v>
      </c>
      <c r="M1228" s="375">
        <v>107820.91310000001</v>
      </c>
      <c r="N1228" s="372" t="s">
        <v>1033</v>
      </c>
      <c r="O1228" s="703">
        <v>8.1119843458631102</v>
      </c>
      <c r="P1228" s="375" t="s">
        <v>623</v>
      </c>
      <c r="Q1228" s="372" t="s">
        <v>623</v>
      </c>
      <c r="R1228" s="695">
        <v>20230313</v>
      </c>
      <c r="S1228" s="372" t="s">
        <v>8430</v>
      </c>
      <c r="T1228" s="696">
        <v>0.20900000000000002</v>
      </c>
      <c r="U1228" s="372" t="s">
        <v>8431</v>
      </c>
      <c r="V1228" s="722">
        <v>18.239999999999998</v>
      </c>
      <c r="W1228" s="722">
        <v>1.35</v>
      </c>
      <c r="X1228" s="722">
        <v>0.57999999999999996</v>
      </c>
      <c r="Y1228" s="722">
        <v>7.13</v>
      </c>
      <c r="Z1228" s="382" t="s">
        <v>934</v>
      </c>
      <c r="AA1228" s="372">
        <v>1491.9326295999999</v>
      </c>
      <c r="AB1228" s="372">
        <v>1730.219169</v>
      </c>
      <c r="AC1228" s="372">
        <v>2305.9844457999998</v>
      </c>
      <c r="AD1228" s="372">
        <v>2388.5767913999998</v>
      </c>
      <c r="AE1228" s="372">
        <v>0</v>
      </c>
      <c r="AF1228" s="372">
        <v>0</v>
      </c>
      <c r="AG1228" s="372">
        <v>0</v>
      </c>
      <c r="AH1228" s="372">
        <v>0</v>
      </c>
    </row>
    <row r="1229" spans="1:34">
      <c r="A1229" s="372" t="s">
        <v>8432</v>
      </c>
      <c r="B1229" s="373" t="s">
        <v>8433</v>
      </c>
      <c r="C1229" s="372" t="s">
        <v>8434</v>
      </c>
      <c r="D1229" s="374">
        <v>1350110045639</v>
      </c>
      <c r="E1229" s="372" t="s">
        <v>8435</v>
      </c>
      <c r="F1229" s="375" t="s">
        <v>2858</v>
      </c>
      <c r="G1229" s="375" t="s">
        <v>2858</v>
      </c>
      <c r="H1229" s="375" t="s">
        <v>1388</v>
      </c>
      <c r="I1229" s="375" t="s">
        <v>869</v>
      </c>
      <c r="J1229" s="375">
        <v>314378.11616999999</v>
      </c>
      <c r="K1229" s="375">
        <v>5039.5006000000003</v>
      </c>
      <c r="L1229" s="375">
        <v>5240.9876400000003</v>
      </c>
      <c r="M1229" s="375">
        <v>235145.87148</v>
      </c>
      <c r="N1229" s="372">
        <v>0.95199999999999996</v>
      </c>
      <c r="O1229" s="703">
        <v>89.124129464664009</v>
      </c>
      <c r="P1229" s="375" t="s">
        <v>623</v>
      </c>
      <c r="Q1229" s="375" t="s">
        <v>623</v>
      </c>
      <c r="R1229" s="695">
        <v>20020514</v>
      </c>
      <c r="S1229" s="372" t="s">
        <v>8436</v>
      </c>
      <c r="T1229" s="696">
        <v>0.20900000000000002</v>
      </c>
      <c r="U1229" s="372" t="s">
        <v>8437</v>
      </c>
      <c r="V1229" s="722">
        <v>7.26</v>
      </c>
      <c r="W1229" s="722">
        <v>0.53</v>
      </c>
      <c r="X1229" s="722">
        <v>0.4</v>
      </c>
      <c r="Y1229" s="722">
        <v>31.07</v>
      </c>
      <c r="Z1229" s="382" t="s">
        <v>934</v>
      </c>
      <c r="AA1229" s="372">
        <v>2578.5791470999998</v>
      </c>
      <c r="AB1229" s="372">
        <v>3258.2406141000001</v>
      </c>
      <c r="AC1229" s="372">
        <v>3605.5433413000001</v>
      </c>
      <c r="AD1229" s="372">
        <v>3143.7811617000002</v>
      </c>
      <c r="AE1229" s="372">
        <v>0</v>
      </c>
      <c r="AF1229" s="372">
        <v>0</v>
      </c>
      <c r="AG1229" s="372">
        <v>0</v>
      </c>
      <c r="AH1229" s="372">
        <v>0</v>
      </c>
    </row>
    <row r="1230" spans="1:34">
      <c r="A1230" s="372" t="s">
        <v>8438</v>
      </c>
      <c r="B1230" s="373" t="s">
        <v>8439</v>
      </c>
      <c r="C1230" s="372" t="s">
        <v>8440</v>
      </c>
      <c r="D1230" s="374">
        <v>1101110397699</v>
      </c>
      <c r="E1230" s="372" t="s">
        <v>8441</v>
      </c>
      <c r="F1230" s="375" t="s">
        <v>1814</v>
      </c>
      <c r="G1230" s="375" t="s">
        <v>2821</v>
      </c>
      <c r="H1230" s="375" t="s">
        <v>1693</v>
      </c>
      <c r="I1230" s="375" t="s">
        <v>869</v>
      </c>
      <c r="J1230" s="375">
        <v>33458.508900000001</v>
      </c>
      <c r="K1230" s="375">
        <v>6219.4774900000002</v>
      </c>
      <c r="L1230" s="375">
        <v>6881.0082599999996</v>
      </c>
      <c r="M1230" s="375">
        <v>66214.26569</v>
      </c>
      <c r="N1230" s="372">
        <v>1.319</v>
      </c>
      <c r="O1230" s="703">
        <v>2.2201296874360543</v>
      </c>
      <c r="P1230" s="375" t="s">
        <v>623</v>
      </c>
      <c r="Q1230" s="372" t="s">
        <v>623</v>
      </c>
      <c r="R1230" s="695">
        <v>19970704</v>
      </c>
      <c r="S1230" s="372" t="s">
        <v>8442</v>
      </c>
      <c r="T1230" s="696">
        <v>0.20900000000000002</v>
      </c>
      <c r="U1230" s="372" t="s">
        <v>8443</v>
      </c>
      <c r="V1230" s="722">
        <v>12.51</v>
      </c>
      <c r="W1230" s="722">
        <v>1.43</v>
      </c>
      <c r="X1230" s="722">
        <v>2.92</v>
      </c>
      <c r="Y1230" s="722">
        <v>17.62</v>
      </c>
      <c r="Z1230" s="382" t="s">
        <v>934</v>
      </c>
      <c r="AA1230" s="372">
        <v>380.10552580000001</v>
      </c>
      <c r="AB1230" s="372">
        <v>364.33517669999998</v>
      </c>
      <c r="AC1230" s="372">
        <v>351.34664620000001</v>
      </c>
      <c r="AD1230" s="372">
        <v>334.58508899999998</v>
      </c>
      <c r="AE1230" s="372">
        <v>0</v>
      </c>
      <c r="AF1230" s="372">
        <v>0</v>
      </c>
      <c r="AG1230" s="372">
        <v>0</v>
      </c>
      <c r="AH1230" s="372">
        <v>0</v>
      </c>
    </row>
    <row r="1231" spans="1:34">
      <c r="A1231" s="372" t="s">
        <v>8444</v>
      </c>
      <c r="B1231" s="373" t="s">
        <v>8445</v>
      </c>
      <c r="C1231" s="372" t="s">
        <v>8446</v>
      </c>
      <c r="D1231" s="374">
        <v>1801110162585</v>
      </c>
      <c r="E1231" s="372" t="s">
        <v>8447</v>
      </c>
      <c r="F1231" s="375" t="s">
        <v>3721</v>
      </c>
      <c r="G1231" s="375" t="s">
        <v>3721</v>
      </c>
      <c r="H1231" s="375" t="s">
        <v>1950</v>
      </c>
      <c r="I1231" s="375" t="s">
        <v>869</v>
      </c>
      <c r="J1231" s="375">
        <v>66077.800040000002</v>
      </c>
      <c r="K1231" s="375">
        <v>6091.6669499999998</v>
      </c>
      <c r="L1231" s="375">
        <v>10741.10399</v>
      </c>
      <c r="M1231" s="375">
        <v>215469.11038999999</v>
      </c>
      <c r="N1231" s="372">
        <v>0.86099999999999999</v>
      </c>
      <c r="O1231" s="703">
        <v>0.38594856915865455</v>
      </c>
      <c r="P1231" s="375" t="s">
        <v>623</v>
      </c>
      <c r="Q1231" s="372" t="s">
        <v>623</v>
      </c>
      <c r="R1231" s="695">
        <v>20101103</v>
      </c>
      <c r="S1231" s="375" t="s">
        <v>8448</v>
      </c>
      <c r="T1231" s="696">
        <v>0.20900000000000002</v>
      </c>
      <c r="U1231" s="375" t="s">
        <v>8449</v>
      </c>
      <c r="V1231" s="722">
        <v>17.350000000000001</v>
      </c>
      <c r="W1231" s="722">
        <v>0.74</v>
      </c>
      <c r="X1231" s="722">
        <v>2.4</v>
      </c>
      <c r="Y1231" s="722">
        <v>18.95</v>
      </c>
      <c r="Z1231" s="382" t="s">
        <v>934</v>
      </c>
      <c r="AA1231" s="372">
        <v>573.3156209</v>
      </c>
      <c r="AB1231" s="372">
        <v>649.77971319999995</v>
      </c>
      <c r="AC1231" s="372">
        <v>659.59982379999997</v>
      </c>
      <c r="AD1231" s="372">
        <v>660.7780004</v>
      </c>
      <c r="AE1231" s="372">
        <v>0</v>
      </c>
      <c r="AF1231" s="372">
        <v>0</v>
      </c>
      <c r="AG1231" s="372">
        <v>0</v>
      </c>
      <c r="AH1231" s="372">
        <v>0</v>
      </c>
    </row>
    <row r="1232" spans="1:34">
      <c r="A1232" s="372" t="s">
        <v>8450</v>
      </c>
      <c r="B1232" s="373" t="s">
        <v>8451</v>
      </c>
      <c r="C1232" s="372" t="s">
        <v>8452</v>
      </c>
      <c r="D1232" s="374">
        <v>1101110853419</v>
      </c>
      <c r="E1232" s="372" t="s">
        <v>8453</v>
      </c>
      <c r="F1232" s="372" t="s">
        <v>3210</v>
      </c>
      <c r="G1232" s="375" t="s">
        <v>3211</v>
      </c>
      <c r="H1232" s="375" t="s">
        <v>1348</v>
      </c>
      <c r="I1232" s="375" t="s">
        <v>869</v>
      </c>
      <c r="J1232" s="375">
        <v>34374.009969999999</v>
      </c>
      <c r="K1232" s="375">
        <v>401.05687</v>
      </c>
      <c r="L1232" s="375">
        <v>826.42813000000001</v>
      </c>
      <c r="M1232" s="375">
        <v>29109.456399999999</v>
      </c>
      <c r="N1232" s="372">
        <v>-0.216</v>
      </c>
      <c r="O1232" s="703">
        <v>0.65529365528403472</v>
      </c>
      <c r="P1232" s="375" t="s">
        <v>623</v>
      </c>
      <c r="Q1232" s="372" t="s">
        <v>623</v>
      </c>
      <c r="R1232" s="695">
        <v>19991204</v>
      </c>
      <c r="S1232" s="372" t="s">
        <v>8454</v>
      </c>
      <c r="T1232" s="696">
        <v>0.20900000000000002</v>
      </c>
      <c r="U1232" s="372" t="s">
        <v>8455</v>
      </c>
      <c r="V1232" s="722">
        <v>46.58</v>
      </c>
      <c r="W1232" s="722">
        <v>4.24</v>
      </c>
      <c r="X1232" s="722">
        <v>3.61</v>
      </c>
      <c r="Y1232" s="722">
        <v>262.37</v>
      </c>
      <c r="Z1232" s="382" t="s">
        <v>934</v>
      </c>
      <c r="AA1232" s="372">
        <v>509.25674770000001</v>
      </c>
      <c r="AB1232" s="372">
        <v>503.69344430000001</v>
      </c>
      <c r="AC1232" s="372">
        <v>408.99238300000002</v>
      </c>
      <c r="AD1232" s="372">
        <v>343.74009969999997</v>
      </c>
      <c r="AE1232" s="372">
        <v>0</v>
      </c>
      <c r="AF1232" s="372">
        <v>0</v>
      </c>
      <c r="AG1232" s="372">
        <v>0</v>
      </c>
      <c r="AH1232" s="372">
        <v>0</v>
      </c>
    </row>
    <row r="1233" spans="1:34">
      <c r="A1233" s="372" t="s">
        <v>8456</v>
      </c>
      <c r="B1233" s="373" t="s">
        <v>8457</v>
      </c>
      <c r="C1233" s="372" t="s">
        <v>8458</v>
      </c>
      <c r="D1233" s="374">
        <v>1301110015049</v>
      </c>
      <c r="E1233" s="372" t="s">
        <v>8459</v>
      </c>
      <c r="F1233" s="375" t="s">
        <v>8460</v>
      </c>
      <c r="G1233" s="375" t="s">
        <v>8461</v>
      </c>
      <c r="H1233" s="375">
        <v>0</v>
      </c>
      <c r="I1233" s="375" t="s">
        <v>869</v>
      </c>
      <c r="J1233" s="375">
        <v>135843.61178000001</v>
      </c>
      <c r="K1233" s="375">
        <v>8944.8086999999996</v>
      </c>
      <c r="L1233" s="375">
        <v>9980.39545</v>
      </c>
      <c r="M1233" s="375">
        <v>257991.29962000001</v>
      </c>
      <c r="N1233" s="372">
        <v>0.77700000000000002</v>
      </c>
      <c r="O1233" s="703">
        <v>18.681859085956066</v>
      </c>
      <c r="P1233" s="375" t="s">
        <v>623</v>
      </c>
      <c r="Q1233" s="372" t="s">
        <v>623</v>
      </c>
      <c r="R1233" s="695">
        <v>20020329</v>
      </c>
      <c r="S1233" s="372" t="s">
        <v>8462</v>
      </c>
      <c r="T1233" s="696">
        <v>0.20900000000000002</v>
      </c>
      <c r="U1233" s="372" t="s">
        <v>8463</v>
      </c>
      <c r="V1233" s="722">
        <v>9.4</v>
      </c>
      <c r="W1233" s="722">
        <v>0.52</v>
      </c>
      <c r="X1233" s="722">
        <v>0.99</v>
      </c>
      <c r="Y1233" s="722">
        <v>12.97</v>
      </c>
      <c r="Z1233" s="382" t="s">
        <v>934</v>
      </c>
      <c r="AA1233" s="372">
        <v>1300.3034677999999</v>
      </c>
      <c r="AB1233" s="372">
        <v>1328.4271710999999</v>
      </c>
      <c r="AC1233" s="372">
        <v>1333.9976183000001</v>
      </c>
      <c r="AD1233" s="372">
        <v>1358.4361177999999</v>
      </c>
      <c r="AE1233" s="372">
        <v>1513</v>
      </c>
      <c r="AF1233" s="372">
        <v>1887</v>
      </c>
      <c r="AG1233" s="372">
        <v>0</v>
      </c>
      <c r="AH1233" s="372">
        <v>0</v>
      </c>
    </row>
    <row r="1234" spans="1:34">
      <c r="A1234" s="372" t="s">
        <v>8464</v>
      </c>
      <c r="B1234" s="373" t="s">
        <v>8465</v>
      </c>
      <c r="C1234" s="372" t="s">
        <v>8466</v>
      </c>
      <c r="D1234" s="374">
        <v>1311110045540</v>
      </c>
      <c r="E1234" s="372" t="s">
        <v>8467</v>
      </c>
      <c r="F1234" s="375" t="s">
        <v>2858</v>
      </c>
      <c r="G1234" s="375" t="s">
        <v>8468</v>
      </c>
      <c r="H1234" s="375" t="s">
        <v>1388</v>
      </c>
      <c r="I1234" s="375" t="s">
        <v>869</v>
      </c>
      <c r="J1234" s="375">
        <v>275313.63877000002</v>
      </c>
      <c r="K1234" s="375">
        <v>7965.6920600000003</v>
      </c>
      <c r="L1234" s="375">
        <v>-3685.4948199999999</v>
      </c>
      <c r="M1234" s="375">
        <v>75753.839319999999</v>
      </c>
      <c r="N1234" s="372">
        <v>1.099</v>
      </c>
      <c r="O1234" s="703">
        <v>49.321442408919658</v>
      </c>
      <c r="P1234" s="375" t="s">
        <v>623</v>
      </c>
      <c r="Q1234" s="372" t="s">
        <v>623</v>
      </c>
      <c r="R1234" s="695">
        <v>20071226</v>
      </c>
      <c r="S1234" s="372" t="s">
        <v>8469</v>
      </c>
      <c r="T1234" s="696" t="s">
        <v>772</v>
      </c>
      <c r="U1234" s="372" t="s">
        <v>8470</v>
      </c>
      <c r="V1234" s="722">
        <v>9.6300000000000008</v>
      </c>
      <c r="W1234" s="722">
        <v>1.72</v>
      </c>
      <c r="X1234" s="722">
        <v>0.47</v>
      </c>
      <c r="Y1234" s="722" t="s">
        <v>774</v>
      </c>
      <c r="Z1234" s="382" t="s">
        <v>934</v>
      </c>
      <c r="AA1234" s="372">
        <v>1851.6827894999999</v>
      </c>
      <c r="AB1234" s="372">
        <v>1813.5041232000001</v>
      </c>
      <c r="AC1234" s="372">
        <v>2003.5785973</v>
      </c>
      <c r="AD1234" s="372">
        <v>2753.1363876999999</v>
      </c>
      <c r="AE1234" s="372">
        <v>0</v>
      </c>
      <c r="AF1234" s="372">
        <v>0</v>
      </c>
      <c r="AG1234" s="372">
        <v>0</v>
      </c>
      <c r="AH1234" s="372">
        <v>0</v>
      </c>
    </row>
    <row r="1235" spans="1:34">
      <c r="A1235" s="372" t="s">
        <v>8471</v>
      </c>
      <c r="B1235" s="373" t="s">
        <v>8472</v>
      </c>
      <c r="C1235" s="372" t="s">
        <v>8473</v>
      </c>
      <c r="D1235" s="374">
        <v>1311110030369</v>
      </c>
      <c r="E1235" s="372" t="s">
        <v>8474</v>
      </c>
      <c r="F1235" s="375" t="s">
        <v>786</v>
      </c>
      <c r="G1235" s="375" t="s">
        <v>786</v>
      </c>
      <c r="H1235" s="375" t="s">
        <v>868</v>
      </c>
      <c r="I1235" s="375" t="s">
        <v>869</v>
      </c>
      <c r="J1235" s="375">
        <v>20886.62271</v>
      </c>
      <c r="K1235" s="375">
        <v>1462.01602</v>
      </c>
      <c r="L1235" s="375">
        <v>2290.8495800000001</v>
      </c>
      <c r="M1235" s="375">
        <v>54411.00907</v>
      </c>
      <c r="N1235" s="372">
        <v>0.67500000000000004</v>
      </c>
      <c r="O1235" s="703">
        <v>1.3853311813394942</v>
      </c>
      <c r="P1235" s="375" t="s">
        <v>623</v>
      </c>
      <c r="Q1235" s="375" t="s">
        <v>623</v>
      </c>
      <c r="R1235" s="695">
        <v>20040602</v>
      </c>
      <c r="S1235" s="375" t="s">
        <v>8477</v>
      </c>
      <c r="T1235" s="696">
        <v>0.20900000000000002</v>
      </c>
      <c r="U1235" s="372" t="s">
        <v>8478</v>
      </c>
      <c r="V1235" s="722">
        <v>61.86</v>
      </c>
      <c r="W1235" s="722">
        <v>2.17</v>
      </c>
      <c r="X1235" s="722">
        <v>5.65</v>
      </c>
      <c r="Y1235" s="722">
        <v>48.45</v>
      </c>
      <c r="Z1235" s="382" t="s">
        <v>934</v>
      </c>
      <c r="AA1235" s="372">
        <v>176.50767020000001</v>
      </c>
      <c r="AB1235" s="372">
        <v>228.48959780000001</v>
      </c>
      <c r="AC1235" s="372">
        <v>273.36928089999998</v>
      </c>
      <c r="AD1235" s="372">
        <v>208.8662271</v>
      </c>
      <c r="AE1235" s="372">
        <v>332</v>
      </c>
      <c r="AF1235" s="372">
        <v>0</v>
      </c>
      <c r="AG1235" s="372">
        <v>0</v>
      </c>
      <c r="AH1235" s="372">
        <v>0</v>
      </c>
    </row>
    <row r="1236" spans="1:34">
      <c r="A1236" s="372" t="s">
        <v>8479</v>
      </c>
      <c r="B1236" s="373" t="s">
        <v>8480</v>
      </c>
      <c r="C1236" s="372" t="s">
        <v>8481</v>
      </c>
      <c r="D1236" s="374">
        <v>1101112024026</v>
      </c>
      <c r="E1236" s="372" t="s">
        <v>8482</v>
      </c>
      <c r="F1236" s="375" t="s">
        <v>4079</v>
      </c>
      <c r="G1236" s="375" t="s">
        <v>4079</v>
      </c>
      <c r="H1236" s="375" t="s">
        <v>868</v>
      </c>
      <c r="I1236" s="375" t="s">
        <v>869</v>
      </c>
      <c r="J1236" s="375">
        <v>107784.88202</v>
      </c>
      <c r="K1236" s="375">
        <v>10359.518260000001</v>
      </c>
      <c r="L1236" s="375">
        <v>25918.60701</v>
      </c>
      <c r="M1236" s="375">
        <v>347991.27768</v>
      </c>
      <c r="N1236" s="372">
        <v>0.58799999999999997</v>
      </c>
      <c r="O1236" s="703">
        <v>27.997076957482619</v>
      </c>
      <c r="P1236" s="375" t="s">
        <v>623</v>
      </c>
      <c r="Q1236" s="375" t="s">
        <v>623</v>
      </c>
      <c r="R1236" s="695">
        <v>20041217</v>
      </c>
      <c r="S1236" s="375" t="s">
        <v>8483</v>
      </c>
      <c r="T1236" s="696">
        <v>0.23100000000000001</v>
      </c>
      <c r="U1236" s="372" t="s">
        <v>8484</v>
      </c>
      <c r="V1236" s="722">
        <v>7.96</v>
      </c>
      <c r="W1236" s="722">
        <v>0.39</v>
      </c>
      <c r="X1236" s="722">
        <v>1.2</v>
      </c>
      <c r="Y1236" s="722">
        <v>5.99</v>
      </c>
      <c r="Z1236" s="382" t="s">
        <v>934</v>
      </c>
      <c r="AA1236" s="372">
        <v>1329.5410936999999</v>
      </c>
      <c r="AB1236" s="372">
        <v>1336.2405463</v>
      </c>
      <c r="AC1236" s="372">
        <v>1216.0061545999999</v>
      </c>
      <c r="AD1236" s="372">
        <v>1077.8488202000001</v>
      </c>
      <c r="AE1236" s="372">
        <v>0</v>
      </c>
      <c r="AF1236" s="372">
        <v>0</v>
      </c>
      <c r="AG1236" s="372">
        <v>0</v>
      </c>
      <c r="AH1236" s="372">
        <v>0</v>
      </c>
    </row>
    <row r="1237" spans="1:34">
      <c r="A1237" s="372" t="s">
        <v>8485</v>
      </c>
      <c r="B1237" s="373" t="s">
        <v>8486</v>
      </c>
      <c r="C1237" s="372" t="s">
        <v>8487</v>
      </c>
      <c r="D1237" s="374">
        <v>1311110127512</v>
      </c>
      <c r="E1237" s="372" t="s">
        <v>8488</v>
      </c>
      <c r="F1237" s="375" t="s">
        <v>2858</v>
      </c>
      <c r="G1237" s="375" t="s">
        <v>2859</v>
      </c>
      <c r="H1237" s="375" t="s">
        <v>1388</v>
      </c>
      <c r="I1237" s="375" t="s">
        <v>869</v>
      </c>
      <c r="J1237" s="375">
        <v>55112.129390000002</v>
      </c>
      <c r="K1237" s="375">
        <v>1151.0790400000001</v>
      </c>
      <c r="L1237" s="375">
        <v>1361.38897</v>
      </c>
      <c r="M1237" s="375">
        <v>34840.308519999999</v>
      </c>
      <c r="N1237" s="372">
        <v>1.1379999999999999</v>
      </c>
      <c r="O1237" s="703">
        <v>6.7118024297112537</v>
      </c>
      <c r="P1237" s="375" t="s">
        <v>623</v>
      </c>
      <c r="Q1237" s="372" t="s">
        <v>623</v>
      </c>
      <c r="R1237" s="695">
        <v>20210324</v>
      </c>
      <c r="S1237" s="372" t="s">
        <v>8489</v>
      </c>
      <c r="T1237" s="696">
        <v>0.20900000000000002</v>
      </c>
      <c r="U1237" s="372" t="s">
        <v>8490</v>
      </c>
      <c r="V1237" s="722">
        <v>0</v>
      </c>
      <c r="W1237" s="722">
        <v>3.59</v>
      </c>
      <c r="X1237" s="722">
        <v>0</v>
      </c>
      <c r="Y1237" s="722">
        <v>0</v>
      </c>
      <c r="Z1237" s="382" t="s">
        <v>934</v>
      </c>
      <c r="AA1237" s="372">
        <v>340.89085740000002</v>
      </c>
      <c r="AB1237" s="372">
        <v>456.39344419999998</v>
      </c>
      <c r="AC1237" s="372">
        <v>507.04825049999999</v>
      </c>
      <c r="AD1237" s="372">
        <v>551.12129389999996</v>
      </c>
      <c r="AE1237" s="372">
        <v>0</v>
      </c>
      <c r="AF1237" s="372">
        <v>0</v>
      </c>
      <c r="AG1237" s="372">
        <v>0</v>
      </c>
      <c r="AH1237" s="372">
        <v>0</v>
      </c>
    </row>
    <row r="1238" spans="1:34">
      <c r="A1238" s="372" t="s">
        <v>8491</v>
      </c>
      <c r="B1238" s="373" t="s">
        <v>8492</v>
      </c>
      <c r="C1238" s="372" t="s">
        <v>8493</v>
      </c>
      <c r="D1238" s="374">
        <v>1601110004947</v>
      </c>
      <c r="E1238" s="372" t="s">
        <v>8494</v>
      </c>
      <c r="F1238" s="375" t="s">
        <v>1782</v>
      </c>
      <c r="G1238" s="375" t="s">
        <v>2261</v>
      </c>
      <c r="H1238" s="375" t="s">
        <v>868</v>
      </c>
      <c r="I1238" s="375" t="s">
        <v>869</v>
      </c>
      <c r="J1238" s="375">
        <v>130782.71087</v>
      </c>
      <c r="K1238" s="375">
        <v>7794.7829199999996</v>
      </c>
      <c r="L1238" s="375">
        <v>9034.1283399999993</v>
      </c>
      <c r="M1238" s="375">
        <v>129206.18094999999</v>
      </c>
      <c r="N1238" s="372">
        <v>0.90600000000000003</v>
      </c>
      <c r="O1238" s="703">
        <v>33.387406810558417</v>
      </c>
      <c r="P1238" s="375" t="s">
        <v>623</v>
      </c>
      <c r="Q1238" s="375" t="s">
        <v>623</v>
      </c>
      <c r="R1238" s="695">
        <v>20131119</v>
      </c>
      <c r="S1238" s="375" t="s">
        <v>8495</v>
      </c>
      <c r="T1238" s="696">
        <v>0.20900000000000002</v>
      </c>
      <c r="U1238" s="372" t="s">
        <v>8496</v>
      </c>
      <c r="V1238" s="722">
        <v>10.86</v>
      </c>
      <c r="W1238" s="722">
        <v>0.93</v>
      </c>
      <c r="X1238" s="722">
        <v>0.94</v>
      </c>
      <c r="Y1238" s="722">
        <v>17.43</v>
      </c>
      <c r="Z1238" s="382" t="s">
        <v>934</v>
      </c>
      <c r="AA1238" s="372">
        <v>1325.7083935999999</v>
      </c>
      <c r="AB1238" s="372">
        <v>1504.1627922</v>
      </c>
      <c r="AC1238" s="372">
        <v>1520.0068060999999</v>
      </c>
      <c r="AD1238" s="372">
        <v>1307.8271087000001</v>
      </c>
      <c r="AE1238" s="372">
        <v>0</v>
      </c>
      <c r="AF1238" s="372">
        <v>0</v>
      </c>
      <c r="AG1238" s="372">
        <v>0</v>
      </c>
      <c r="AH1238" s="372">
        <v>0</v>
      </c>
    </row>
    <row r="1239" spans="1:34">
      <c r="A1239" s="372" t="s">
        <v>8497</v>
      </c>
      <c r="B1239" s="373" t="s">
        <v>8498</v>
      </c>
      <c r="C1239" s="372" t="s">
        <v>8499</v>
      </c>
      <c r="D1239" s="374">
        <v>1101110117211</v>
      </c>
      <c r="E1239" s="372" t="s">
        <v>8500</v>
      </c>
      <c r="F1239" s="375" t="s">
        <v>8501</v>
      </c>
      <c r="G1239" s="375" t="s">
        <v>8502</v>
      </c>
      <c r="H1239" s="375" t="s">
        <v>902</v>
      </c>
      <c r="I1239" s="375" t="s">
        <v>869</v>
      </c>
      <c r="J1239" s="375">
        <v>85779.154030000005</v>
      </c>
      <c r="K1239" s="375">
        <v>9031.44146</v>
      </c>
      <c r="L1239" s="375">
        <v>19044.12184</v>
      </c>
      <c r="M1239" s="375">
        <v>315027.47083000001</v>
      </c>
      <c r="N1239" s="372">
        <v>0.54300000000000004</v>
      </c>
      <c r="O1239" s="703">
        <v>0</v>
      </c>
      <c r="P1239" s="375" t="s">
        <v>623</v>
      </c>
      <c r="Q1239" s="372" t="s">
        <v>623</v>
      </c>
      <c r="R1239" s="695">
        <v>19931130</v>
      </c>
      <c r="S1239" s="372" t="s">
        <v>8503</v>
      </c>
      <c r="T1239" s="696">
        <v>0.20900000000000002</v>
      </c>
      <c r="U1239" s="372" t="s">
        <v>8504</v>
      </c>
      <c r="V1239" s="722">
        <v>0</v>
      </c>
      <c r="W1239" s="722">
        <v>0.4</v>
      </c>
      <c r="X1239" s="722">
        <v>0</v>
      </c>
      <c r="Y1239" s="722">
        <v>0</v>
      </c>
      <c r="Z1239" s="382" t="s">
        <v>934</v>
      </c>
      <c r="AA1239" s="372">
        <v>520.15478480000002</v>
      </c>
      <c r="AB1239" s="372">
        <v>527.37954109999998</v>
      </c>
      <c r="AC1239" s="372">
        <v>643.10272810000004</v>
      </c>
      <c r="AD1239" s="372">
        <v>857.79154029999995</v>
      </c>
      <c r="AE1239" s="372">
        <v>0</v>
      </c>
      <c r="AF1239" s="372">
        <v>0</v>
      </c>
      <c r="AG1239" s="372">
        <v>0</v>
      </c>
      <c r="AH1239" s="372">
        <v>0</v>
      </c>
    </row>
    <row r="1240" spans="1:34">
      <c r="A1240" s="372" t="s">
        <v>8505</v>
      </c>
      <c r="B1240" s="373" t="s">
        <v>8506</v>
      </c>
      <c r="C1240" s="372" t="s">
        <v>8507</v>
      </c>
      <c r="D1240" s="374">
        <v>1701110176489</v>
      </c>
      <c r="E1240" s="372" t="s">
        <v>8508</v>
      </c>
      <c r="F1240" s="372" t="s">
        <v>8509</v>
      </c>
      <c r="G1240" s="375" t="s">
        <v>8510</v>
      </c>
      <c r="H1240" s="375" t="s">
        <v>1481</v>
      </c>
      <c r="I1240" s="375" t="s">
        <v>755</v>
      </c>
      <c r="J1240" s="375">
        <v>116470.23414</v>
      </c>
      <c r="K1240" s="375">
        <v>-4667.9339200000004</v>
      </c>
      <c r="L1240" s="375">
        <v>-18932.297269999999</v>
      </c>
      <c r="M1240" s="375">
        <v>63730.656150000003</v>
      </c>
      <c r="N1240" s="372">
        <v>0.92100000000000004</v>
      </c>
      <c r="O1240" s="703">
        <v>85.885180687830683</v>
      </c>
      <c r="P1240" s="375" t="s">
        <v>623</v>
      </c>
      <c r="Q1240" s="372" t="s">
        <v>623</v>
      </c>
      <c r="R1240" s="695">
        <v>20090929</v>
      </c>
      <c r="S1240" s="375" t="s">
        <v>8511</v>
      </c>
      <c r="T1240" s="696" t="s">
        <v>772</v>
      </c>
      <c r="U1240" s="372" t="s">
        <v>8512</v>
      </c>
      <c r="V1240" s="722">
        <v>46.29</v>
      </c>
      <c r="W1240" s="722">
        <v>1.91</v>
      </c>
      <c r="X1240" s="722">
        <v>1.05</v>
      </c>
      <c r="Y1240" s="722" t="s">
        <v>774</v>
      </c>
      <c r="Z1240" s="382" t="s">
        <v>934</v>
      </c>
      <c r="AA1240" s="372">
        <v>935.08565620000002</v>
      </c>
      <c r="AB1240" s="372">
        <v>1182.6147844</v>
      </c>
      <c r="AC1240" s="372">
        <v>1261.4683735999999</v>
      </c>
      <c r="AD1240" s="372">
        <v>1164.7023414</v>
      </c>
      <c r="AE1240" s="372">
        <v>0</v>
      </c>
      <c r="AF1240" s="372">
        <v>0</v>
      </c>
      <c r="AG1240" s="372">
        <v>0</v>
      </c>
      <c r="AH1240" s="372">
        <v>0</v>
      </c>
    </row>
    <row r="1241" spans="1:34">
      <c r="A1241" s="372" t="s">
        <v>8513</v>
      </c>
      <c r="B1241" s="373" t="s">
        <v>8514</v>
      </c>
      <c r="C1241" s="372" t="s">
        <v>8515</v>
      </c>
      <c r="D1241" s="374">
        <v>1601110003121</v>
      </c>
      <c r="E1241" s="372" t="s">
        <v>8516</v>
      </c>
      <c r="F1241" s="375" t="s">
        <v>1897</v>
      </c>
      <c r="G1241" s="375" t="s">
        <v>1897</v>
      </c>
      <c r="H1241" s="375" t="s">
        <v>1397</v>
      </c>
      <c r="I1241" s="375" t="s">
        <v>755</v>
      </c>
      <c r="J1241" s="375">
        <v>2977005.0444800002</v>
      </c>
      <c r="K1241" s="375">
        <v>100697.39232</v>
      </c>
      <c r="L1241" s="375">
        <v>67539.767129999993</v>
      </c>
      <c r="M1241" s="375">
        <v>858163.46180000005</v>
      </c>
      <c r="N1241" s="372">
        <v>1.1080000000000001</v>
      </c>
      <c r="O1241" s="703">
        <v>688.70158276775419</v>
      </c>
      <c r="P1241" s="375" t="s">
        <v>623</v>
      </c>
      <c r="Q1241" s="372" t="s">
        <v>623</v>
      </c>
      <c r="R1241" s="695">
        <v>19960130</v>
      </c>
      <c r="S1241" s="372" t="s">
        <v>8517</v>
      </c>
      <c r="T1241" s="696">
        <v>0.23100000000000001</v>
      </c>
      <c r="U1241" s="372" t="s">
        <v>8518</v>
      </c>
      <c r="V1241" s="722">
        <v>5.0999999999999996</v>
      </c>
      <c r="W1241" s="722">
        <v>0.16</v>
      </c>
      <c r="X1241" s="722">
        <v>0.04</v>
      </c>
      <c r="Y1241" s="722">
        <v>2.73</v>
      </c>
      <c r="Z1241" s="382">
        <v>-1.450509521783705E-2</v>
      </c>
      <c r="AA1241" s="372">
        <v>21999.6190818</v>
      </c>
      <c r="AB1241" s="372">
        <v>25618.01412</v>
      </c>
      <c r="AC1241" s="372">
        <v>29496.802500000002</v>
      </c>
      <c r="AD1241" s="372">
        <v>29770.050444799999</v>
      </c>
      <c r="AE1241" s="372">
        <v>28820</v>
      </c>
      <c r="AF1241" s="372">
        <v>29254.5</v>
      </c>
      <c r="AG1241" s="372">
        <v>28080</v>
      </c>
      <c r="AH1241" s="372">
        <v>28480</v>
      </c>
    </row>
    <row r="1242" spans="1:34">
      <c r="A1242" s="372" t="s">
        <v>8519</v>
      </c>
      <c r="B1242" s="373" t="s">
        <v>8520</v>
      </c>
      <c r="C1242" s="372" t="s">
        <v>8521</v>
      </c>
      <c r="D1242" s="374">
        <v>1801110328550</v>
      </c>
      <c r="E1242" s="372" t="s">
        <v>8522</v>
      </c>
      <c r="F1242" s="375" t="s">
        <v>1048</v>
      </c>
      <c r="G1242" s="375" t="s">
        <v>3197</v>
      </c>
      <c r="H1242" s="375" t="s">
        <v>868</v>
      </c>
      <c r="I1242" s="375" t="s">
        <v>869</v>
      </c>
      <c r="J1242" s="375">
        <v>81626.661940000005</v>
      </c>
      <c r="K1242" s="375">
        <v>11838.27526</v>
      </c>
      <c r="L1242" s="375">
        <v>10084.583710000001</v>
      </c>
      <c r="M1242" s="375">
        <v>46260.330099999999</v>
      </c>
      <c r="N1242" s="372">
        <v>0.75800000000000001</v>
      </c>
      <c r="O1242" s="703">
        <v>14.451269839518909</v>
      </c>
      <c r="P1242" s="375" t="s">
        <v>623</v>
      </c>
      <c r="Q1242" s="372" t="s">
        <v>623</v>
      </c>
      <c r="R1242" s="695">
        <v>20041215</v>
      </c>
      <c r="S1242" s="372" t="s">
        <v>8523</v>
      </c>
      <c r="T1242" s="696">
        <v>0.20900000000000002</v>
      </c>
      <c r="U1242" s="372" t="s">
        <v>8524</v>
      </c>
      <c r="V1242" s="722">
        <v>0</v>
      </c>
      <c r="W1242" s="722">
        <v>2.31</v>
      </c>
      <c r="X1242" s="722">
        <v>0</v>
      </c>
      <c r="Y1242" s="722">
        <v>0</v>
      </c>
      <c r="Z1242" s="382" t="s">
        <v>934</v>
      </c>
      <c r="AA1242" s="372">
        <v>394.37590210000002</v>
      </c>
      <c r="AB1242" s="372">
        <v>438.26656220000001</v>
      </c>
      <c r="AC1242" s="372">
        <v>636.68531910000002</v>
      </c>
      <c r="AD1242" s="372">
        <v>816.26661939999997</v>
      </c>
      <c r="AE1242" s="372">
        <v>0</v>
      </c>
      <c r="AF1242" s="372">
        <v>0</v>
      </c>
      <c r="AG1242" s="372">
        <v>0</v>
      </c>
      <c r="AH1242" s="372">
        <v>0</v>
      </c>
    </row>
    <row r="1243" spans="1:34">
      <c r="A1243" s="372" t="s">
        <v>8525</v>
      </c>
      <c r="B1243" s="373" t="s">
        <v>8526</v>
      </c>
      <c r="C1243" s="372" t="s">
        <v>8527</v>
      </c>
      <c r="D1243" s="374">
        <v>1101113104661</v>
      </c>
      <c r="E1243" s="372" t="s">
        <v>8528</v>
      </c>
      <c r="F1243" s="375" t="s">
        <v>982</v>
      </c>
      <c r="G1243" s="375" t="s">
        <v>983</v>
      </c>
      <c r="H1243" s="375" t="s">
        <v>1693</v>
      </c>
      <c r="I1243" s="375" t="s">
        <v>869</v>
      </c>
      <c r="J1243" s="375">
        <v>224980.56213000001</v>
      </c>
      <c r="K1243" s="375">
        <v>13950.55553</v>
      </c>
      <c r="L1243" s="375">
        <v>12957.870220000001</v>
      </c>
      <c r="M1243" s="375">
        <v>46713.504480000003</v>
      </c>
      <c r="N1243" s="372">
        <v>0.80300000000000005</v>
      </c>
      <c r="O1243" s="703">
        <v>20.110505279551298</v>
      </c>
      <c r="P1243" s="375" t="s">
        <v>623</v>
      </c>
      <c r="Q1243" s="375" t="s">
        <v>623</v>
      </c>
      <c r="R1243" s="695">
        <v>20161220</v>
      </c>
      <c r="S1243" s="375" t="s">
        <v>8529</v>
      </c>
      <c r="T1243" s="696">
        <v>0.20900000000000002</v>
      </c>
      <c r="U1243" s="372" t="s">
        <v>8530</v>
      </c>
      <c r="V1243" s="722">
        <v>10.15</v>
      </c>
      <c r="W1243" s="722">
        <v>3.02</v>
      </c>
      <c r="X1243" s="722">
        <v>0.62</v>
      </c>
      <c r="Y1243" s="722">
        <v>13.3</v>
      </c>
      <c r="Z1243" s="382" t="s">
        <v>934</v>
      </c>
      <c r="AA1243" s="372">
        <v>1119.7336322000001</v>
      </c>
      <c r="AB1243" s="372">
        <v>1217.5606330999999</v>
      </c>
      <c r="AC1243" s="372">
        <v>1705.8540697999999</v>
      </c>
      <c r="AD1243" s="372">
        <v>2249.8056213</v>
      </c>
      <c r="AE1243" s="372">
        <v>0</v>
      </c>
      <c r="AF1243" s="372">
        <v>0</v>
      </c>
      <c r="AG1243" s="372">
        <v>0</v>
      </c>
      <c r="AH1243" s="372">
        <v>0</v>
      </c>
    </row>
    <row r="1244" spans="1:34">
      <c r="A1244" s="372" t="s">
        <v>8531</v>
      </c>
      <c r="B1244" s="373" t="s">
        <v>8532</v>
      </c>
      <c r="C1244" s="372" t="s">
        <v>8533</v>
      </c>
      <c r="D1244" s="374">
        <v>1244110093120</v>
      </c>
      <c r="E1244" s="372" t="s">
        <v>8534</v>
      </c>
      <c r="F1244" s="375" t="s">
        <v>1285</v>
      </c>
      <c r="G1244" s="375" t="s">
        <v>1285</v>
      </c>
      <c r="H1244" s="375" t="s">
        <v>1388</v>
      </c>
      <c r="I1244" s="375" t="s">
        <v>869</v>
      </c>
      <c r="J1244" s="375">
        <v>87453.532389999993</v>
      </c>
      <c r="K1244" s="375">
        <v>796.06721000000005</v>
      </c>
      <c r="L1244" s="375">
        <v>-318.71643</v>
      </c>
      <c r="M1244" s="375">
        <v>36445.242720000002</v>
      </c>
      <c r="N1244" s="372">
        <v>0.96399999999999997</v>
      </c>
      <c r="O1244" s="703">
        <v>31.221612019152587</v>
      </c>
      <c r="P1244" s="375" t="s">
        <v>623</v>
      </c>
      <c r="Q1244" s="372" t="s">
        <v>623</v>
      </c>
      <c r="R1244" s="695">
        <v>20210625</v>
      </c>
      <c r="S1244" s="372" t="s">
        <v>8535</v>
      </c>
      <c r="T1244" s="696" t="s">
        <v>772</v>
      </c>
      <c r="U1244" s="372" t="s">
        <v>8536</v>
      </c>
      <c r="V1244" s="722">
        <v>0</v>
      </c>
      <c r="W1244" s="722">
        <v>3.59</v>
      </c>
      <c r="X1244" s="722">
        <v>0</v>
      </c>
      <c r="Y1244" s="722">
        <v>0</v>
      </c>
      <c r="Z1244" s="382" t="s">
        <v>934</v>
      </c>
      <c r="AA1244" s="372">
        <v>436.12305049999998</v>
      </c>
      <c r="AB1244" s="372">
        <v>567.59468519999996</v>
      </c>
      <c r="AC1244" s="372">
        <v>630.13530319999995</v>
      </c>
      <c r="AD1244" s="372">
        <v>874.53532389999998</v>
      </c>
      <c r="AE1244" s="372">
        <v>0</v>
      </c>
      <c r="AF1244" s="372">
        <v>0</v>
      </c>
      <c r="AG1244" s="372">
        <v>0</v>
      </c>
      <c r="AH1244" s="372">
        <v>0</v>
      </c>
    </row>
    <row r="1245" spans="1:34">
      <c r="A1245" s="372" t="s">
        <v>8537</v>
      </c>
      <c r="B1245" s="373" t="s">
        <v>8538</v>
      </c>
      <c r="C1245" s="372" t="s">
        <v>8539</v>
      </c>
      <c r="D1245" s="374">
        <v>1601110383490</v>
      </c>
      <c r="E1245" s="372" t="s">
        <v>8540</v>
      </c>
      <c r="F1245" s="375" t="s">
        <v>8541</v>
      </c>
      <c r="G1245" s="375" t="s">
        <v>8542</v>
      </c>
      <c r="H1245" s="375" t="s">
        <v>868</v>
      </c>
      <c r="I1245" s="375" t="s">
        <v>869</v>
      </c>
      <c r="J1245" s="375">
        <v>28927.922419999999</v>
      </c>
      <c r="K1245" s="375">
        <v>-2635.9136800000001</v>
      </c>
      <c r="L1245" s="375">
        <v>-3032.0010000000002</v>
      </c>
      <c r="M1245" s="375">
        <v>35684.519849999997</v>
      </c>
      <c r="N1245" s="372" t="s">
        <v>1033</v>
      </c>
      <c r="O1245" s="703">
        <v>9.5133445349514503</v>
      </c>
      <c r="P1245" s="375" t="s">
        <v>623</v>
      </c>
      <c r="Q1245" s="372" t="s">
        <v>623</v>
      </c>
      <c r="R1245" s="695">
        <v>20230209</v>
      </c>
      <c r="S1245" s="372" t="s">
        <v>8543</v>
      </c>
      <c r="T1245" s="696" t="s">
        <v>772</v>
      </c>
      <c r="U1245" s="375" t="s">
        <v>16050</v>
      </c>
      <c r="V1245" s="722" t="s">
        <v>774</v>
      </c>
      <c r="W1245" s="722">
        <v>4.09</v>
      </c>
      <c r="X1245" s="722">
        <v>4.55</v>
      </c>
      <c r="Y1245" s="722" t="s">
        <v>774</v>
      </c>
      <c r="Z1245" s="382" t="s">
        <v>934</v>
      </c>
      <c r="AA1245" s="372">
        <v>184.9925307</v>
      </c>
      <c r="AB1245" s="372">
        <v>208.9639205</v>
      </c>
      <c r="AC1245" s="372">
        <v>271.81744149999997</v>
      </c>
      <c r="AD1245" s="372">
        <v>289.27922419999999</v>
      </c>
      <c r="AE1245" s="372">
        <v>496</v>
      </c>
      <c r="AF1245" s="372">
        <v>0</v>
      </c>
      <c r="AG1245" s="372">
        <v>0</v>
      </c>
      <c r="AH1245" s="372">
        <v>0</v>
      </c>
    </row>
    <row r="1246" spans="1:34">
      <c r="A1246" s="372" t="s">
        <v>8544</v>
      </c>
      <c r="B1246" s="373" t="s">
        <v>8545</v>
      </c>
      <c r="C1246" s="372" t="s">
        <v>8546</v>
      </c>
      <c r="D1246" s="374">
        <v>1348110002981</v>
      </c>
      <c r="E1246" s="372" t="s">
        <v>8547</v>
      </c>
      <c r="F1246" s="375" t="s">
        <v>1292</v>
      </c>
      <c r="G1246" s="375" t="s">
        <v>1293</v>
      </c>
      <c r="H1246" s="375" t="s">
        <v>1050</v>
      </c>
      <c r="I1246" s="375" t="s">
        <v>755</v>
      </c>
      <c r="J1246" s="375">
        <v>226540.51050999999</v>
      </c>
      <c r="K1246" s="375">
        <v>16398.431250000001</v>
      </c>
      <c r="L1246" s="375">
        <v>19185.655030000002</v>
      </c>
      <c r="M1246" s="375">
        <v>175504.53745999999</v>
      </c>
      <c r="N1246" s="372">
        <v>1.1659999999999999</v>
      </c>
      <c r="O1246" s="703">
        <v>48.175391900496052</v>
      </c>
      <c r="P1246" s="375" t="s">
        <v>623</v>
      </c>
      <c r="Q1246" s="372" t="s">
        <v>623</v>
      </c>
      <c r="R1246" s="695">
        <v>19910830</v>
      </c>
      <c r="S1246" s="372" t="s">
        <v>8548</v>
      </c>
      <c r="T1246" s="696">
        <v>0.20900000000000002</v>
      </c>
      <c r="U1246" s="372" t="s">
        <v>16051</v>
      </c>
      <c r="V1246" s="722">
        <v>6.9</v>
      </c>
      <c r="W1246" s="722">
        <v>0.75</v>
      </c>
      <c r="X1246" s="722">
        <v>0.53</v>
      </c>
      <c r="Y1246" s="722">
        <v>7.08</v>
      </c>
      <c r="Z1246" s="382" t="s">
        <v>934</v>
      </c>
      <c r="AA1246" s="372">
        <v>1378.2969896</v>
      </c>
      <c r="AB1246" s="372">
        <v>2529.9240584999998</v>
      </c>
      <c r="AC1246" s="372">
        <v>2862.9676935000002</v>
      </c>
      <c r="AD1246" s="372">
        <v>2265.4051051000001</v>
      </c>
      <c r="AE1246" s="372">
        <v>0</v>
      </c>
      <c r="AF1246" s="372">
        <v>0</v>
      </c>
      <c r="AG1246" s="372">
        <v>0</v>
      </c>
      <c r="AH1246" s="372">
        <v>0</v>
      </c>
    </row>
    <row r="1247" spans="1:34">
      <c r="A1247" s="372" t="s">
        <v>8549</v>
      </c>
      <c r="B1247" s="373" t="s">
        <v>8550</v>
      </c>
      <c r="C1247" s="372" t="s">
        <v>8551</v>
      </c>
      <c r="D1247" s="374">
        <v>1801110003391</v>
      </c>
      <c r="E1247" s="372" t="s">
        <v>8552</v>
      </c>
      <c r="F1247" s="375" t="s">
        <v>1700</v>
      </c>
      <c r="G1247" s="375" t="s">
        <v>1701</v>
      </c>
      <c r="H1247" s="375" t="s">
        <v>832</v>
      </c>
      <c r="I1247" s="375" t="s">
        <v>755</v>
      </c>
      <c r="J1247" s="375">
        <v>638789.18099000002</v>
      </c>
      <c r="K1247" s="375">
        <v>23167.97091</v>
      </c>
      <c r="L1247" s="375">
        <v>23608.11796</v>
      </c>
      <c r="M1247" s="375">
        <v>692097.37089000002</v>
      </c>
      <c r="N1247" s="372">
        <v>1.07</v>
      </c>
      <c r="O1247" s="703">
        <v>71.676696358605412</v>
      </c>
      <c r="P1247" s="375" t="s">
        <v>623</v>
      </c>
      <c r="Q1247" s="372" t="s">
        <v>623</v>
      </c>
      <c r="R1247" s="695">
        <v>19751112</v>
      </c>
      <c r="S1247" s="372" t="s">
        <v>8553</v>
      </c>
      <c r="T1247" s="696">
        <v>0.23100000000000001</v>
      </c>
      <c r="U1247" s="372" t="s">
        <v>8554</v>
      </c>
      <c r="V1247" s="722">
        <v>4.91</v>
      </c>
      <c r="W1247" s="722">
        <v>0.22</v>
      </c>
      <c r="X1247" s="722">
        <v>0.21</v>
      </c>
      <c r="Y1247" s="722">
        <v>8.17</v>
      </c>
      <c r="Z1247" s="382" t="s">
        <v>934</v>
      </c>
      <c r="AA1247" s="372">
        <v>3408.0735249999998</v>
      </c>
      <c r="AB1247" s="372">
        <v>5909.8399998000004</v>
      </c>
      <c r="AC1247" s="372">
        <v>6731.6618847999998</v>
      </c>
      <c r="AD1247" s="372">
        <v>6387.8918099000002</v>
      </c>
      <c r="AE1247" s="372">
        <v>0</v>
      </c>
      <c r="AF1247" s="372">
        <v>0</v>
      </c>
      <c r="AG1247" s="372">
        <v>0</v>
      </c>
      <c r="AH1247" s="372">
        <v>0</v>
      </c>
    </row>
    <row r="1248" spans="1:34">
      <c r="A1248" s="372" t="s">
        <v>8555</v>
      </c>
      <c r="B1248" s="373" t="s">
        <v>8556</v>
      </c>
      <c r="C1248" s="372" t="s">
        <v>8557</v>
      </c>
      <c r="D1248" s="374">
        <v>1101110383515</v>
      </c>
      <c r="E1248" s="372" t="s">
        <v>8558</v>
      </c>
      <c r="F1248" s="375" t="s">
        <v>1334</v>
      </c>
      <c r="G1248" s="375" t="s">
        <v>1334</v>
      </c>
      <c r="H1248" s="375" t="s">
        <v>868</v>
      </c>
      <c r="I1248" s="375" t="s">
        <v>869</v>
      </c>
      <c r="J1248" s="375">
        <v>204222.61093</v>
      </c>
      <c r="K1248" s="375">
        <v>18809.277040000001</v>
      </c>
      <c r="L1248" s="375">
        <v>20682.902669999999</v>
      </c>
      <c r="M1248" s="375">
        <v>109355.89647000001</v>
      </c>
      <c r="N1248" s="372">
        <v>0.93500000000000005</v>
      </c>
      <c r="O1248" s="703">
        <v>32.594436601911084</v>
      </c>
      <c r="P1248" s="375" t="s">
        <v>623</v>
      </c>
      <c r="Q1248" s="372" t="s">
        <v>623</v>
      </c>
      <c r="R1248" s="695">
        <v>20020222</v>
      </c>
      <c r="S1248" s="372" t="s">
        <v>8559</v>
      </c>
      <c r="T1248" s="696">
        <v>0.23100000000000001</v>
      </c>
      <c r="U1248" s="372" t="s">
        <v>8560</v>
      </c>
      <c r="V1248" s="722">
        <v>0</v>
      </c>
      <c r="W1248" s="722">
        <v>1.1599999999999999</v>
      </c>
      <c r="X1248" s="722">
        <v>0</v>
      </c>
      <c r="Y1248" s="722">
        <v>0</v>
      </c>
      <c r="Z1248" s="382" t="s">
        <v>934</v>
      </c>
      <c r="AA1248" s="372">
        <v>1492.9334687999999</v>
      </c>
      <c r="AB1248" s="372">
        <v>1665.8640863000001</v>
      </c>
      <c r="AC1248" s="372">
        <v>1979.5734884999999</v>
      </c>
      <c r="AD1248" s="372">
        <v>2042.2261093</v>
      </c>
      <c r="AE1248" s="372">
        <v>0</v>
      </c>
      <c r="AF1248" s="372">
        <v>0</v>
      </c>
      <c r="AG1248" s="372">
        <v>0</v>
      </c>
      <c r="AH1248" s="372">
        <v>0</v>
      </c>
    </row>
    <row r="1249" spans="1:34">
      <c r="A1249" s="372" t="s">
        <v>8561</v>
      </c>
      <c r="B1249" s="373" t="s">
        <v>8562</v>
      </c>
      <c r="C1249" s="372" t="s">
        <v>8563</v>
      </c>
      <c r="D1249" s="374">
        <v>1846110000319</v>
      </c>
      <c r="E1249" s="372" t="s">
        <v>8564</v>
      </c>
      <c r="F1249" s="375" t="s">
        <v>5103</v>
      </c>
      <c r="G1249" s="375" t="s">
        <v>5103</v>
      </c>
      <c r="H1249" s="375" t="s">
        <v>1481</v>
      </c>
      <c r="I1249" s="375" t="s">
        <v>755</v>
      </c>
      <c r="J1249" s="375">
        <v>411810.1164</v>
      </c>
      <c r="K1249" s="375">
        <v>-7538.5070100000003</v>
      </c>
      <c r="L1249" s="375">
        <v>-16833.327020000001</v>
      </c>
      <c r="M1249" s="375">
        <v>205716.39801999999</v>
      </c>
      <c r="N1249" s="372">
        <v>0.877</v>
      </c>
      <c r="O1249" s="703">
        <v>56.532447085662099</v>
      </c>
      <c r="P1249" s="375" t="s">
        <v>623</v>
      </c>
      <c r="Q1249" s="372" t="s">
        <v>623</v>
      </c>
      <c r="R1249" s="695">
        <v>19951113</v>
      </c>
      <c r="S1249" s="372" t="s">
        <v>8565</v>
      </c>
      <c r="T1249" s="696" t="s">
        <v>772</v>
      </c>
      <c r="U1249" s="372" t="s">
        <v>8566</v>
      </c>
      <c r="V1249" s="722">
        <v>426.35</v>
      </c>
      <c r="W1249" s="722">
        <v>0.53</v>
      </c>
      <c r="X1249" s="722">
        <v>0.3</v>
      </c>
      <c r="Y1249" s="722" t="s">
        <v>774</v>
      </c>
      <c r="Z1249" s="382" t="s">
        <v>934</v>
      </c>
      <c r="AA1249" s="372">
        <v>2036.9476387</v>
      </c>
      <c r="AB1249" s="372">
        <v>2717.3813733000002</v>
      </c>
      <c r="AC1249" s="372">
        <v>3587.7406675000002</v>
      </c>
      <c r="AD1249" s="372">
        <v>4118.1011639999997</v>
      </c>
      <c r="AE1249" s="372">
        <v>0</v>
      </c>
      <c r="AF1249" s="372">
        <v>0</v>
      </c>
      <c r="AG1249" s="372">
        <v>0</v>
      </c>
      <c r="AH1249" s="372">
        <v>0</v>
      </c>
    </row>
    <row r="1250" spans="1:34">
      <c r="A1250" s="372" t="s">
        <v>8567</v>
      </c>
      <c r="B1250" s="373" t="s">
        <v>8568</v>
      </c>
      <c r="C1250" s="372" t="s">
        <v>8569</v>
      </c>
      <c r="D1250" s="374">
        <v>1101112062167</v>
      </c>
      <c r="E1250" s="372" t="s">
        <v>8570</v>
      </c>
      <c r="F1250" s="375" t="s">
        <v>1814</v>
      </c>
      <c r="G1250" s="375" t="s">
        <v>2821</v>
      </c>
      <c r="H1250" s="375" t="s">
        <v>1693</v>
      </c>
      <c r="I1250" s="375" t="s">
        <v>869</v>
      </c>
      <c r="J1250" s="375">
        <v>543627.60146999999</v>
      </c>
      <c r="K1250" s="375">
        <v>49345.273370000003</v>
      </c>
      <c r="L1250" s="375">
        <v>39445.415130000001</v>
      </c>
      <c r="M1250" s="375">
        <v>244455.77929000001</v>
      </c>
      <c r="N1250" s="372">
        <v>1.119</v>
      </c>
      <c r="O1250" s="703">
        <v>262.31297652817875</v>
      </c>
      <c r="P1250" s="375" t="s">
        <v>623</v>
      </c>
      <c r="Q1250" s="372" t="s">
        <v>623</v>
      </c>
      <c r="R1250" s="695">
        <v>20100618</v>
      </c>
      <c r="S1250" s="372" t="s">
        <v>8571</v>
      </c>
      <c r="T1250" s="696">
        <v>0.23100000000000001</v>
      </c>
      <c r="U1250" s="372" t="s">
        <v>8572</v>
      </c>
      <c r="V1250" s="722">
        <v>4.6900000000000004</v>
      </c>
      <c r="W1250" s="722">
        <v>0.96</v>
      </c>
      <c r="X1250" s="722">
        <v>0.22</v>
      </c>
      <c r="Y1250" s="722">
        <v>6.51</v>
      </c>
      <c r="Z1250" s="382" t="s">
        <v>934</v>
      </c>
      <c r="AA1250" s="372">
        <v>2860.4264029999999</v>
      </c>
      <c r="AB1250" s="372">
        <v>3232.8706022000001</v>
      </c>
      <c r="AC1250" s="372">
        <v>4493.3224072000003</v>
      </c>
      <c r="AD1250" s="372">
        <v>5436.2760146999999</v>
      </c>
      <c r="AE1250" s="372">
        <v>6145</v>
      </c>
      <c r="AF1250" s="372">
        <v>0</v>
      </c>
      <c r="AG1250" s="372">
        <v>0</v>
      </c>
      <c r="AH1250" s="372">
        <v>0</v>
      </c>
    </row>
    <row r="1251" spans="1:34">
      <c r="A1251" s="372" t="s">
        <v>8573</v>
      </c>
      <c r="B1251" s="373" t="s">
        <v>8574</v>
      </c>
      <c r="C1251" s="372" t="s">
        <v>8575</v>
      </c>
      <c r="D1251" s="374">
        <v>1101111731135</v>
      </c>
      <c r="E1251" s="372" t="s">
        <v>8576</v>
      </c>
      <c r="F1251" s="375" t="s">
        <v>1381</v>
      </c>
      <c r="G1251" s="375" t="s">
        <v>1381</v>
      </c>
      <c r="H1251" s="375" t="s">
        <v>902</v>
      </c>
      <c r="I1251" s="375" t="s">
        <v>869</v>
      </c>
      <c r="J1251" s="375">
        <v>73580.456489999997</v>
      </c>
      <c r="K1251" s="375">
        <v>13716.96211</v>
      </c>
      <c r="L1251" s="375">
        <v>7605.5463499999996</v>
      </c>
      <c r="M1251" s="375">
        <v>103320.93084</v>
      </c>
      <c r="N1251" s="372">
        <v>0.82199999999999995</v>
      </c>
      <c r="O1251" s="703">
        <v>2.3199802290249973</v>
      </c>
      <c r="P1251" s="375" t="s">
        <v>623</v>
      </c>
      <c r="Q1251" s="375" t="s">
        <v>623</v>
      </c>
      <c r="R1251" s="695">
        <v>20190125</v>
      </c>
      <c r="S1251" s="375" t="s">
        <v>8577</v>
      </c>
      <c r="T1251" s="696">
        <v>0.20900000000000002</v>
      </c>
      <c r="U1251" s="372" t="s">
        <v>8578</v>
      </c>
      <c r="V1251" s="722">
        <v>0</v>
      </c>
      <c r="W1251" s="722">
        <v>1.18</v>
      </c>
      <c r="X1251" s="722">
        <v>0</v>
      </c>
      <c r="Y1251" s="722">
        <v>0</v>
      </c>
      <c r="Z1251" s="382" t="s">
        <v>934</v>
      </c>
      <c r="AA1251" s="372">
        <v>728.30845859999999</v>
      </c>
      <c r="AB1251" s="372">
        <v>818.98870309999995</v>
      </c>
      <c r="AC1251" s="372">
        <v>878.66522469999995</v>
      </c>
      <c r="AD1251" s="372">
        <v>735.80456489999995</v>
      </c>
      <c r="AE1251" s="372">
        <v>0</v>
      </c>
      <c r="AF1251" s="372">
        <v>0</v>
      </c>
      <c r="AG1251" s="372">
        <v>0</v>
      </c>
      <c r="AH1251" s="372">
        <v>0</v>
      </c>
    </row>
    <row r="1252" spans="1:34">
      <c r="A1252" s="372" t="s">
        <v>8579</v>
      </c>
      <c r="B1252" s="373" t="s">
        <v>8580</v>
      </c>
      <c r="C1252" s="372" t="s">
        <v>8581</v>
      </c>
      <c r="D1252" s="374">
        <v>1101112373308</v>
      </c>
      <c r="E1252" s="372" t="s">
        <v>8582</v>
      </c>
      <c r="F1252" s="375" t="s">
        <v>1259</v>
      </c>
      <c r="G1252" s="375" t="s">
        <v>1259</v>
      </c>
      <c r="H1252" s="375" t="s">
        <v>788</v>
      </c>
      <c r="I1252" s="375" t="s">
        <v>755</v>
      </c>
      <c r="J1252" s="375">
        <v>160352.77835000001</v>
      </c>
      <c r="K1252" s="375">
        <v>-20152.520390000001</v>
      </c>
      <c r="L1252" s="375">
        <v>-24196.618009999998</v>
      </c>
      <c r="M1252" s="375">
        <v>123024.43796</v>
      </c>
      <c r="N1252" s="372">
        <v>1.0229999999999999</v>
      </c>
      <c r="O1252" s="703">
        <v>109.98897955869069</v>
      </c>
      <c r="P1252" s="375" t="s">
        <v>623</v>
      </c>
      <c r="Q1252" s="372" t="s">
        <v>623</v>
      </c>
      <c r="R1252" s="695">
        <v>20011211</v>
      </c>
      <c r="S1252" s="372" t="s">
        <v>8583</v>
      </c>
      <c r="T1252" s="696" t="s">
        <v>772</v>
      </c>
      <c r="U1252" s="372" t="s">
        <v>8584</v>
      </c>
      <c r="V1252" s="722" t="s">
        <v>774</v>
      </c>
      <c r="W1252" s="722">
        <v>1.06</v>
      </c>
      <c r="X1252" s="722">
        <v>0.82</v>
      </c>
      <c r="Y1252" s="722" t="s">
        <v>774</v>
      </c>
      <c r="Z1252" s="382" t="s">
        <v>934</v>
      </c>
      <c r="AA1252" s="372">
        <v>1245.9995941</v>
      </c>
      <c r="AB1252" s="372">
        <v>1422.384184</v>
      </c>
      <c r="AC1252" s="372">
        <v>1560.4232704000001</v>
      </c>
      <c r="AD1252" s="372">
        <v>1603.5277834999999</v>
      </c>
      <c r="AE1252" s="372">
        <v>1744</v>
      </c>
      <c r="AF1252" s="372">
        <v>0</v>
      </c>
      <c r="AG1252" s="372">
        <v>0</v>
      </c>
      <c r="AH1252" s="372">
        <v>0</v>
      </c>
    </row>
    <row r="1253" spans="1:34">
      <c r="A1253" s="372" t="s">
        <v>8585</v>
      </c>
      <c r="B1253" s="373" t="s">
        <v>8586</v>
      </c>
      <c r="C1253" s="372" t="s">
        <v>8587</v>
      </c>
      <c r="D1253" s="374">
        <v>1101112152067</v>
      </c>
      <c r="E1253" s="372" t="s">
        <v>8588</v>
      </c>
      <c r="F1253" s="375" t="s">
        <v>5569</v>
      </c>
      <c r="G1253" s="375" t="s">
        <v>5569</v>
      </c>
      <c r="H1253" s="375" t="s">
        <v>868</v>
      </c>
      <c r="I1253" s="375" t="s">
        <v>869</v>
      </c>
      <c r="J1253" s="375">
        <v>14654.7755</v>
      </c>
      <c r="K1253" s="375">
        <v>-205.22909999999999</v>
      </c>
      <c r="L1253" s="375">
        <v>-3905.4028800000001</v>
      </c>
      <c r="M1253" s="375">
        <v>42026.470710000001</v>
      </c>
      <c r="N1253" s="372">
        <v>0.76200000000000001</v>
      </c>
      <c r="O1253" s="703">
        <v>6.2023284422282288</v>
      </c>
      <c r="P1253" s="375" t="s">
        <v>623</v>
      </c>
      <c r="Q1253" s="375" t="s">
        <v>623</v>
      </c>
      <c r="R1253" s="695">
        <v>20191024</v>
      </c>
      <c r="S1253" s="375" t="s">
        <v>8589</v>
      </c>
      <c r="T1253" s="696" t="s">
        <v>772</v>
      </c>
      <c r="U1253" s="372" t="s">
        <v>8590</v>
      </c>
      <c r="V1253" s="722">
        <v>102.6</v>
      </c>
      <c r="W1253" s="722">
        <v>3.25</v>
      </c>
      <c r="X1253" s="722">
        <v>8.31</v>
      </c>
      <c r="Y1253" s="722" t="s">
        <v>774</v>
      </c>
      <c r="Z1253" s="382" t="s">
        <v>934</v>
      </c>
      <c r="AA1253" s="372">
        <v>81.903629300000006</v>
      </c>
      <c r="AB1253" s="372">
        <v>88.711092399999998</v>
      </c>
      <c r="AC1253" s="372">
        <v>110.2381476</v>
      </c>
      <c r="AD1253" s="372">
        <v>146.547755</v>
      </c>
      <c r="AE1253" s="372">
        <v>0</v>
      </c>
      <c r="AF1253" s="372">
        <v>0</v>
      </c>
      <c r="AG1253" s="372">
        <v>0</v>
      </c>
      <c r="AH1253" s="372">
        <v>0</v>
      </c>
    </row>
    <row r="1254" spans="1:34">
      <c r="A1254" s="372" t="s">
        <v>8591</v>
      </c>
      <c r="B1254" s="373" t="s">
        <v>8592</v>
      </c>
      <c r="C1254" s="372" t="s">
        <v>8593</v>
      </c>
      <c r="D1254" s="374">
        <v>1101112165838</v>
      </c>
      <c r="E1254" s="372" t="s">
        <v>8594</v>
      </c>
      <c r="F1254" s="375" t="s">
        <v>1814</v>
      </c>
      <c r="G1254" s="375" t="s">
        <v>1815</v>
      </c>
      <c r="H1254" s="375" t="s">
        <v>1693</v>
      </c>
      <c r="I1254" s="375" t="s">
        <v>869</v>
      </c>
      <c r="J1254" s="375">
        <v>0</v>
      </c>
      <c r="K1254" s="375">
        <v>0</v>
      </c>
      <c r="L1254" s="375">
        <v>0</v>
      </c>
      <c r="M1254" s="375">
        <v>0</v>
      </c>
      <c r="N1254" s="372">
        <v>1.298</v>
      </c>
      <c r="O1254" s="703">
        <v>0</v>
      </c>
      <c r="P1254" s="375" t="s">
        <v>623</v>
      </c>
      <c r="Q1254" s="372" t="s">
        <v>623</v>
      </c>
      <c r="R1254" s="695">
        <v>20190322</v>
      </c>
      <c r="S1254" s="372" t="s">
        <v>8442</v>
      </c>
      <c r="T1254" s="696" t="s">
        <v>772</v>
      </c>
      <c r="U1254" s="372" t="s">
        <v>8595</v>
      </c>
      <c r="V1254" s="722">
        <v>0</v>
      </c>
      <c r="W1254" s="722">
        <v>0</v>
      </c>
      <c r="X1254" s="722">
        <v>0</v>
      </c>
      <c r="Y1254" s="722">
        <v>0</v>
      </c>
      <c r="Z1254" s="382" t="s">
        <v>774</v>
      </c>
      <c r="AA1254" s="372">
        <v>769.03899720000004</v>
      </c>
      <c r="AB1254" s="372">
        <v>920.72127030000001</v>
      </c>
      <c r="AC1254" s="372">
        <v>731.87504439999998</v>
      </c>
      <c r="AD1254" s="372">
        <v>0</v>
      </c>
      <c r="AE1254" s="372">
        <v>0</v>
      </c>
      <c r="AF1254" s="372">
        <v>0</v>
      </c>
      <c r="AG1254" s="372">
        <v>0</v>
      </c>
      <c r="AH1254" s="372">
        <v>0</v>
      </c>
    </row>
    <row r="1255" spans="1:34">
      <c r="A1255" s="372" t="s">
        <v>8596</v>
      </c>
      <c r="B1255" s="373" t="s">
        <v>8597</v>
      </c>
      <c r="C1255" s="372" t="s">
        <v>8598</v>
      </c>
      <c r="D1255" s="374">
        <v>1301110007137</v>
      </c>
      <c r="E1255" s="372" t="s">
        <v>8599</v>
      </c>
      <c r="F1255" s="375" t="s">
        <v>2139</v>
      </c>
      <c r="G1255" s="375" t="s">
        <v>8412</v>
      </c>
      <c r="H1255" s="375" t="s">
        <v>817</v>
      </c>
      <c r="I1255" s="375" t="s">
        <v>755</v>
      </c>
      <c r="J1255" s="375">
        <v>1323045.9559299999</v>
      </c>
      <c r="K1255" s="375">
        <v>-9266.0442500000008</v>
      </c>
      <c r="L1255" s="375">
        <v>-30013.184730000001</v>
      </c>
      <c r="M1255" s="375">
        <v>250263.99194000001</v>
      </c>
      <c r="N1255" s="372">
        <v>1.069</v>
      </c>
      <c r="O1255" s="703">
        <v>356.56297233266145</v>
      </c>
      <c r="P1255" s="375" t="s">
        <v>623</v>
      </c>
      <c r="Q1255" s="375" t="s">
        <v>623</v>
      </c>
      <c r="R1255" s="695">
        <v>19891205</v>
      </c>
      <c r="S1255" s="375" t="s">
        <v>8600</v>
      </c>
      <c r="T1255" s="696" t="s">
        <v>772</v>
      </c>
      <c r="U1255" s="372" t="s">
        <v>8601</v>
      </c>
      <c r="V1255" s="722" t="s">
        <v>774</v>
      </c>
      <c r="W1255" s="722">
        <v>0.5</v>
      </c>
      <c r="X1255" s="722">
        <v>0.09</v>
      </c>
      <c r="Y1255" s="722" t="s">
        <v>774</v>
      </c>
      <c r="Z1255" s="382" t="s">
        <v>934</v>
      </c>
      <c r="AA1255" s="372">
        <v>9335.6048793000009</v>
      </c>
      <c r="AB1255" s="372">
        <v>12776.3571225</v>
      </c>
      <c r="AC1255" s="372">
        <v>14412.72496</v>
      </c>
      <c r="AD1255" s="372">
        <v>13230.459559299999</v>
      </c>
      <c r="AE1255" s="372">
        <v>0</v>
      </c>
      <c r="AF1255" s="372">
        <v>0</v>
      </c>
      <c r="AG1255" s="372">
        <v>0</v>
      </c>
      <c r="AH1255" s="372">
        <v>0</v>
      </c>
    </row>
    <row r="1256" spans="1:34">
      <c r="A1256" s="372" t="s">
        <v>8602</v>
      </c>
      <c r="B1256" s="373" t="s">
        <v>8603</v>
      </c>
      <c r="C1256" s="372" t="s">
        <v>8604</v>
      </c>
      <c r="D1256" s="374">
        <v>1101117914785</v>
      </c>
      <c r="E1256" s="372" t="s">
        <v>8605</v>
      </c>
      <c r="F1256" s="372" t="s">
        <v>1985</v>
      </c>
      <c r="G1256" s="375" t="s">
        <v>1985</v>
      </c>
      <c r="H1256" s="375" t="s">
        <v>1693</v>
      </c>
      <c r="I1256" s="375" t="s">
        <v>869</v>
      </c>
      <c r="J1256" s="375">
        <v>27347.504219999999</v>
      </c>
      <c r="K1256" s="375">
        <v>1842.5587399999999</v>
      </c>
      <c r="L1256" s="375">
        <v>2384.1069699999998</v>
      </c>
      <c r="M1256" s="375">
        <v>26173.693469999998</v>
      </c>
      <c r="N1256" s="372">
        <v>0.96</v>
      </c>
      <c r="O1256" s="703">
        <v>0.73238212429898408</v>
      </c>
      <c r="P1256" s="375" t="s">
        <v>623</v>
      </c>
      <c r="Q1256" s="372" t="s">
        <v>623</v>
      </c>
      <c r="R1256" s="695">
        <v>20211015</v>
      </c>
      <c r="S1256" s="372" t="s">
        <v>8606</v>
      </c>
      <c r="T1256" s="696">
        <v>0.20900000000000002</v>
      </c>
      <c r="U1256" s="372" t="s">
        <v>8607</v>
      </c>
      <c r="V1256" s="722">
        <v>0</v>
      </c>
      <c r="W1256" s="722">
        <v>4.12</v>
      </c>
      <c r="X1256" s="722">
        <v>0</v>
      </c>
      <c r="Y1256" s="722">
        <v>0</v>
      </c>
      <c r="Z1256" s="382" t="s">
        <v>934</v>
      </c>
      <c r="AA1256" s="372">
        <v>0</v>
      </c>
      <c r="AB1256" s="372">
        <v>272.9156921</v>
      </c>
      <c r="AC1256" s="372">
        <v>300.9272307</v>
      </c>
      <c r="AD1256" s="372">
        <v>273.47504220000002</v>
      </c>
      <c r="AE1256" s="372">
        <v>0</v>
      </c>
      <c r="AF1256" s="372">
        <v>0</v>
      </c>
      <c r="AG1256" s="372">
        <v>0</v>
      </c>
      <c r="AH1256" s="372">
        <v>0</v>
      </c>
    </row>
    <row r="1257" spans="1:34">
      <c r="A1257" s="372" t="s">
        <v>8608</v>
      </c>
      <c r="B1257" s="373" t="s">
        <v>8609</v>
      </c>
      <c r="C1257" s="372" t="s">
        <v>8610</v>
      </c>
      <c r="D1257" s="374">
        <v>1101110042484</v>
      </c>
      <c r="E1257" s="372" t="s">
        <v>8611</v>
      </c>
      <c r="F1257" s="375" t="s">
        <v>1272</v>
      </c>
      <c r="G1257" s="375" t="s">
        <v>1273</v>
      </c>
      <c r="H1257" s="375" t="s">
        <v>1274</v>
      </c>
      <c r="I1257" s="375" t="s">
        <v>755</v>
      </c>
      <c r="J1257" s="375">
        <v>13533.26892</v>
      </c>
      <c r="K1257" s="375">
        <v>-429.52429999999998</v>
      </c>
      <c r="L1257" s="375">
        <v>8823.83806</v>
      </c>
      <c r="M1257" s="375">
        <v>506052.35051999998</v>
      </c>
      <c r="N1257" s="372">
        <v>0.66</v>
      </c>
      <c r="O1257" s="703">
        <v>138.77572280767666</v>
      </c>
      <c r="P1257" s="375" t="s">
        <v>623</v>
      </c>
      <c r="Q1257" s="375" t="s">
        <v>623</v>
      </c>
      <c r="R1257" s="695">
        <v>19870824</v>
      </c>
      <c r="S1257" s="375" t="s">
        <v>3236</v>
      </c>
      <c r="T1257" s="696">
        <v>0.20900000000000002</v>
      </c>
      <c r="U1257" s="372" t="s">
        <v>8612</v>
      </c>
      <c r="V1257" s="722">
        <v>0</v>
      </c>
      <c r="W1257" s="722">
        <v>0.33</v>
      </c>
      <c r="X1257" s="722">
        <v>0</v>
      </c>
      <c r="Y1257" s="722">
        <v>0</v>
      </c>
      <c r="Z1257" s="382" t="s">
        <v>934</v>
      </c>
      <c r="AA1257" s="372">
        <v>148.1382883</v>
      </c>
      <c r="AB1257" s="372">
        <v>179.92044379999999</v>
      </c>
      <c r="AC1257" s="372">
        <v>90.463786600000006</v>
      </c>
      <c r="AD1257" s="372">
        <v>135.3326892</v>
      </c>
      <c r="AE1257" s="372">
        <v>0</v>
      </c>
      <c r="AF1257" s="372">
        <v>0</v>
      </c>
      <c r="AG1257" s="372">
        <v>0</v>
      </c>
      <c r="AH1257" s="372">
        <v>0</v>
      </c>
    </row>
    <row r="1258" spans="1:34">
      <c r="A1258" s="372" t="s">
        <v>8613</v>
      </c>
      <c r="B1258" s="373" t="s">
        <v>8614</v>
      </c>
      <c r="C1258" s="372" t="s">
        <v>8615</v>
      </c>
      <c r="D1258" s="374">
        <v>1101110545529</v>
      </c>
      <c r="E1258" s="372" t="s">
        <v>8616</v>
      </c>
      <c r="F1258" s="372" t="s">
        <v>1881</v>
      </c>
      <c r="G1258" s="375" t="s">
        <v>1882</v>
      </c>
      <c r="H1258" s="375" t="s">
        <v>868</v>
      </c>
      <c r="I1258" s="375" t="s">
        <v>869</v>
      </c>
      <c r="J1258" s="375">
        <v>1440557.26508</v>
      </c>
      <c r="K1258" s="375">
        <v>51648.11649</v>
      </c>
      <c r="L1258" s="375">
        <v>36467.087749999999</v>
      </c>
      <c r="M1258" s="375">
        <v>318844.67482999997</v>
      </c>
      <c r="N1258" s="372">
        <v>0.83299999999999996</v>
      </c>
      <c r="O1258" s="703">
        <v>362.80974046141085</v>
      </c>
      <c r="P1258" s="375" t="s">
        <v>623</v>
      </c>
      <c r="Q1258" s="372" t="s">
        <v>623</v>
      </c>
      <c r="R1258" s="695">
        <v>20011102</v>
      </c>
      <c r="S1258" s="372" t="s">
        <v>8617</v>
      </c>
      <c r="T1258" s="696">
        <v>0.23100000000000001</v>
      </c>
      <c r="U1258" s="372" t="s">
        <v>8618</v>
      </c>
      <c r="V1258" s="722">
        <v>3.32</v>
      </c>
      <c r="W1258" s="722">
        <v>0.42</v>
      </c>
      <c r="X1258" s="722">
        <v>0.09</v>
      </c>
      <c r="Y1258" s="722">
        <v>4.5199999999999996</v>
      </c>
      <c r="Z1258" s="382" t="s">
        <v>934</v>
      </c>
      <c r="AA1258" s="372">
        <v>9415.6820299999999</v>
      </c>
      <c r="AB1258" s="372">
        <v>10298.150414199999</v>
      </c>
      <c r="AC1258" s="372">
        <v>11995.129634999999</v>
      </c>
      <c r="AD1258" s="372">
        <v>14405.572650800001</v>
      </c>
      <c r="AE1258" s="372">
        <v>0</v>
      </c>
      <c r="AF1258" s="372">
        <v>0</v>
      </c>
      <c r="AG1258" s="372">
        <v>0</v>
      </c>
      <c r="AH1258" s="372">
        <v>0</v>
      </c>
    </row>
    <row r="1259" spans="1:34">
      <c r="A1259" s="372" t="s">
        <v>8619</v>
      </c>
      <c r="B1259" s="373" t="s">
        <v>8620</v>
      </c>
      <c r="C1259" s="372" t="s">
        <v>8621</v>
      </c>
      <c r="D1259" s="374">
        <v>1101110036396</v>
      </c>
      <c r="E1259" s="372" t="s">
        <v>8622</v>
      </c>
      <c r="F1259" s="375" t="s">
        <v>1334</v>
      </c>
      <c r="G1259" s="375" t="s">
        <v>1334</v>
      </c>
      <c r="H1259" s="375" t="s">
        <v>788</v>
      </c>
      <c r="I1259" s="375" t="s">
        <v>755</v>
      </c>
      <c r="J1259" s="375">
        <v>87363.627710000001</v>
      </c>
      <c r="K1259" s="375">
        <v>-57477.960959999997</v>
      </c>
      <c r="L1259" s="375">
        <v>-113383.00548000001</v>
      </c>
      <c r="M1259" s="375">
        <v>368691.47772999998</v>
      </c>
      <c r="N1259" s="372">
        <v>0.82099999999999995</v>
      </c>
      <c r="O1259" s="703">
        <v>172.69018806329726</v>
      </c>
      <c r="P1259" s="375" t="s">
        <v>623</v>
      </c>
      <c r="Q1259" s="372" t="s">
        <v>623</v>
      </c>
      <c r="R1259" s="695">
        <v>19841019</v>
      </c>
      <c r="S1259" s="372" t="s">
        <v>8623</v>
      </c>
      <c r="T1259" s="696" t="s">
        <v>772</v>
      </c>
      <c r="U1259" s="372" t="s">
        <v>16052</v>
      </c>
      <c r="V1259" s="722" t="s">
        <v>774</v>
      </c>
      <c r="W1259" s="722">
        <v>0.52</v>
      </c>
      <c r="X1259" s="722">
        <v>2.14</v>
      </c>
      <c r="Y1259" s="722" t="s">
        <v>774</v>
      </c>
      <c r="Z1259" s="382" t="s">
        <v>934</v>
      </c>
      <c r="AA1259" s="372">
        <v>533.19976199999996</v>
      </c>
      <c r="AB1259" s="372">
        <v>564.81701580000004</v>
      </c>
      <c r="AC1259" s="372">
        <v>651.90359330000001</v>
      </c>
      <c r="AD1259" s="372">
        <v>873.63627710000003</v>
      </c>
      <c r="AE1259" s="372">
        <v>0</v>
      </c>
      <c r="AF1259" s="372">
        <v>0</v>
      </c>
      <c r="AG1259" s="372">
        <v>0</v>
      </c>
      <c r="AH1259" s="372">
        <v>0</v>
      </c>
    </row>
    <row r="1260" spans="1:34">
      <c r="A1260" s="372" t="s">
        <v>8624</v>
      </c>
      <c r="B1260" s="373" t="s">
        <v>8625</v>
      </c>
      <c r="C1260" s="372" t="s">
        <v>8626</v>
      </c>
      <c r="D1260" s="374">
        <v>1243110024177</v>
      </c>
      <c r="E1260" s="372" t="s">
        <v>8627</v>
      </c>
      <c r="F1260" s="372" t="s">
        <v>2535</v>
      </c>
      <c r="G1260" s="375" t="s">
        <v>2535</v>
      </c>
      <c r="H1260" s="375" t="s">
        <v>868</v>
      </c>
      <c r="I1260" s="375" t="s">
        <v>869</v>
      </c>
      <c r="J1260" s="375">
        <v>66156.7693</v>
      </c>
      <c r="K1260" s="375">
        <v>2254.5012900000002</v>
      </c>
      <c r="L1260" s="375">
        <v>-350.46512999999999</v>
      </c>
      <c r="M1260" s="375">
        <v>62634.571949999998</v>
      </c>
      <c r="N1260" s="372">
        <v>0.80800000000000005</v>
      </c>
      <c r="O1260" s="703">
        <v>34.812789728483892</v>
      </c>
      <c r="P1260" s="375" t="s">
        <v>623</v>
      </c>
      <c r="Q1260" s="372" t="s">
        <v>623</v>
      </c>
      <c r="R1260" s="695">
        <v>20071001</v>
      </c>
      <c r="S1260" s="372" t="s">
        <v>8628</v>
      </c>
      <c r="T1260" s="696" t="s">
        <v>772</v>
      </c>
      <c r="U1260" s="372" t="s">
        <v>8629</v>
      </c>
      <c r="V1260" s="722">
        <v>25.31</v>
      </c>
      <c r="W1260" s="722">
        <v>1.45</v>
      </c>
      <c r="X1260" s="722">
        <v>1.49</v>
      </c>
      <c r="Y1260" s="722">
        <v>224.46</v>
      </c>
      <c r="Z1260" s="382" t="s">
        <v>934</v>
      </c>
      <c r="AA1260" s="372">
        <v>1301.1421322000001</v>
      </c>
      <c r="AB1260" s="372">
        <v>723.89120839999998</v>
      </c>
      <c r="AC1260" s="372">
        <v>674.12484210000002</v>
      </c>
      <c r="AD1260" s="372">
        <v>661.56769299999996</v>
      </c>
      <c r="AE1260" s="372">
        <v>0</v>
      </c>
      <c r="AF1260" s="372">
        <v>0</v>
      </c>
      <c r="AG1260" s="372">
        <v>0</v>
      </c>
      <c r="AH1260" s="372">
        <v>0</v>
      </c>
    </row>
    <row r="1261" spans="1:34">
      <c r="A1261" s="372" t="s">
        <v>8630</v>
      </c>
      <c r="B1261" s="373" t="s">
        <v>8631</v>
      </c>
      <c r="C1261" s="372" t="s">
        <v>8632</v>
      </c>
      <c r="D1261" s="374">
        <v>2059110000169</v>
      </c>
      <c r="E1261" s="372" t="s">
        <v>8633</v>
      </c>
      <c r="F1261" s="375" t="s">
        <v>1881</v>
      </c>
      <c r="G1261" s="375" t="s">
        <v>1882</v>
      </c>
      <c r="H1261" s="375" t="s">
        <v>797</v>
      </c>
      <c r="I1261" s="375" t="s">
        <v>755</v>
      </c>
      <c r="J1261" s="375">
        <v>364320.45085999998</v>
      </c>
      <c r="K1261" s="375">
        <v>10773.82908</v>
      </c>
      <c r="L1261" s="375">
        <v>-14648.730960000001</v>
      </c>
      <c r="M1261" s="375">
        <v>303120.57261999999</v>
      </c>
      <c r="N1261" s="372">
        <v>0.54500000000000004</v>
      </c>
      <c r="O1261" s="703">
        <v>46.006383806838038</v>
      </c>
      <c r="P1261" s="375" t="s">
        <v>623</v>
      </c>
      <c r="Q1261" s="375" t="s">
        <v>623</v>
      </c>
      <c r="R1261" s="695">
        <v>20151111</v>
      </c>
      <c r="S1261" s="375" t="s">
        <v>8634</v>
      </c>
      <c r="T1261" s="696" t="s">
        <v>772</v>
      </c>
      <c r="U1261" s="372" t="s">
        <v>8635</v>
      </c>
      <c r="V1261" s="722">
        <v>5.86</v>
      </c>
      <c r="W1261" s="722">
        <v>0.39</v>
      </c>
      <c r="X1261" s="722">
        <v>0.34</v>
      </c>
      <c r="Y1261" s="722" t="s">
        <v>774</v>
      </c>
      <c r="Z1261" s="382" t="s">
        <v>934</v>
      </c>
      <c r="AA1261" s="372">
        <v>2196.3255745000001</v>
      </c>
      <c r="AB1261" s="372">
        <v>2339.8556717000001</v>
      </c>
      <c r="AC1261" s="372">
        <v>2777.7035323</v>
      </c>
      <c r="AD1261" s="372">
        <v>3643.2045085999998</v>
      </c>
      <c r="AE1261" s="372">
        <v>0</v>
      </c>
      <c r="AF1261" s="372">
        <v>0</v>
      </c>
      <c r="AG1261" s="372">
        <v>0</v>
      </c>
      <c r="AH1261" s="372">
        <v>0</v>
      </c>
    </row>
    <row r="1262" spans="1:34">
      <c r="A1262" s="372" t="s">
        <v>8636</v>
      </c>
      <c r="B1262" s="373" t="s">
        <v>8637</v>
      </c>
      <c r="C1262" s="372" t="s">
        <v>8638</v>
      </c>
      <c r="D1262" s="374">
        <v>2001110021009</v>
      </c>
      <c r="E1262" s="372" t="s">
        <v>8639</v>
      </c>
      <c r="F1262" s="375" t="s">
        <v>8640</v>
      </c>
      <c r="G1262" s="375" t="s">
        <v>8641</v>
      </c>
      <c r="H1262" s="375" t="s">
        <v>1547</v>
      </c>
      <c r="I1262" s="375" t="s">
        <v>869</v>
      </c>
      <c r="J1262" s="375">
        <v>24670.582729999998</v>
      </c>
      <c r="K1262" s="375">
        <v>11794.142260000001</v>
      </c>
      <c r="L1262" s="375">
        <v>21388.67152</v>
      </c>
      <c r="M1262" s="375">
        <v>179722.93195999999</v>
      </c>
      <c r="N1262" s="372">
        <v>0.63800000000000001</v>
      </c>
      <c r="O1262" s="703">
        <v>0</v>
      </c>
      <c r="P1262" s="375" t="s">
        <v>623</v>
      </c>
      <c r="Q1262" s="375" t="s">
        <v>623</v>
      </c>
      <c r="R1262" s="695">
        <v>20181129</v>
      </c>
      <c r="S1262" s="375" t="s">
        <v>8642</v>
      </c>
      <c r="T1262" s="696">
        <v>0.23100000000000001</v>
      </c>
      <c r="U1262" s="372" t="s">
        <v>8643</v>
      </c>
      <c r="V1262" s="722">
        <v>0</v>
      </c>
      <c r="W1262" s="722">
        <v>0.73</v>
      </c>
      <c r="X1262" s="722">
        <v>0</v>
      </c>
      <c r="Y1262" s="722">
        <v>0</v>
      </c>
      <c r="Z1262" s="382" t="s">
        <v>934</v>
      </c>
      <c r="AA1262" s="372">
        <v>177.13931819999999</v>
      </c>
      <c r="AB1262" s="372">
        <v>258.93224079999999</v>
      </c>
      <c r="AC1262" s="372">
        <v>304.35802719999998</v>
      </c>
      <c r="AD1262" s="372">
        <v>246.70582730000001</v>
      </c>
      <c r="AE1262" s="372">
        <v>0</v>
      </c>
      <c r="AF1262" s="372">
        <v>0</v>
      </c>
      <c r="AG1262" s="372">
        <v>0</v>
      </c>
      <c r="AH1262" s="372">
        <v>0</v>
      </c>
    </row>
    <row r="1263" spans="1:34">
      <c r="A1263" s="372" t="s">
        <v>8644</v>
      </c>
      <c r="B1263" s="373" t="s">
        <v>8645</v>
      </c>
      <c r="C1263" s="372" t="s">
        <v>8646</v>
      </c>
      <c r="D1263" s="374">
        <v>1801110071794</v>
      </c>
      <c r="E1263" s="372" t="s">
        <v>8647</v>
      </c>
      <c r="F1263" s="375" t="s">
        <v>2112</v>
      </c>
      <c r="G1263" s="375" t="s">
        <v>2112</v>
      </c>
      <c r="H1263" s="375" t="s">
        <v>817</v>
      </c>
      <c r="I1263" s="375" t="s">
        <v>755</v>
      </c>
      <c r="J1263" s="375">
        <v>218258.66953000001</v>
      </c>
      <c r="K1263" s="375">
        <v>9056.1805299999996</v>
      </c>
      <c r="L1263" s="375">
        <v>-15318.7045</v>
      </c>
      <c r="M1263" s="375">
        <v>243377.45363</v>
      </c>
      <c r="N1263" s="372">
        <v>0.72399999999999998</v>
      </c>
      <c r="O1263" s="703">
        <v>5.1460824523866719</v>
      </c>
      <c r="P1263" s="375" t="s">
        <v>623</v>
      </c>
      <c r="Q1263" s="375" t="s">
        <v>623</v>
      </c>
      <c r="R1263" s="695">
        <v>19990818</v>
      </c>
      <c r="S1263" s="375" t="s">
        <v>8648</v>
      </c>
      <c r="T1263" s="696" t="s">
        <v>772</v>
      </c>
      <c r="U1263" s="372" t="s">
        <v>8649</v>
      </c>
      <c r="V1263" s="722">
        <v>0</v>
      </c>
      <c r="W1263" s="722">
        <v>0.49</v>
      </c>
      <c r="X1263" s="722">
        <v>0</v>
      </c>
      <c r="Y1263" s="722">
        <v>0</v>
      </c>
      <c r="Z1263" s="382" t="s">
        <v>934</v>
      </c>
      <c r="AA1263" s="372">
        <v>1653.7639545</v>
      </c>
      <c r="AB1263" s="372">
        <v>2508.2905986999999</v>
      </c>
      <c r="AC1263" s="372">
        <v>2406.0420334999999</v>
      </c>
      <c r="AD1263" s="372">
        <v>2182.5866953</v>
      </c>
      <c r="AE1263" s="372">
        <v>0</v>
      </c>
      <c r="AF1263" s="372">
        <v>0</v>
      </c>
      <c r="AG1263" s="372">
        <v>0</v>
      </c>
      <c r="AH1263" s="372">
        <v>0</v>
      </c>
    </row>
    <row r="1264" spans="1:34">
      <c r="A1264" s="372" t="s">
        <v>8650</v>
      </c>
      <c r="B1264" s="373" t="s">
        <v>8651</v>
      </c>
      <c r="C1264" s="372" t="s">
        <v>8652</v>
      </c>
      <c r="D1264" s="374">
        <v>1101112307539</v>
      </c>
      <c r="E1264" s="372" t="s">
        <v>8653</v>
      </c>
      <c r="F1264" s="375" t="s">
        <v>2465</v>
      </c>
      <c r="G1264" s="375" t="s">
        <v>2465</v>
      </c>
      <c r="H1264" s="375" t="s">
        <v>1348</v>
      </c>
      <c r="I1264" s="375" t="s">
        <v>869</v>
      </c>
      <c r="J1264" s="375">
        <v>98612.582460000005</v>
      </c>
      <c r="K1264" s="375">
        <v>6616.4308899999996</v>
      </c>
      <c r="L1264" s="375">
        <v>6828.1716200000001</v>
      </c>
      <c r="M1264" s="375">
        <v>40289.799859999999</v>
      </c>
      <c r="N1264" s="372">
        <v>1.0369999999999999</v>
      </c>
      <c r="O1264" s="703">
        <v>19.905764053875064</v>
      </c>
      <c r="P1264" s="375" t="s">
        <v>623</v>
      </c>
      <c r="Q1264" s="372" t="s">
        <v>623</v>
      </c>
      <c r="R1264" s="695">
        <v>20190130</v>
      </c>
      <c r="S1264" s="372" t="s">
        <v>8654</v>
      </c>
      <c r="T1264" s="696">
        <v>0.20900000000000002</v>
      </c>
      <c r="U1264" s="372" t="s">
        <v>8655</v>
      </c>
      <c r="V1264" s="722">
        <v>10.81</v>
      </c>
      <c r="W1264" s="722">
        <v>2.58</v>
      </c>
      <c r="X1264" s="722">
        <v>1.05</v>
      </c>
      <c r="Y1264" s="722">
        <v>17.57</v>
      </c>
      <c r="Z1264" s="382" t="s">
        <v>934</v>
      </c>
      <c r="AA1264" s="372">
        <v>199.5949392</v>
      </c>
      <c r="AB1264" s="372">
        <v>29.2845561</v>
      </c>
      <c r="AC1264" s="372">
        <v>220.04644709999999</v>
      </c>
      <c r="AD1264" s="372">
        <v>986.12582459999999</v>
      </c>
      <c r="AE1264" s="372">
        <v>1300</v>
      </c>
      <c r="AF1264" s="372">
        <v>0</v>
      </c>
      <c r="AG1264" s="372">
        <v>0</v>
      </c>
      <c r="AH1264" s="372">
        <v>0</v>
      </c>
    </row>
    <row r="1265" spans="1:34">
      <c r="A1265" s="372" t="s">
        <v>8656</v>
      </c>
      <c r="B1265" s="373" t="s">
        <v>8657</v>
      </c>
      <c r="C1265" s="372" t="s">
        <v>8658</v>
      </c>
      <c r="D1265" s="374">
        <v>1243110000250</v>
      </c>
      <c r="E1265" s="372" t="s">
        <v>8659</v>
      </c>
      <c r="F1265" s="372" t="s">
        <v>1334</v>
      </c>
      <c r="G1265" s="375" t="s">
        <v>1334</v>
      </c>
      <c r="H1265" s="375" t="s">
        <v>788</v>
      </c>
      <c r="I1265" s="375" t="s">
        <v>755</v>
      </c>
      <c r="J1265" s="375">
        <v>180762.65899</v>
      </c>
      <c r="K1265" s="375">
        <v>6926.9292800000003</v>
      </c>
      <c r="L1265" s="375">
        <v>8034.3229899999997</v>
      </c>
      <c r="M1265" s="375">
        <v>84661.467619999996</v>
      </c>
      <c r="N1265" s="372">
        <v>0.62</v>
      </c>
      <c r="O1265" s="703">
        <v>39.683921441217542</v>
      </c>
      <c r="P1265" s="375" t="s">
        <v>623</v>
      </c>
      <c r="Q1265" s="375" t="s">
        <v>623</v>
      </c>
      <c r="R1265" s="695">
        <v>19780628</v>
      </c>
      <c r="S1265" s="375" t="s">
        <v>8660</v>
      </c>
      <c r="T1265" s="696">
        <v>0.20900000000000002</v>
      </c>
      <c r="U1265" s="372" t="s">
        <v>8661</v>
      </c>
      <c r="V1265" s="722">
        <v>0</v>
      </c>
      <c r="W1265" s="722">
        <v>1.2</v>
      </c>
      <c r="X1265" s="722">
        <v>0</v>
      </c>
      <c r="Y1265" s="722">
        <v>0</v>
      </c>
      <c r="Z1265" s="382" t="s">
        <v>934</v>
      </c>
      <c r="AA1265" s="372">
        <v>1329.6551161</v>
      </c>
      <c r="AB1265" s="372">
        <v>1398.0275308</v>
      </c>
      <c r="AC1265" s="372">
        <v>1626.9004603999999</v>
      </c>
      <c r="AD1265" s="372">
        <v>1807.6265899</v>
      </c>
      <c r="AE1265" s="372">
        <v>0</v>
      </c>
      <c r="AF1265" s="372">
        <v>0</v>
      </c>
      <c r="AG1265" s="372">
        <v>0</v>
      </c>
      <c r="AH1265" s="372">
        <v>0</v>
      </c>
    </row>
    <row r="1266" spans="1:34">
      <c r="A1266" s="372" t="s">
        <v>8662</v>
      </c>
      <c r="B1266" s="373" t="s">
        <v>8663</v>
      </c>
      <c r="C1266" s="372" t="s">
        <v>8664</v>
      </c>
      <c r="D1266" s="374">
        <v>1301110045012</v>
      </c>
      <c r="E1266" s="372" t="s">
        <v>8665</v>
      </c>
      <c r="F1266" s="375" t="s">
        <v>1985</v>
      </c>
      <c r="G1266" s="375" t="s">
        <v>1985</v>
      </c>
      <c r="H1266" s="375" t="s">
        <v>1388</v>
      </c>
      <c r="I1266" s="375" t="s">
        <v>869</v>
      </c>
      <c r="J1266" s="375">
        <v>105268.91596</v>
      </c>
      <c r="K1266" s="375">
        <v>11926.044620000001</v>
      </c>
      <c r="L1266" s="375">
        <v>11678.001550000001</v>
      </c>
      <c r="M1266" s="375">
        <v>111629.59457</v>
      </c>
      <c r="N1266" s="372">
        <v>1.0209999999999999</v>
      </c>
      <c r="O1266" s="703">
        <v>1.222062385138283</v>
      </c>
      <c r="P1266" s="375" t="s">
        <v>623</v>
      </c>
      <c r="Q1266" s="375" t="s">
        <v>623</v>
      </c>
      <c r="R1266" s="695">
        <v>20031112</v>
      </c>
      <c r="S1266" s="375" t="s">
        <v>8666</v>
      </c>
      <c r="T1266" s="696">
        <v>0.20900000000000002</v>
      </c>
      <c r="U1266" s="372" t="s">
        <v>8667</v>
      </c>
      <c r="V1266" s="722">
        <v>6.5</v>
      </c>
      <c r="W1266" s="722">
        <v>0.84</v>
      </c>
      <c r="X1266" s="722">
        <v>0.91</v>
      </c>
      <c r="Y1266" s="722">
        <v>10.75</v>
      </c>
      <c r="Z1266" s="382" t="s">
        <v>934</v>
      </c>
      <c r="AA1266" s="372">
        <v>1802.0980453</v>
      </c>
      <c r="AB1266" s="372">
        <v>1102.0015496999999</v>
      </c>
      <c r="AC1266" s="372">
        <v>1445.7619949</v>
      </c>
      <c r="AD1266" s="372">
        <v>1052.6891596</v>
      </c>
      <c r="AE1266" s="372">
        <v>1502</v>
      </c>
      <c r="AF1266" s="372">
        <v>0</v>
      </c>
      <c r="AG1266" s="372">
        <v>0</v>
      </c>
      <c r="AH1266" s="372">
        <v>0</v>
      </c>
    </row>
    <row r="1267" spans="1:34">
      <c r="A1267" s="372" t="s">
        <v>8668</v>
      </c>
      <c r="B1267" s="373" t="s">
        <v>8669</v>
      </c>
      <c r="C1267" s="372" t="s">
        <v>8670</v>
      </c>
      <c r="D1267" s="374">
        <v>1101111625271</v>
      </c>
      <c r="E1267" s="372" t="s">
        <v>8671</v>
      </c>
      <c r="F1267" s="375" t="s">
        <v>8672</v>
      </c>
      <c r="G1267" s="375" t="s">
        <v>8672</v>
      </c>
      <c r="H1267" s="375" t="s">
        <v>4894</v>
      </c>
      <c r="I1267" s="375" t="s">
        <v>869</v>
      </c>
      <c r="J1267" s="375">
        <v>22759.609049999999</v>
      </c>
      <c r="K1267" s="375">
        <v>-22962.238600000001</v>
      </c>
      <c r="L1267" s="375">
        <v>-38810.074659999998</v>
      </c>
      <c r="M1267" s="375">
        <v>31789.340909999999</v>
      </c>
      <c r="N1267" s="372">
        <v>0.41899999999999998</v>
      </c>
      <c r="O1267" s="703">
        <v>24.832283821502347</v>
      </c>
      <c r="P1267" s="375" t="s">
        <v>16142</v>
      </c>
      <c r="Q1267" s="372" t="s">
        <v>16145</v>
      </c>
      <c r="R1267" s="695">
        <v>20021030</v>
      </c>
      <c r="S1267" s="372" t="s">
        <v>8673</v>
      </c>
      <c r="T1267" s="696" t="s">
        <v>772</v>
      </c>
      <c r="U1267" s="372" t="s">
        <v>8674</v>
      </c>
      <c r="V1267" s="722" t="s">
        <v>774</v>
      </c>
      <c r="W1267" s="722">
        <v>3.86</v>
      </c>
      <c r="X1267" s="722">
        <v>5.78</v>
      </c>
      <c r="Y1267" s="722" t="s">
        <v>774</v>
      </c>
      <c r="Z1267" s="382" t="s">
        <v>934</v>
      </c>
      <c r="AA1267" s="372">
        <v>457.68226499999997</v>
      </c>
      <c r="AB1267" s="372">
        <v>240.7056168</v>
      </c>
      <c r="AC1267" s="372">
        <v>373.6693267</v>
      </c>
      <c r="AD1267" s="372">
        <v>227.5960905</v>
      </c>
      <c r="AE1267" s="372">
        <v>0</v>
      </c>
      <c r="AF1267" s="372">
        <v>0</v>
      </c>
      <c r="AG1267" s="372">
        <v>0</v>
      </c>
      <c r="AH1267" s="372">
        <v>0</v>
      </c>
    </row>
    <row r="1268" spans="1:34">
      <c r="A1268" s="372" t="s">
        <v>8675</v>
      </c>
      <c r="B1268" s="373" t="s">
        <v>8676</v>
      </c>
      <c r="C1268" s="372" t="s">
        <v>8677</v>
      </c>
      <c r="D1268" s="374">
        <v>1101114291540</v>
      </c>
      <c r="E1268" s="372" t="s">
        <v>8678</v>
      </c>
      <c r="F1268" s="372" t="s">
        <v>1013</v>
      </c>
      <c r="G1268" s="375" t="s">
        <v>1225</v>
      </c>
      <c r="H1268" s="375" t="s">
        <v>1693</v>
      </c>
      <c r="I1268" s="375" t="s">
        <v>869</v>
      </c>
      <c r="J1268" s="375">
        <v>121678.51977</v>
      </c>
      <c r="K1268" s="375">
        <v>-436.03458999999998</v>
      </c>
      <c r="L1268" s="375">
        <v>5094.4116100000001</v>
      </c>
      <c r="M1268" s="375">
        <v>228172.74533999999</v>
      </c>
      <c r="N1268" s="372">
        <v>1.262</v>
      </c>
      <c r="O1268" s="703">
        <v>133.45855635851126</v>
      </c>
      <c r="P1268" s="375" t="s">
        <v>623</v>
      </c>
      <c r="Q1268" s="375" t="s">
        <v>623</v>
      </c>
      <c r="R1268" s="695">
        <v>20101110</v>
      </c>
      <c r="S1268" s="375" t="s">
        <v>2529</v>
      </c>
      <c r="T1268" s="696">
        <v>0.20900000000000002</v>
      </c>
      <c r="U1268" s="372" t="s">
        <v>16053</v>
      </c>
      <c r="V1268" s="722">
        <v>24.75</v>
      </c>
      <c r="W1268" s="722">
        <v>0.6</v>
      </c>
      <c r="X1268" s="722">
        <v>1.17</v>
      </c>
      <c r="Y1268" s="722">
        <v>33.01</v>
      </c>
      <c r="Z1268" s="382" t="s">
        <v>934</v>
      </c>
      <c r="AA1268" s="372">
        <v>1062.0395268</v>
      </c>
      <c r="AB1268" s="372">
        <v>1057.3419712</v>
      </c>
      <c r="AC1268" s="372">
        <v>1340.4512546999999</v>
      </c>
      <c r="AD1268" s="372">
        <v>1216.7851977</v>
      </c>
      <c r="AE1268" s="372">
        <v>0</v>
      </c>
      <c r="AF1268" s="372">
        <v>0</v>
      </c>
      <c r="AG1268" s="372">
        <v>0</v>
      </c>
      <c r="AH1268" s="372">
        <v>0</v>
      </c>
    </row>
    <row r="1269" spans="1:34">
      <c r="A1269" s="372" t="s">
        <v>8679</v>
      </c>
      <c r="B1269" s="373" t="s">
        <v>8680</v>
      </c>
      <c r="C1269" s="372" t="s">
        <v>8681</v>
      </c>
      <c r="D1269" s="374">
        <v>1246110236750</v>
      </c>
      <c r="E1269" s="372" t="s">
        <v>8682</v>
      </c>
      <c r="F1269" s="375" t="s">
        <v>1195</v>
      </c>
      <c r="G1269" s="375" t="s">
        <v>1196</v>
      </c>
      <c r="H1269" s="375" t="s">
        <v>1388</v>
      </c>
      <c r="I1269" s="375" t="s">
        <v>869</v>
      </c>
      <c r="J1269" s="375">
        <v>56453.761120000003</v>
      </c>
      <c r="K1269" s="375">
        <v>3561.8126400000001</v>
      </c>
      <c r="L1269" s="375">
        <v>3113.7434499999999</v>
      </c>
      <c r="M1269" s="375">
        <v>42427.946680000001</v>
      </c>
      <c r="N1269" s="372">
        <v>1.2410000000000001</v>
      </c>
      <c r="O1269" s="703">
        <v>18.906745934894943</v>
      </c>
      <c r="P1269" s="375" t="s">
        <v>623</v>
      </c>
      <c r="Q1269" s="375" t="s">
        <v>623</v>
      </c>
      <c r="R1269" s="695">
        <v>20150925</v>
      </c>
      <c r="S1269" s="375" t="s">
        <v>8683</v>
      </c>
      <c r="T1269" s="696">
        <v>0.20900000000000002</v>
      </c>
      <c r="U1269" s="372" t="s">
        <v>8684</v>
      </c>
      <c r="V1269" s="722">
        <v>26.74</v>
      </c>
      <c r="W1269" s="722">
        <v>2.79</v>
      </c>
      <c r="X1269" s="722">
        <v>2.11</v>
      </c>
      <c r="Y1269" s="722">
        <v>31.92</v>
      </c>
      <c r="Z1269" s="382" t="s">
        <v>934</v>
      </c>
      <c r="AA1269" s="372">
        <v>419.41654620000003</v>
      </c>
      <c r="AB1269" s="372">
        <v>597.27438919999997</v>
      </c>
      <c r="AC1269" s="372">
        <v>596.02938070000005</v>
      </c>
      <c r="AD1269" s="372">
        <v>564.53761120000001</v>
      </c>
      <c r="AE1269" s="372">
        <v>804.2</v>
      </c>
      <c r="AF1269" s="372">
        <v>0</v>
      </c>
      <c r="AG1269" s="372">
        <v>0</v>
      </c>
      <c r="AH1269" s="372">
        <v>0</v>
      </c>
    </row>
    <row r="1270" spans="1:34">
      <c r="A1270" s="372" t="s">
        <v>8685</v>
      </c>
      <c r="B1270" s="373" t="s">
        <v>8686</v>
      </c>
      <c r="C1270" s="372" t="s">
        <v>8687</v>
      </c>
      <c r="D1270" s="374">
        <v>1101117648186</v>
      </c>
      <c r="E1270" s="372" t="s">
        <v>8688</v>
      </c>
      <c r="F1270" s="375" t="s">
        <v>2207</v>
      </c>
      <c r="G1270" s="375" t="s">
        <v>2208</v>
      </c>
      <c r="H1270" s="375" t="s">
        <v>868</v>
      </c>
      <c r="I1270" s="375" t="s">
        <v>869</v>
      </c>
      <c r="J1270" s="375">
        <v>19386.431570000001</v>
      </c>
      <c r="K1270" s="375">
        <v>2616.6026000000002</v>
      </c>
      <c r="L1270" s="375">
        <v>3005.34566</v>
      </c>
      <c r="M1270" s="375">
        <v>32009.9542</v>
      </c>
      <c r="N1270" s="372">
        <v>1.1439999999999999</v>
      </c>
      <c r="O1270" s="703">
        <v>4.5025545601778001</v>
      </c>
      <c r="P1270" s="375" t="s">
        <v>623</v>
      </c>
      <c r="Q1270" s="375" t="s">
        <v>623</v>
      </c>
      <c r="R1270" s="695">
        <v>20210121</v>
      </c>
      <c r="S1270" s="375" t="s">
        <v>8689</v>
      </c>
      <c r="T1270" s="696">
        <v>0.20900000000000002</v>
      </c>
      <c r="U1270" s="372" t="s">
        <v>8690</v>
      </c>
      <c r="V1270" s="722">
        <v>30.56</v>
      </c>
      <c r="W1270" s="722">
        <v>3.43</v>
      </c>
      <c r="X1270" s="722">
        <v>5.67</v>
      </c>
      <c r="Y1270" s="722">
        <v>38.54</v>
      </c>
      <c r="Z1270" s="382" t="s">
        <v>934</v>
      </c>
      <c r="AA1270" s="372">
        <v>156.9073946</v>
      </c>
      <c r="AB1270" s="372">
        <v>146.93555720000001</v>
      </c>
      <c r="AC1270" s="372">
        <v>188.29443319999999</v>
      </c>
      <c r="AD1270" s="372">
        <v>193.86431569999999</v>
      </c>
      <c r="AE1270" s="372">
        <v>321</v>
      </c>
      <c r="AF1270" s="372">
        <v>409</v>
      </c>
      <c r="AG1270" s="372">
        <v>0</v>
      </c>
      <c r="AH1270" s="372">
        <v>0</v>
      </c>
    </row>
    <row r="1271" spans="1:34">
      <c r="A1271" s="372" t="s">
        <v>8691</v>
      </c>
      <c r="B1271" s="373" t="s">
        <v>8692</v>
      </c>
      <c r="C1271" s="372" t="s">
        <v>8693</v>
      </c>
      <c r="D1271" s="374">
        <v>1101111064429</v>
      </c>
      <c r="E1271" s="372" t="s">
        <v>8694</v>
      </c>
      <c r="F1271" s="375" t="s">
        <v>2649</v>
      </c>
      <c r="G1271" s="375" t="s">
        <v>2650</v>
      </c>
      <c r="H1271" s="375" t="s">
        <v>1348</v>
      </c>
      <c r="I1271" s="375" t="s">
        <v>869</v>
      </c>
      <c r="J1271" s="375">
        <v>123382.77648</v>
      </c>
      <c r="K1271" s="375">
        <v>31759.409159999999</v>
      </c>
      <c r="L1271" s="375">
        <v>54122.979099999997</v>
      </c>
      <c r="M1271" s="375">
        <v>230981.09831</v>
      </c>
      <c r="N1271" s="372">
        <v>1.127</v>
      </c>
      <c r="O1271" s="703">
        <v>3.1007323010601566</v>
      </c>
      <c r="P1271" s="375" t="s">
        <v>623</v>
      </c>
      <c r="Q1271" s="372" t="s">
        <v>623</v>
      </c>
      <c r="R1271" s="695">
        <v>19990811</v>
      </c>
      <c r="S1271" s="372" t="s">
        <v>8695</v>
      </c>
      <c r="T1271" s="696">
        <v>0.23100000000000001</v>
      </c>
      <c r="U1271" s="372" t="s">
        <v>8696</v>
      </c>
      <c r="V1271" s="722">
        <v>5.13</v>
      </c>
      <c r="W1271" s="722">
        <v>0.62</v>
      </c>
      <c r="X1271" s="722">
        <v>0.9</v>
      </c>
      <c r="Y1271" s="722">
        <v>2.9</v>
      </c>
      <c r="Z1271" s="382" t="s">
        <v>934</v>
      </c>
      <c r="AA1271" s="372">
        <v>820.39359100000001</v>
      </c>
      <c r="AB1271" s="372">
        <v>1001.9940892</v>
      </c>
      <c r="AC1271" s="372">
        <v>938.16087040000002</v>
      </c>
      <c r="AD1271" s="372">
        <v>1233.8277648000001</v>
      </c>
      <c r="AE1271" s="372">
        <v>0</v>
      </c>
      <c r="AF1271" s="372">
        <v>0</v>
      </c>
      <c r="AG1271" s="372">
        <v>0</v>
      </c>
      <c r="AH1271" s="372">
        <v>0</v>
      </c>
    </row>
    <row r="1272" spans="1:34">
      <c r="A1272" s="372" t="s">
        <v>8697</v>
      </c>
      <c r="B1272" s="373" t="s">
        <v>8698</v>
      </c>
      <c r="C1272" s="372" t="s">
        <v>8699</v>
      </c>
      <c r="D1272" s="374">
        <v>1101110005002</v>
      </c>
      <c r="E1272" s="372" t="s">
        <v>8700</v>
      </c>
      <c r="F1272" s="372" t="s">
        <v>1897</v>
      </c>
      <c r="G1272" s="375" t="s">
        <v>1897</v>
      </c>
      <c r="H1272" s="375" t="s">
        <v>1397</v>
      </c>
      <c r="I1272" s="375" t="s">
        <v>755</v>
      </c>
      <c r="J1272" s="375">
        <v>1899979.52627</v>
      </c>
      <c r="K1272" s="375">
        <v>30156.163240000002</v>
      </c>
      <c r="L1272" s="375">
        <v>-10614.727220000001</v>
      </c>
      <c r="M1272" s="375">
        <v>580558.72889000003</v>
      </c>
      <c r="N1272" s="372">
        <v>0.91700000000000004</v>
      </c>
      <c r="O1272" s="703">
        <v>475.31829389148993</v>
      </c>
      <c r="P1272" s="375" t="s">
        <v>623</v>
      </c>
      <c r="Q1272" s="372" t="s">
        <v>623</v>
      </c>
      <c r="R1272" s="695">
        <v>19781030</v>
      </c>
      <c r="S1272" s="372" t="s">
        <v>8701</v>
      </c>
      <c r="T1272" s="696" t="s">
        <v>772</v>
      </c>
      <c r="U1272" s="372" t="s">
        <v>8702</v>
      </c>
      <c r="V1272" s="722">
        <v>8.9700000000000006</v>
      </c>
      <c r="W1272" s="722">
        <v>0.23</v>
      </c>
      <c r="X1272" s="722">
        <v>7.0000000000000007E-2</v>
      </c>
      <c r="Y1272" s="722" t="s">
        <v>774</v>
      </c>
      <c r="Z1272" s="382">
        <v>8.0626421103975332E-3</v>
      </c>
      <c r="AA1272" s="372">
        <v>11722.0810451</v>
      </c>
      <c r="AB1272" s="372">
        <v>11448.728236000001</v>
      </c>
      <c r="AC1272" s="372">
        <v>14612.0894733</v>
      </c>
      <c r="AD1272" s="372">
        <v>18999.795262700001</v>
      </c>
      <c r="AE1272" s="372">
        <v>18518.5</v>
      </c>
      <c r="AF1272" s="372">
        <v>19389.5</v>
      </c>
      <c r="AG1272" s="372">
        <v>19620</v>
      </c>
      <c r="AH1272" s="372">
        <v>19880</v>
      </c>
    </row>
    <row r="1273" spans="1:34">
      <c r="A1273" s="372" t="s">
        <v>8703</v>
      </c>
      <c r="B1273" s="373" t="s">
        <v>8704</v>
      </c>
      <c r="C1273" s="372" t="s">
        <v>8705</v>
      </c>
      <c r="D1273" s="374">
        <v>1344110000719</v>
      </c>
      <c r="E1273" s="372" t="s">
        <v>8706</v>
      </c>
      <c r="F1273" s="375" t="s">
        <v>1259</v>
      </c>
      <c r="G1273" s="375" t="s">
        <v>1259</v>
      </c>
      <c r="H1273" s="375" t="s">
        <v>868</v>
      </c>
      <c r="I1273" s="375" t="s">
        <v>869</v>
      </c>
      <c r="J1273" s="375">
        <v>122541.21991</v>
      </c>
      <c r="K1273" s="375">
        <v>2047.40353</v>
      </c>
      <c r="L1273" s="375">
        <v>4898.1626299999998</v>
      </c>
      <c r="M1273" s="375">
        <v>174453.63522</v>
      </c>
      <c r="N1273" s="372">
        <v>0.82799999999999996</v>
      </c>
      <c r="O1273" s="703">
        <v>2.2649189419555862</v>
      </c>
      <c r="P1273" s="375" t="s">
        <v>623</v>
      </c>
      <c r="Q1273" s="375" t="s">
        <v>623</v>
      </c>
      <c r="R1273" s="695">
        <v>20020416</v>
      </c>
      <c r="S1273" s="375" t="s">
        <v>8707</v>
      </c>
      <c r="T1273" s="696">
        <v>0.20900000000000002</v>
      </c>
      <c r="U1273" s="372" t="s">
        <v>8708</v>
      </c>
      <c r="V1273" s="722">
        <v>0</v>
      </c>
      <c r="W1273" s="722">
        <v>0.82</v>
      </c>
      <c r="X1273" s="722">
        <v>0</v>
      </c>
      <c r="Y1273" s="722">
        <v>0</v>
      </c>
      <c r="Z1273" s="382" t="s">
        <v>934</v>
      </c>
      <c r="AA1273" s="372">
        <v>1236.1303089999999</v>
      </c>
      <c r="AB1273" s="372">
        <v>1069.8951399</v>
      </c>
      <c r="AC1273" s="372">
        <v>1320.5274892</v>
      </c>
      <c r="AD1273" s="372">
        <v>1225.4121991</v>
      </c>
      <c r="AE1273" s="372">
        <v>0</v>
      </c>
      <c r="AF1273" s="372">
        <v>0</v>
      </c>
      <c r="AG1273" s="372">
        <v>0</v>
      </c>
      <c r="AH1273" s="372">
        <v>0</v>
      </c>
    </row>
    <row r="1274" spans="1:34">
      <c r="A1274" s="372" t="s">
        <v>8709</v>
      </c>
      <c r="B1274" s="373" t="s">
        <v>8710</v>
      </c>
      <c r="C1274" s="372" t="s">
        <v>8711</v>
      </c>
      <c r="D1274" s="374">
        <v>1101111673288</v>
      </c>
      <c r="E1274" s="372" t="s">
        <v>8712</v>
      </c>
      <c r="F1274" s="372" t="s">
        <v>3399</v>
      </c>
      <c r="G1274" s="375" t="s">
        <v>8713</v>
      </c>
      <c r="H1274" s="375" t="s">
        <v>1693</v>
      </c>
      <c r="I1274" s="375" t="s">
        <v>869</v>
      </c>
      <c r="J1274" s="375">
        <v>657843.98938000004</v>
      </c>
      <c r="K1274" s="375">
        <v>5847.3559500000001</v>
      </c>
      <c r="L1274" s="375">
        <v>-4178.8435099999997</v>
      </c>
      <c r="M1274" s="375">
        <v>219960.67167000001</v>
      </c>
      <c r="N1274" s="372">
        <v>1.1319999999999999</v>
      </c>
      <c r="O1274" s="703">
        <v>42.938392732150987</v>
      </c>
      <c r="P1274" s="375" t="s">
        <v>623</v>
      </c>
      <c r="Q1274" s="375" t="s">
        <v>623</v>
      </c>
      <c r="R1274" s="695">
        <v>20080507</v>
      </c>
      <c r="S1274" s="375" t="s">
        <v>8714</v>
      </c>
      <c r="T1274" s="696" t="s">
        <v>772</v>
      </c>
      <c r="U1274" s="372" t="s">
        <v>8715</v>
      </c>
      <c r="V1274" s="722">
        <v>7.25</v>
      </c>
      <c r="W1274" s="722">
        <v>0.55000000000000004</v>
      </c>
      <c r="X1274" s="722">
        <v>0.18</v>
      </c>
      <c r="Y1274" s="722" t="s">
        <v>774</v>
      </c>
      <c r="Z1274" s="382" t="s">
        <v>934</v>
      </c>
      <c r="AA1274" s="372">
        <v>6127.5239975000004</v>
      </c>
      <c r="AB1274" s="372">
        <v>6536.9599650999999</v>
      </c>
      <c r="AC1274" s="372">
        <v>6637.7131649000003</v>
      </c>
      <c r="AD1274" s="372">
        <v>6578.4398938000004</v>
      </c>
      <c r="AE1274" s="372">
        <v>0</v>
      </c>
      <c r="AF1274" s="372">
        <v>0</v>
      </c>
      <c r="AG1274" s="372">
        <v>0</v>
      </c>
      <c r="AH1274" s="372">
        <v>0</v>
      </c>
    </row>
    <row r="1275" spans="1:34">
      <c r="A1275" s="372" t="s">
        <v>8716</v>
      </c>
      <c r="B1275" s="373" t="s">
        <v>8717</v>
      </c>
      <c r="C1275" s="372" t="s">
        <v>8718</v>
      </c>
      <c r="D1275" s="374">
        <v>1101110149446</v>
      </c>
      <c r="E1275" s="372" t="s">
        <v>8718</v>
      </c>
      <c r="F1275" s="375" t="s">
        <v>1472</v>
      </c>
      <c r="G1275" s="375" t="s">
        <v>5698</v>
      </c>
      <c r="H1275" s="375" t="s">
        <v>916</v>
      </c>
      <c r="I1275" s="375" t="s">
        <v>755</v>
      </c>
      <c r="J1275" s="375">
        <v>823125.42967999994</v>
      </c>
      <c r="K1275" s="375">
        <v>36821.207560000003</v>
      </c>
      <c r="L1275" s="375">
        <v>32505.484799999998</v>
      </c>
      <c r="M1275" s="375">
        <v>281358.99086000002</v>
      </c>
      <c r="N1275" s="372">
        <v>0.98</v>
      </c>
      <c r="O1275" s="703">
        <v>221.60914669906978</v>
      </c>
      <c r="P1275" s="375" t="s">
        <v>623</v>
      </c>
      <c r="Q1275" s="372" t="s">
        <v>623</v>
      </c>
      <c r="R1275" s="695">
        <v>19780929</v>
      </c>
      <c r="S1275" s="372" t="s">
        <v>8719</v>
      </c>
      <c r="T1275" s="696">
        <v>0.23100000000000001</v>
      </c>
      <c r="U1275" s="372" t="s">
        <v>8720</v>
      </c>
      <c r="V1275" s="722">
        <v>4.49</v>
      </c>
      <c r="W1275" s="722">
        <v>0.43</v>
      </c>
      <c r="X1275" s="722">
        <v>0.14000000000000001</v>
      </c>
      <c r="Y1275" s="722">
        <v>4.3600000000000003</v>
      </c>
      <c r="Z1275" s="382" t="s">
        <v>934</v>
      </c>
      <c r="AA1275" s="372">
        <v>4887.3377959999998</v>
      </c>
      <c r="AB1275" s="372">
        <v>6947.3789943000002</v>
      </c>
      <c r="AC1275" s="372">
        <v>9204.0866872999995</v>
      </c>
      <c r="AD1275" s="372">
        <v>8231.2542967999998</v>
      </c>
      <c r="AE1275" s="372">
        <v>0</v>
      </c>
      <c r="AF1275" s="372">
        <v>0</v>
      </c>
      <c r="AG1275" s="372">
        <v>0</v>
      </c>
      <c r="AH1275" s="372">
        <v>0</v>
      </c>
    </row>
    <row r="1276" spans="1:34">
      <c r="A1276" s="372" t="s">
        <v>8721</v>
      </c>
      <c r="B1276" s="373" t="s">
        <v>8722</v>
      </c>
      <c r="C1276" s="372" t="s">
        <v>8723</v>
      </c>
      <c r="D1276" s="374">
        <v>1101112863789</v>
      </c>
      <c r="E1276" s="372" t="s">
        <v>8724</v>
      </c>
      <c r="F1276" s="375" t="s">
        <v>2077</v>
      </c>
      <c r="G1276" s="375" t="s">
        <v>4743</v>
      </c>
      <c r="H1276" s="375" t="s">
        <v>868</v>
      </c>
      <c r="I1276" s="375" t="s">
        <v>869</v>
      </c>
      <c r="J1276" s="375">
        <v>112916.72957</v>
      </c>
      <c r="K1276" s="375">
        <v>10071.37139</v>
      </c>
      <c r="L1276" s="375">
        <v>10515.624320000001</v>
      </c>
      <c r="M1276" s="375">
        <v>79320.915590000004</v>
      </c>
      <c r="N1276" s="372">
        <v>0.67800000000000005</v>
      </c>
      <c r="O1276" s="703">
        <v>14.191069314450313</v>
      </c>
      <c r="P1276" s="375" t="s">
        <v>623</v>
      </c>
      <c r="Q1276" s="372" t="s">
        <v>623</v>
      </c>
      <c r="R1276" s="695">
        <v>20181122</v>
      </c>
      <c r="S1276" s="372" t="s">
        <v>8725</v>
      </c>
      <c r="T1276" s="696">
        <v>0.20900000000000002</v>
      </c>
      <c r="U1276" s="375" t="s">
        <v>8726</v>
      </c>
      <c r="V1276" s="722">
        <v>9.85</v>
      </c>
      <c r="W1276" s="722">
        <v>1.43</v>
      </c>
      <c r="X1276" s="722">
        <v>1.04</v>
      </c>
      <c r="Y1276" s="722">
        <v>12.83</v>
      </c>
      <c r="Z1276" s="382" t="s">
        <v>934</v>
      </c>
      <c r="AA1276" s="372">
        <v>1066.0370763999999</v>
      </c>
      <c r="AB1276" s="372">
        <v>857.50357010000005</v>
      </c>
      <c r="AC1276" s="372">
        <v>1101.6501834000001</v>
      </c>
      <c r="AD1276" s="372">
        <v>1129.1672957000001</v>
      </c>
      <c r="AE1276" s="372">
        <v>0</v>
      </c>
      <c r="AF1276" s="372">
        <v>0</v>
      </c>
      <c r="AG1276" s="372">
        <v>0</v>
      </c>
      <c r="AH1276" s="372">
        <v>0</v>
      </c>
    </row>
    <row r="1277" spans="1:34">
      <c r="A1277" s="372" t="s">
        <v>8727</v>
      </c>
      <c r="B1277" s="373" t="s">
        <v>8728</v>
      </c>
      <c r="C1277" s="372" t="s">
        <v>8729</v>
      </c>
      <c r="D1277" s="374">
        <v>1101110324858</v>
      </c>
      <c r="E1277" s="372" t="s">
        <v>8730</v>
      </c>
      <c r="F1277" s="375" t="s">
        <v>1062</v>
      </c>
      <c r="G1277" s="375" t="s">
        <v>1062</v>
      </c>
      <c r="H1277" s="375" t="s">
        <v>868</v>
      </c>
      <c r="I1277" s="375" t="s">
        <v>869</v>
      </c>
      <c r="J1277" s="375">
        <v>68246.934039999993</v>
      </c>
      <c r="K1277" s="375">
        <v>16920.173790000001</v>
      </c>
      <c r="L1277" s="375">
        <v>19298.233619999999</v>
      </c>
      <c r="M1277" s="375">
        <v>137692.77371000001</v>
      </c>
      <c r="N1277" s="372">
        <v>0.90700000000000003</v>
      </c>
      <c r="O1277" s="703">
        <v>0.65897042913036508</v>
      </c>
      <c r="P1277" s="375" t="s">
        <v>623</v>
      </c>
      <c r="Q1277" s="375" t="s">
        <v>623</v>
      </c>
      <c r="R1277" s="695">
        <v>20080930</v>
      </c>
      <c r="S1277" s="372" t="s">
        <v>8731</v>
      </c>
      <c r="T1277" s="696">
        <v>0.20900000000000002</v>
      </c>
      <c r="U1277" s="372" t="s">
        <v>8732</v>
      </c>
      <c r="V1277" s="722">
        <v>6.21</v>
      </c>
      <c r="W1277" s="722">
        <v>0.92</v>
      </c>
      <c r="X1277" s="722">
        <v>1.84</v>
      </c>
      <c r="Y1277" s="722">
        <v>8.3800000000000008</v>
      </c>
      <c r="Z1277" s="382" t="s">
        <v>934</v>
      </c>
      <c r="AA1277" s="372">
        <v>637.29164839999999</v>
      </c>
      <c r="AB1277" s="372">
        <v>625.79463499999997</v>
      </c>
      <c r="AC1277" s="372">
        <v>601.16115360000003</v>
      </c>
      <c r="AD1277" s="372">
        <v>682.46934039999996</v>
      </c>
      <c r="AE1277" s="372">
        <v>0</v>
      </c>
      <c r="AF1277" s="372">
        <v>0</v>
      </c>
      <c r="AG1277" s="372">
        <v>0</v>
      </c>
      <c r="AH1277" s="372">
        <v>0</v>
      </c>
    </row>
    <row r="1278" spans="1:34">
      <c r="A1278" s="372" t="s">
        <v>8733</v>
      </c>
      <c r="B1278" s="373" t="s">
        <v>8734</v>
      </c>
      <c r="C1278" s="372" t="s">
        <v>8735</v>
      </c>
      <c r="D1278" s="374">
        <v>1201110000034</v>
      </c>
      <c r="E1278" s="372" t="s">
        <v>8736</v>
      </c>
      <c r="F1278" s="372" t="s">
        <v>8737</v>
      </c>
      <c r="G1278" s="375" t="s">
        <v>8738</v>
      </c>
      <c r="H1278" s="375" t="s">
        <v>8085</v>
      </c>
      <c r="I1278" s="375" t="s">
        <v>869</v>
      </c>
      <c r="J1278" s="375">
        <v>185300.55483000001</v>
      </c>
      <c r="K1278" s="375">
        <v>39087.432549999998</v>
      </c>
      <c r="L1278" s="375">
        <v>32763.06623</v>
      </c>
      <c r="M1278" s="375">
        <v>362424.66434999998</v>
      </c>
      <c r="N1278" s="372">
        <v>0.69699999999999995</v>
      </c>
      <c r="O1278" s="703">
        <v>236.40004689920363</v>
      </c>
      <c r="P1278" s="375" t="s">
        <v>623</v>
      </c>
      <c r="Q1278" s="375" t="s">
        <v>623</v>
      </c>
      <c r="R1278" s="695">
        <v>19991218</v>
      </c>
      <c r="S1278" s="375" t="s">
        <v>8739</v>
      </c>
      <c r="T1278" s="696">
        <v>0.23100000000000001</v>
      </c>
      <c r="U1278" s="375" t="s">
        <v>8740</v>
      </c>
      <c r="V1278" s="722">
        <v>4.09</v>
      </c>
      <c r="W1278" s="722">
        <v>0.32</v>
      </c>
      <c r="X1278" s="722">
        <v>0.64</v>
      </c>
      <c r="Y1278" s="722">
        <v>3.97</v>
      </c>
      <c r="Z1278" s="382" t="s">
        <v>934</v>
      </c>
      <c r="AA1278" s="372">
        <v>1517.2944534000001</v>
      </c>
      <c r="AB1278" s="372">
        <v>1627.3921709000001</v>
      </c>
      <c r="AC1278" s="372">
        <v>1721.4143630000001</v>
      </c>
      <c r="AD1278" s="372">
        <v>1853.0055483000001</v>
      </c>
      <c r="AE1278" s="372">
        <v>0</v>
      </c>
      <c r="AF1278" s="372">
        <v>0</v>
      </c>
      <c r="AG1278" s="372">
        <v>0</v>
      </c>
      <c r="AH1278" s="372">
        <v>0</v>
      </c>
    </row>
    <row r="1279" spans="1:34">
      <c r="A1279" s="372" t="s">
        <v>8741</v>
      </c>
      <c r="B1279" s="373" t="s">
        <v>8742</v>
      </c>
      <c r="C1279" s="372" t="s">
        <v>8743</v>
      </c>
      <c r="D1279" s="374">
        <v>1717110086312</v>
      </c>
      <c r="E1279" s="372" t="s">
        <v>8744</v>
      </c>
      <c r="F1279" s="375" t="s">
        <v>8745</v>
      </c>
      <c r="G1279" s="375" t="s">
        <v>8746</v>
      </c>
      <c r="H1279" s="375" t="s">
        <v>1050</v>
      </c>
      <c r="I1279" s="375" t="s">
        <v>755</v>
      </c>
      <c r="J1279" s="375">
        <v>66614.293260000006</v>
      </c>
      <c r="K1279" s="375">
        <v>10580.67101</v>
      </c>
      <c r="L1279" s="375">
        <v>16248.844220000001</v>
      </c>
      <c r="M1279" s="375">
        <v>146243.3406</v>
      </c>
      <c r="N1279" s="372">
        <v>0.73799999999999999</v>
      </c>
      <c r="O1279" s="703">
        <v>0.89860812856335825</v>
      </c>
      <c r="P1279" s="375" t="s">
        <v>623</v>
      </c>
      <c r="Q1279" s="372" t="s">
        <v>623</v>
      </c>
      <c r="R1279" s="695">
        <v>20100219</v>
      </c>
      <c r="S1279" s="372" t="s">
        <v>8747</v>
      </c>
      <c r="T1279" s="696">
        <v>0.20900000000000002</v>
      </c>
      <c r="U1279" s="372" t="s">
        <v>8748</v>
      </c>
      <c r="V1279" s="722">
        <v>0</v>
      </c>
      <c r="W1279" s="722">
        <v>0.74</v>
      </c>
      <c r="X1279" s="722">
        <v>0</v>
      </c>
      <c r="Y1279" s="722">
        <v>0</v>
      </c>
      <c r="Z1279" s="382" t="s">
        <v>934</v>
      </c>
      <c r="AA1279" s="372">
        <v>595.1734179</v>
      </c>
      <c r="AB1279" s="372">
        <v>681.5587481</v>
      </c>
      <c r="AC1279" s="372">
        <v>669.76160489999995</v>
      </c>
      <c r="AD1279" s="372">
        <v>666.14293259999999</v>
      </c>
      <c r="AE1279" s="372">
        <v>0</v>
      </c>
      <c r="AF1279" s="372">
        <v>0</v>
      </c>
      <c r="AG1279" s="372">
        <v>0</v>
      </c>
      <c r="AH1279" s="372">
        <v>0</v>
      </c>
    </row>
    <row r="1280" spans="1:34">
      <c r="A1280" s="372" t="s">
        <v>8749</v>
      </c>
      <c r="B1280" s="373" t="s">
        <v>8750</v>
      </c>
      <c r="C1280" s="372" t="s">
        <v>8751</v>
      </c>
      <c r="D1280" s="374">
        <v>1101110253908</v>
      </c>
      <c r="E1280" s="372" t="s">
        <v>8752</v>
      </c>
      <c r="F1280" s="375" t="s">
        <v>5655</v>
      </c>
      <c r="G1280" s="375" t="s">
        <v>5655</v>
      </c>
      <c r="H1280" s="375" t="s">
        <v>823</v>
      </c>
      <c r="I1280" s="375" t="s">
        <v>755</v>
      </c>
      <c r="J1280" s="375">
        <v>6883.4612699999998</v>
      </c>
      <c r="K1280" s="375">
        <v>-10352.38603</v>
      </c>
      <c r="L1280" s="375">
        <v>-25379.864310000001</v>
      </c>
      <c r="M1280" s="375">
        <v>26370.953659999999</v>
      </c>
      <c r="N1280" s="372">
        <v>0.95899999999999996</v>
      </c>
      <c r="O1280" s="703">
        <v>15.732535545712389</v>
      </c>
      <c r="P1280" s="375" t="s">
        <v>623</v>
      </c>
      <c r="Q1280" s="372" t="s">
        <v>623</v>
      </c>
      <c r="R1280" s="695">
        <v>19891220</v>
      </c>
      <c r="S1280" s="372" t="s">
        <v>8753</v>
      </c>
      <c r="T1280" s="696" t="s">
        <v>772</v>
      </c>
      <c r="U1280" s="372" t="s">
        <v>8754</v>
      </c>
      <c r="V1280" s="722" t="s">
        <v>774</v>
      </c>
      <c r="W1280" s="722">
        <v>3.49</v>
      </c>
      <c r="X1280" s="722">
        <v>12.05</v>
      </c>
      <c r="Y1280" s="722" t="s">
        <v>774</v>
      </c>
      <c r="Z1280" s="382" t="s">
        <v>934</v>
      </c>
      <c r="AA1280" s="372">
        <v>215.0847277</v>
      </c>
      <c r="AB1280" s="372">
        <v>215.74441949999999</v>
      </c>
      <c r="AC1280" s="372">
        <v>125.4389212</v>
      </c>
      <c r="AD1280" s="372">
        <v>68.834612699999994</v>
      </c>
      <c r="AE1280" s="372">
        <v>0</v>
      </c>
      <c r="AF1280" s="372">
        <v>0</v>
      </c>
      <c r="AG1280" s="372">
        <v>0</v>
      </c>
      <c r="AH1280" s="372">
        <v>0</v>
      </c>
    </row>
    <row r="1281" spans="1:34">
      <c r="A1281" s="372" t="s">
        <v>8755</v>
      </c>
      <c r="B1281" s="373" t="s">
        <v>8756</v>
      </c>
      <c r="C1281" s="372" t="s">
        <v>8757</v>
      </c>
      <c r="D1281" s="374">
        <v>1101115906974</v>
      </c>
      <c r="E1281" s="372" t="s">
        <v>8758</v>
      </c>
      <c r="F1281" s="375" t="s">
        <v>2077</v>
      </c>
      <c r="G1281" s="375" t="s">
        <v>2078</v>
      </c>
      <c r="H1281" s="375" t="s">
        <v>868</v>
      </c>
      <c r="I1281" s="375" t="s">
        <v>869</v>
      </c>
      <c r="J1281" s="375">
        <v>2733.8412499999999</v>
      </c>
      <c r="K1281" s="375">
        <v>-16138.745059999999</v>
      </c>
      <c r="L1281" s="375">
        <v>-16320.382180000001</v>
      </c>
      <c r="M1281" s="375">
        <v>42988.949229999998</v>
      </c>
      <c r="N1281" s="372">
        <v>0.69</v>
      </c>
      <c r="O1281" s="703">
        <v>9.1391508078519177</v>
      </c>
      <c r="P1281" s="375" t="s">
        <v>623</v>
      </c>
      <c r="Q1281" s="372" t="s">
        <v>623</v>
      </c>
      <c r="R1281" s="695">
        <v>20220303</v>
      </c>
      <c r="S1281" s="372" t="s">
        <v>8759</v>
      </c>
      <c r="T1281" s="696" t="s">
        <v>772</v>
      </c>
      <c r="U1281" s="372" t="s">
        <v>8760</v>
      </c>
      <c r="V1281" s="722" t="s">
        <v>774</v>
      </c>
      <c r="W1281" s="722">
        <v>3.49</v>
      </c>
      <c r="X1281" s="722">
        <v>43.87</v>
      </c>
      <c r="Y1281" s="722" t="s">
        <v>774</v>
      </c>
      <c r="Z1281" s="382" t="s">
        <v>934</v>
      </c>
      <c r="AA1281" s="372">
        <v>2.9526382</v>
      </c>
      <c r="AB1281" s="372">
        <v>14.7530883</v>
      </c>
      <c r="AC1281" s="372">
        <v>5.4187875999999999</v>
      </c>
      <c r="AD1281" s="372">
        <v>27.3384125</v>
      </c>
      <c r="AE1281" s="372">
        <v>0</v>
      </c>
      <c r="AF1281" s="372">
        <v>0</v>
      </c>
      <c r="AG1281" s="372">
        <v>0</v>
      </c>
      <c r="AH1281" s="372">
        <v>0</v>
      </c>
    </row>
    <row r="1282" spans="1:34">
      <c r="A1282" s="372" t="s">
        <v>8761</v>
      </c>
      <c r="B1282" s="373" t="s">
        <v>8762</v>
      </c>
      <c r="C1282" s="372" t="s">
        <v>8763</v>
      </c>
      <c r="D1282" s="374">
        <v>1101115642726</v>
      </c>
      <c r="E1282" s="372" t="s">
        <v>8764</v>
      </c>
      <c r="F1282" s="375" t="s">
        <v>3151</v>
      </c>
      <c r="G1282" s="375" t="s">
        <v>3151</v>
      </c>
      <c r="H1282" s="375" t="s">
        <v>868</v>
      </c>
      <c r="I1282" s="375" t="s">
        <v>869</v>
      </c>
      <c r="J1282" s="375">
        <v>16254.001179999999</v>
      </c>
      <c r="K1282" s="375">
        <v>-2368.5282499999998</v>
      </c>
      <c r="L1282" s="375">
        <v>-14354.813990000001</v>
      </c>
      <c r="M1282" s="375">
        <v>23091.08927</v>
      </c>
      <c r="N1282" s="372" t="s">
        <v>1033</v>
      </c>
      <c r="O1282" s="703">
        <v>3.3310415910824851</v>
      </c>
      <c r="P1282" s="375" t="s">
        <v>16142</v>
      </c>
      <c r="Q1282" s="375" t="s">
        <v>16145</v>
      </c>
      <c r="R1282" s="695">
        <v>20150428</v>
      </c>
      <c r="S1282" s="375" t="s">
        <v>8765</v>
      </c>
      <c r="T1282" s="696" t="s">
        <v>772</v>
      </c>
      <c r="U1282" s="372" t="s">
        <v>8766</v>
      </c>
      <c r="V1282" s="722">
        <v>0</v>
      </c>
      <c r="W1282" s="722">
        <v>5.55</v>
      </c>
      <c r="X1282" s="722">
        <v>0</v>
      </c>
      <c r="Y1282" s="722">
        <v>0</v>
      </c>
      <c r="Z1282" s="382" t="s">
        <v>934</v>
      </c>
      <c r="AA1282" s="372">
        <v>184.07726539999999</v>
      </c>
      <c r="AB1282" s="372">
        <v>84.472495800000004</v>
      </c>
      <c r="AC1282" s="372">
        <v>156.56058279999999</v>
      </c>
      <c r="AD1282" s="372">
        <v>162.5400118</v>
      </c>
      <c r="AE1282" s="372">
        <v>0</v>
      </c>
      <c r="AF1282" s="372">
        <v>0</v>
      </c>
      <c r="AG1282" s="372">
        <v>0</v>
      </c>
      <c r="AH1282" s="372">
        <v>0</v>
      </c>
    </row>
    <row r="1283" spans="1:34">
      <c r="A1283" s="372" t="s">
        <v>8767</v>
      </c>
      <c r="B1283" s="373" t="s">
        <v>8768</v>
      </c>
      <c r="C1283" s="372" t="s">
        <v>8769</v>
      </c>
      <c r="D1283" s="374">
        <v>1351110081475</v>
      </c>
      <c r="E1283" s="372" t="s">
        <v>8770</v>
      </c>
      <c r="F1283" s="375" t="s">
        <v>1761</v>
      </c>
      <c r="G1283" s="375" t="s">
        <v>1761</v>
      </c>
      <c r="H1283" s="375" t="s">
        <v>3127</v>
      </c>
      <c r="I1283" s="375" t="s">
        <v>869</v>
      </c>
      <c r="J1283" s="375">
        <v>28812.419140000002</v>
      </c>
      <c r="K1283" s="375">
        <v>-851.33015</v>
      </c>
      <c r="L1283" s="375">
        <v>-6596.0551400000004</v>
      </c>
      <c r="M1283" s="375">
        <v>13378.941790000001</v>
      </c>
      <c r="N1283" s="372" t="s">
        <v>1033</v>
      </c>
      <c r="O1283" s="703">
        <v>7.1150214239534257</v>
      </c>
      <c r="P1283" s="375" t="s">
        <v>16142</v>
      </c>
      <c r="Q1283" s="372" t="s">
        <v>16145</v>
      </c>
      <c r="R1283" s="695">
        <v>20150630</v>
      </c>
      <c r="S1283" s="372" t="s">
        <v>16167</v>
      </c>
      <c r="T1283" s="696" t="s">
        <v>772</v>
      </c>
      <c r="U1283" s="372" t="s">
        <v>8771</v>
      </c>
      <c r="V1283" s="722" t="s">
        <v>774</v>
      </c>
      <c r="W1283" s="722">
        <v>9.02</v>
      </c>
      <c r="X1283" s="722">
        <v>3.71</v>
      </c>
      <c r="Y1283" s="722" t="s">
        <v>774</v>
      </c>
      <c r="Z1283" s="382" t="s">
        <v>934</v>
      </c>
      <c r="AA1283" s="372">
        <v>350.6121273</v>
      </c>
      <c r="AB1283" s="372">
        <v>175.27364259999999</v>
      </c>
      <c r="AC1283" s="372">
        <v>131.22276429999999</v>
      </c>
      <c r="AD1283" s="372">
        <v>288.12419139999997</v>
      </c>
      <c r="AE1283" s="372">
        <v>0</v>
      </c>
      <c r="AF1283" s="372">
        <v>0</v>
      </c>
      <c r="AG1283" s="372">
        <v>0</v>
      </c>
      <c r="AH1283" s="372">
        <v>0</v>
      </c>
    </row>
    <row r="1284" spans="1:34">
      <c r="A1284" s="372" t="s">
        <v>8772</v>
      </c>
      <c r="B1284" s="373" t="s">
        <v>8773</v>
      </c>
      <c r="C1284" s="372" t="s">
        <v>8774</v>
      </c>
      <c r="D1284" s="374">
        <v>1101111838212</v>
      </c>
      <c r="E1284" s="372" t="s">
        <v>8775</v>
      </c>
      <c r="F1284" s="375" t="s">
        <v>1013</v>
      </c>
      <c r="G1284" s="375" t="s">
        <v>1225</v>
      </c>
      <c r="H1284" s="375" t="s">
        <v>1693</v>
      </c>
      <c r="I1284" s="375" t="s">
        <v>869</v>
      </c>
      <c r="J1284" s="375">
        <v>81633.381469999993</v>
      </c>
      <c r="K1284" s="375">
        <v>21314.4316</v>
      </c>
      <c r="L1284" s="375">
        <v>25076.43404</v>
      </c>
      <c r="M1284" s="375">
        <v>113905.1357</v>
      </c>
      <c r="N1284" s="372">
        <v>0.94399999999999995</v>
      </c>
      <c r="O1284" s="703">
        <v>0.6463589016816641</v>
      </c>
      <c r="P1284" s="375" t="s">
        <v>623</v>
      </c>
      <c r="Q1284" s="375" t="s">
        <v>623</v>
      </c>
      <c r="R1284" s="695">
        <v>20081219</v>
      </c>
      <c r="S1284" s="375" t="s">
        <v>8776</v>
      </c>
      <c r="T1284" s="696">
        <v>0.23100000000000001</v>
      </c>
      <c r="U1284" s="372" t="s">
        <v>8777</v>
      </c>
      <c r="V1284" s="722">
        <v>5.25</v>
      </c>
      <c r="W1284" s="722">
        <v>1.04</v>
      </c>
      <c r="X1284" s="722">
        <v>1.48</v>
      </c>
      <c r="Y1284" s="722">
        <v>5.54</v>
      </c>
      <c r="Z1284" s="382" t="s">
        <v>934</v>
      </c>
      <c r="AA1284" s="372">
        <v>423.93115280000001</v>
      </c>
      <c r="AB1284" s="372">
        <v>557.05082549999997</v>
      </c>
      <c r="AC1284" s="372">
        <v>736.54249900000002</v>
      </c>
      <c r="AD1284" s="372">
        <v>816.33381469999995</v>
      </c>
      <c r="AE1284" s="372">
        <v>0</v>
      </c>
      <c r="AF1284" s="372">
        <v>0</v>
      </c>
      <c r="AG1284" s="372">
        <v>0</v>
      </c>
      <c r="AH1284" s="372">
        <v>0</v>
      </c>
    </row>
    <row r="1285" spans="1:34">
      <c r="A1285" s="372" t="s">
        <v>8778</v>
      </c>
      <c r="B1285" s="373" t="s">
        <v>8779</v>
      </c>
      <c r="C1285" s="372" t="s">
        <v>8780</v>
      </c>
      <c r="D1285" s="374">
        <v>1243110035801</v>
      </c>
      <c r="E1285" s="372" t="s">
        <v>8781</v>
      </c>
      <c r="F1285" s="375" t="s">
        <v>2438</v>
      </c>
      <c r="G1285" s="375" t="s">
        <v>2438</v>
      </c>
      <c r="H1285" s="375" t="s">
        <v>868</v>
      </c>
      <c r="I1285" s="375" t="s">
        <v>869</v>
      </c>
      <c r="J1285" s="375">
        <v>3352.0155800000002</v>
      </c>
      <c r="K1285" s="375">
        <v>-5196.0383899999997</v>
      </c>
      <c r="L1285" s="375">
        <v>-2875.2044599999999</v>
      </c>
      <c r="M1285" s="375">
        <v>414.11011000000002</v>
      </c>
      <c r="N1285" s="372" t="s">
        <v>1033</v>
      </c>
      <c r="O1285" s="703">
        <v>0.27732652187154305</v>
      </c>
      <c r="P1285" s="375" t="s">
        <v>16142</v>
      </c>
      <c r="Q1285" s="372" t="s">
        <v>16145</v>
      </c>
      <c r="R1285" s="695">
        <v>20170116</v>
      </c>
      <c r="S1285" s="372" t="s">
        <v>8782</v>
      </c>
      <c r="T1285" s="696" t="s">
        <v>772</v>
      </c>
      <c r="U1285" s="372" t="s">
        <v>8783</v>
      </c>
      <c r="V1285" s="722" t="s">
        <v>774</v>
      </c>
      <c r="W1285" s="722">
        <v>127.96</v>
      </c>
      <c r="X1285" s="722">
        <v>8.5</v>
      </c>
      <c r="Y1285" s="722" t="s">
        <v>774</v>
      </c>
      <c r="Z1285" s="382" t="s">
        <v>934</v>
      </c>
      <c r="AA1285" s="372">
        <v>1965.2331767999999</v>
      </c>
      <c r="AB1285" s="372">
        <v>420.95270729999999</v>
      </c>
      <c r="AC1285" s="372">
        <v>129.48837739999999</v>
      </c>
      <c r="AD1285" s="372">
        <v>33.520155799999998</v>
      </c>
      <c r="AE1285" s="372">
        <v>0</v>
      </c>
      <c r="AF1285" s="372">
        <v>0</v>
      </c>
      <c r="AG1285" s="372">
        <v>0</v>
      </c>
      <c r="AH1285" s="372">
        <v>0</v>
      </c>
    </row>
    <row r="1286" spans="1:34">
      <c r="A1286" s="372" t="s">
        <v>8784</v>
      </c>
      <c r="B1286" s="373" t="s">
        <v>8785</v>
      </c>
      <c r="C1286" s="372" t="s">
        <v>8786</v>
      </c>
      <c r="D1286" s="374">
        <v>1801110331502</v>
      </c>
      <c r="E1286" s="372" t="s">
        <v>8787</v>
      </c>
      <c r="F1286" s="375" t="s">
        <v>7108</v>
      </c>
      <c r="G1286" s="375" t="s">
        <v>8338</v>
      </c>
      <c r="H1286" s="375" t="s">
        <v>868</v>
      </c>
      <c r="I1286" s="375" t="s">
        <v>869</v>
      </c>
      <c r="J1286" s="375">
        <v>149605.87813999999</v>
      </c>
      <c r="K1286" s="375">
        <v>17432.4339</v>
      </c>
      <c r="L1286" s="375">
        <v>18918.362440000001</v>
      </c>
      <c r="M1286" s="375">
        <v>121267.1703</v>
      </c>
      <c r="N1286" s="372">
        <v>0.76100000000000001</v>
      </c>
      <c r="O1286" s="703">
        <v>90.047112913070123</v>
      </c>
      <c r="P1286" s="375" t="s">
        <v>623</v>
      </c>
      <c r="Q1286" s="375" t="s">
        <v>623</v>
      </c>
      <c r="R1286" s="695">
        <v>20071102</v>
      </c>
      <c r="S1286" s="375" t="s">
        <v>8788</v>
      </c>
      <c r="T1286" s="696">
        <v>0.20900000000000002</v>
      </c>
      <c r="U1286" s="372" t="s">
        <v>8789</v>
      </c>
      <c r="V1286" s="722">
        <v>10.32</v>
      </c>
      <c r="W1286" s="722">
        <v>1.01</v>
      </c>
      <c r="X1286" s="722">
        <v>0.82</v>
      </c>
      <c r="Y1286" s="722">
        <v>7.29</v>
      </c>
      <c r="Z1286" s="382" t="s">
        <v>934</v>
      </c>
      <c r="AA1286" s="372">
        <v>896.20822090000001</v>
      </c>
      <c r="AB1286" s="372">
        <v>1079.4886527000001</v>
      </c>
      <c r="AC1286" s="372">
        <v>1420.8968242999999</v>
      </c>
      <c r="AD1286" s="372">
        <v>1496.0587814</v>
      </c>
      <c r="AE1286" s="372">
        <v>1640</v>
      </c>
      <c r="AF1286" s="372">
        <v>1755</v>
      </c>
      <c r="AG1286" s="372">
        <v>0</v>
      </c>
      <c r="AH1286" s="372">
        <v>0</v>
      </c>
    </row>
    <row r="1287" spans="1:34">
      <c r="A1287" s="372" t="s">
        <v>8790</v>
      </c>
      <c r="B1287" s="373" t="s">
        <v>8791</v>
      </c>
      <c r="C1287" s="372" t="s">
        <v>8792</v>
      </c>
      <c r="D1287" s="374">
        <v>1101110504195</v>
      </c>
      <c r="E1287" s="372" t="s">
        <v>8793</v>
      </c>
      <c r="F1287" s="375" t="s">
        <v>8794</v>
      </c>
      <c r="G1287" s="375" t="s">
        <v>8794</v>
      </c>
      <c r="H1287" s="375" t="s">
        <v>817</v>
      </c>
      <c r="I1287" s="375" t="s">
        <v>755</v>
      </c>
      <c r="J1287" s="375">
        <v>355142.90117000003</v>
      </c>
      <c r="K1287" s="375">
        <v>29280.143230000001</v>
      </c>
      <c r="L1287" s="375">
        <v>36598.131829999998</v>
      </c>
      <c r="M1287" s="375">
        <v>400859.39999000001</v>
      </c>
      <c r="N1287" s="372">
        <v>1.0549999999999999</v>
      </c>
      <c r="O1287" s="703">
        <v>40.555243152521676</v>
      </c>
      <c r="P1287" s="375" t="s">
        <v>623</v>
      </c>
      <c r="Q1287" s="372" t="s">
        <v>623</v>
      </c>
      <c r="R1287" s="695">
        <v>19970422</v>
      </c>
      <c r="S1287" s="372" t="s">
        <v>8795</v>
      </c>
      <c r="T1287" s="696">
        <v>0.23100000000000001</v>
      </c>
      <c r="U1287" s="372" t="s">
        <v>8796</v>
      </c>
      <c r="V1287" s="722">
        <v>4.24</v>
      </c>
      <c r="W1287" s="722">
        <v>0.34</v>
      </c>
      <c r="X1287" s="722">
        <v>0.34</v>
      </c>
      <c r="Y1287" s="722">
        <v>5.04</v>
      </c>
      <c r="Z1287" s="382" t="s">
        <v>934</v>
      </c>
      <c r="AA1287" s="372">
        <v>2394.5449524999999</v>
      </c>
      <c r="AB1287" s="372">
        <v>2709.8229328000002</v>
      </c>
      <c r="AC1287" s="372">
        <v>3334.456639</v>
      </c>
      <c r="AD1287" s="372">
        <v>3551.4290117</v>
      </c>
      <c r="AE1287" s="372">
        <v>0</v>
      </c>
      <c r="AF1287" s="372">
        <v>0</v>
      </c>
      <c r="AG1287" s="372">
        <v>0</v>
      </c>
      <c r="AH1287" s="372">
        <v>0</v>
      </c>
    </row>
    <row r="1288" spans="1:34">
      <c r="A1288" s="372" t="s">
        <v>8797</v>
      </c>
      <c r="B1288" s="373" t="s">
        <v>8798</v>
      </c>
      <c r="C1288" s="372" t="s">
        <v>8799</v>
      </c>
      <c r="D1288" s="374">
        <v>1101110026420</v>
      </c>
      <c r="E1288" s="372" t="s">
        <v>8800</v>
      </c>
      <c r="F1288" s="372" t="s">
        <v>1334</v>
      </c>
      <c r="G1288" s="375" t="s">
        <v>1334</v>
      </c>
      <c r="H1288" s="375" t="s">
        <v>868</v>
      </c>
      <c r="I1288" s="375" t="s">
        <v>869</v>
      </c>
      <c r="J1288" s="375">
        <v>233675.50076</v>
      </c>
      <c r="K1288" s="375">
        <v>5061.4409500000002</v>
      </c>
      <c r="L1288" s="375">
        <v>4267.18732</v>
      </c>
      <c r="M1288" s="375">
        <v>151665.66255000001</v>
      </c>
      <c r="N1288" s="372">
        <v>0.76300000000000001</v>
      </c>
      <c r="O1288" s="703">
        <v>20.387308328790706</v>
      </c>
      <c r="P1288" s="375" t="s">
        <v>623</v>
      </c>
      <c r="Q1288" s="372" t="s">
        <v>623</v>
      </c>
      <c r="R1288" s="695">
        <v>20000613</v>
      </c>
      <c r="S1288" s="372" t="s">
        <v>8801</v>
      </c>
      <c r="T1288" s="696">
        <v>0.20900000000000002</v>
      </c>
      <c r="U1288" s="372" t="s">
        <v>8802</v>
      </c>
      <c r="V1288" s="722">
        <v>12.13</v>
      </c>
      <c r="W1288" s="722">
        <v>0.78</v>
      </c>
      <c r="X1288" s="722">
        <v>0.53</v>
      </c>
      <c r="Y1288" s="722">
        <v>95.13</v>
      </c>
      <c r="Z1288" s="382" t="s">
        <v>934</v>
      </c>
      <c r="AA1288" s="372">
        <v>1433.6421786000001</v>
      </c>
      <c r="AB1288" s="372">
        <v>1635.3383025999999</v>
      </c>
      <c r="AC1288" s="372">
        <v>2053.8853629</v>
      </c>
      <c r="AD1288" s="372">
        <v>2336.7550076000002</v>
      </c>
      <c r="AE1288" s="372">
        <v>0</v>
      </c>
      <c r="AF1288" s="372">
        <v>0</v>
      </c>
      <c r="AG1288" s="372">
        <v>0</v>
      </c>
      <c r="AH1288" s="372">
        <v>0</v>
      </c>
    </row>
    <row r="1289" spans="1:34">
      <c r="A1289" s="372" t="s">
        <v>8803</v>
      </c>
      <c r="B1289" s="373" t="s">
        <v>8804</v>
      </c>
      <c r="C1289" s="372" t="s">
        <v>8805</v>
      </c>
      <c r="D1289" s="374">
        <v>1101111515191</v>
      </c>
      <c r="E1289" s="372" t="s">
        <v>8806</v>
      </c>
      <c r="F1289" s="375" t="s">
        <v>2450</v>
      </c>
      <c r="G1289" s="375" t="s">
        <v>2451</v>
      </c>
      <c r="H1289" s="375" t="s">
        <v>868</v>
      </c>
      <c r="I1289" s="375" t="s">
        <v>869</v>
      </c>
      <c r="J1289" s="375">
        <v>129156.57037</v>
      </c>
      <c r="K1289" s="375">
        <v>4452.7909</v>
      </c>
      <c r="L1289" s="375">
        <v>9389.4555700000001</v>
      </c>
      <c r="M1289" s="375">
        <v>143718.4474</v>
      </c>
      <c r="N1289" s="372">
        <v>1</v>
      </c>
      <c r="O1289" s="703">
        <v>0.24920226937298326</v>
      </c>
      <c r="P1289" s="375" t="s">
        <v>623</v>
      </c>
      <c r="Q1289" s="372" t="s">
        <v>623</v>
      </c>
      <c r="R1289" s="695">
        <v>20050121</v>
      </c>
      <c r="S1289" s="372" t="s">
        <v>8807</v>
      </c>
      <c r="T1289" s="696">
        <v>0.20900000000000002</v>
      </c>
      <c r="U1289" s="372" t="s">
        <v>8808</v>
      </c>
      <c r="V1289" s="722">
        <v>13.37</v>
      </c>
      <c r="W1289" s="722">
        <v>0.67</v>
      </c>
      <c r="X1289" s="722">
        <v>0.76</v>
      </c>
      <c r="Y1289" s="722">
        <v>13.79</v>
      </c>
      <c r="Z1289" s="382" t="s">
        <v>934</v>
      </c>
      <c r="AA1289" s="372">
        <v>1018.543153</v>
      </c>
      <c r="AB1289" s="372">
        <v>1140.3874773</v>
      </c>
      <c r="AC1289" s="372">
        <v>1244.4167666000001</v>
      </c>
      <c r="AD1289" s="372">
        <v>1291.5657037000001</v>
      </c>
      <c r="AE1289" s="372">
        <v>2100</v>
      </c>
      <c r="AF1289" s="372">
        <v>0</v>
      </c>
      <c r="AG1289" s="372">
        <v>0</v>
      </c>
      <c r="AH1289" s="372">
        <v>0</v>
      </c>
    </row>
    <row r="1290" spans="1:34">
      <c r="A1290" s="372" t="s">
        <v>8809</v>
      </c>
      <c r="B1290" s="373" t="s">
        <v>8810</v>
      </c>
      <c r="C1290" s="372" t="s">
        <v>16168</v>
      </c>
      <c r="D1290" s="374">
        <v>1101114809963</v>
      </c>
      <c r="E1290" s="372" t="s">
        <v>16169</v>
      </c>
      <c r="F1290" s="375" t="s">
        <v>1985</v>
      </c>
      <c r="G1290" s="375" t="s">
        <v>1985</v>
      </c>
      <c r="H1290" s="375" t="s">
        <v>1388</v>
      </c>
      <c r="I1290" s="375" t="s">
        <v>869</v>
      </c>
      <c r="J1290" s="375">
        <v>140336.75662999999</v>
      </c>
      <c r="K1290" s="375">
        <v>13324.26928</v>
      </c>
      <c r="L1290" s="375">
        <v>15320.98259</v>
      </c>
      <c r="M1290" s="375">
        <v>108350.66833</v>
      </c>
      <c r="N1290" s="372">
        <v>0.93899999999999995</v>
      </c>
      <c r="O1290" s="703">
        <v>12.274920551308323</v>
      </c>
      <c r="P1290" s="375" t="s">
        <v>623</v>
      </c>
      <c r="Q1290" s="375" t="s">
        <v>623</v>
      </c>
      <c r="R1290" s="695">
        <v>20161201</v>
      </c>
      <c r="S1290" s="375" t="s">
        <v>8811</v>
      </c>
      <c r="T1290" s="696">
        <v>0.20900000000000002</v>
      </c>
      <c r="U1290" s="375" t="s">
        <v>8812</v>
      </c>
      <c r="V1290" s="722">
        <v>6.72</v>
      </c>
      <c r="W1290" s="722">
        <v>1.2</v>
      </c>
      <c r="X1290" s="722">
        <v>0.92</v>
      </c>
      <c r="Y1290" s="722">
        <v>9.91</v>
      </c>
      <c r="Z1290" s="382" t="s">
        <v>934</v>
      </c>
      <c r="AA1290" s="372">
        <v>916.34634389999997</v>
      </c>
      <c r="AB1290" s="372">
        <v>939.40248859999997</v>
      </c>
      <c r="AC1290" s="372">
        <v>1649.6926719000001</v>
      </c>
      <c r="AD1290" s="372">
        <v>1403.3675662999999</v>
      </c>
      <c r="AE1290" s="372">
        <v>2270</v>
      </c>
      <c r="AF1290" s="372">
        <v>0</v>
      </c>
      <c r="AG1290" s="372">
        <v>0</v>
      </c>
      <c r="AH1290" s="372">
        <v>0</v>
      </c>
    </row>
    <row r="1291" spans="1:34">
      <c r="A1291" s="372" t="s">
        <v>8813</v>
      </c>
      <c r="B1291" s="373" t="s">
        <v>8814</v>
      </c>
      <c r="C1291" s="372" t="s">
        <v>8815</v>
      </c>
      <c r="D1291" s="374">
        <v>1411110025962</v>
      </c>
      <c r="E1291" s="372" t="s">
        <v>8816</v>
      </c>
      <c r="F1291" s="375" t="s">
        <v>3151</v>
      </c>
      <c r="G1291" s="375" t="s">
        <v>3151</v>
      </c>
      <c r="H1291" s="375" t="s">
        <v>868</v>
      </c>
      <c r="I1291" s="375" t="s">
        <v>869</v>
      </c>
      <c r="J1291" s="375">
        <v>33952.242189999997</v>
      </c>
      <c r="K1291" s="375">
        <v>2245.7754500000001</v>
      </c>
      <c r="L1291" s="375">
        <v>-1517.31674</v>
      </c>
      <c r="M1291" s="375">
        <v>42028.696920000002</v>
      </c>
      <c r="N1291" s="372">
        <v>0.32400000000000001</v>
      </c>
      <c r="O1291" s="703">
        <v>16.470417504565386</v>
      </c>
      <c r="P1291" s="375" t="s">
        <v>623</v>
      </c>
      <c r="Q1291" s="372" t="s">
        <v>623</v>
      </c>
      <c r="R1291" s="695">
        <v>20201029</v>
      </c>
      <c r="S1291" s="375" t="s">
        <v>8817</v>
      </c>
      <c r="T1291" s="696" t="s">
        <v>772</v>
      </c>
      <c r="U1291" s="372" t="s">
        <v>8818</v>
      </c>
      <c r="V1291" s="722">
        <v>28.76</v>
      </c>
      <c r="W1291" s="722">
        <v>2.35</v>
      </c>
      <c r="X1291" s="722">
        <v>2.87</v>
      </c>
      <c r="Y1291" s="722" t="s">
        <v>774</v>
      </c>
      <c r="Z1291" s="382" t="s">
        <v>934</v>
      </c>
      <c r="AA1291" s="372">
        <v>201.25977589999999</v>
      </c>
      <c r="AB1291" s="372">
        <v>275.89913369999999</v>
      </c>
      <c r="AC1291" s="372">
        <v>384.90343309999997</v>
      </c>
      <c r="AD1291" s="372">
        <v>339.52242189999998</v>
      </c>
      <c r="AE1291" s="372">
        <v>596</v>
      </c>
      <c r="AF1291" s="372">
        <v>0</v>
      </c>
      <c r="AG1291" s="372">
        <v>0</v>
      </c>
      <c r="AH1291" s="372">
        <v>0</v>
      </c>
    </row>
    <row r="1292" spans="1:34">
      <c r="A1292" s="372" t="s">
        <v>8819</v>
      </c>
      <c r="B1292" s="373" t="s">
        <v>8820</v>
      </c>
      <c r="C1292" s="372" t="s">
        <v>8821</v>
      </c>
      <c r="D1292" s="374">
        <v>1101110017867</v>
      </c>
      <c r="E1292" s="372" t="s">
        <v>8822</v>
      </c>
      <c r="F1292" s="375" t="s">
        <v>900</v>
      </c>
      <c r="G1292" s="375" t="s">
        <v>901</v>
      </c>
      <c r="H1292" s="375" t="s">
        <v>862</v>
      </c>
      <c r="I1292" s="375" t="s">
        <v>755</v>
      </c>
      <c r="J1292" s="375">
        <v>443135.22499999998</v>
      </c>
      <c r="K1292" s="375">
        <v>3998.57</v>
      </c>
      <c r="L1292" s="375">
        <v>4033.0859999999998</v>
      </c>
      <c r="M1292" s="375">
        <v>594227.60400000005</v>
      </c>
      <c r="N1292" s="372">
        <v>0.77600000000000002</v>
      </c>
      <c r="O1292" s="703">
        <v>19.729294318275453</v>
      </c>
      <c r="P1292" s="375" t="s">
        <v>623</v>
      </c>
      <c r="Q1292" s="375" t="s">
        <v>623</v>
      </c>
      <c r="R1292" s="695">
        <v>19720517</v>
      </c>
      <c r="S1292" s="375" t="s">
        <v>3293</v>
      </c>
      <c r="T1292" s="696">
        <v>0.20900000000000002</v>
      </c>
      <c r="U1292" s="372" t="s">
        <v>8823</v>
      </c>
      <c r="V1292" s="722">
        <v>10.119999999999999</v>
      </c>
      <c r="W1292" s="722">
        <v>0.21</v>
      </c>
      <c r="X1292" s="722">
        <v>0.27</v>
      </c>
      <c r="Y1292" s="722">
        <v>16.23</v>
      </c>
      <c r="Z1292" s="382">
        <v>7.7318422873409176E-3</v>
      </c>
      <c r="AA1292" s="372">
        <v>3594.81882</v>
      </c>
      <c r="AB1292" s="372">
        <v>4136.4413699999996</v>
      </c>
      <c r="AC1292" s="372">
        <v>4672.1108000000004</v>
      </c>
      <c r="AD1292" s="372">
        <v>4431.3522499999999</v>
      </c>
      <c r="AE1292" s="372">
        <v>4711.5</v>
      </c>
      <c r="AF1292" s="372">
        <v>4500</v>
      </c>
      <c r="AG1292" s="372">
        <v>4570</v>
      </c>
      <c r="AH1292" s="372">
        <v>0</v>
      </c>
    </row>
    <row r="1293" spans="1:34">
      <c r="A1293" s="372" t="s">
        <v>8824</v>
      </c>
      <c r="B1293" s="373" t="s">
        <v>8825</v>
      </c>
      <c r="C1293" s="372" t="s">
        <v>8826</v>
      </c>
      <c r="D1293" s="374">
        <v>1601110207244</v>
      </c>
      <c r="E1293" s="372" t="s">
        <v>8827</v>
      </c>
      <c r="F1293" s="375" t="s">
        <v>1286</v>
      </c>
      <c r="G1293" s="375" t="s">
        <v>1465</v>
      </c>
      <c r="H1293" s="375" t="s">
        <v>868</v>
      </c>
      <c r="I1293" s="375" t="s">
        <v>869</v>
      </c>
      <c r="J1293" s="375">
        <v>37040.2019</v>
      </c>
      <c r="K1293" s="375">
        <v>-4835.9611400000003</v>
      </c>
      <c r="L1293" s="375">
        <v>-21108.92584</v>
      </c>
      <c r="M1293" s="375">
        <v>56134.877710000001</v>
      </c>
      <c r="N1293" s="372">
        <v>1.03</v>
      </c>
      <c r="O1293" s="703">
        <v>25.536491991764503</v>
      </c>
      <c r="P1293" s="375" t="s">
        <v>623</v>
      </c>
      <c r="Q1293" s="372" t="s">
        <v>623</v>
      </c>
      <c r="R1293" s="695">
        <v>20140711</v>
      </c>
      <c r="S1293" s="372" t="s">
        <v>8828</v>
      </c>
      <c r="T1293" s="696" t="s">
        <v>772</v>
      </c>
      <c r="U1293" s="372" t="s">
        <v>8829</v>
      </c>
      <c r="V1293" s="722" t="s">
        <v>774</v>
      </c>
      <c r="W1293" s="722">
        <v>2.1</v>
      </c>
      <c r="X1293" s="722">
        <v>3.14</v>
      </c>
      <c r="Y1293" s="722" t="s">
        <v>774</v>
      </c>
      <c r="Z1293" s="382" t="s">
        <v>934</v>
      </c>
      <c r="AA1293" s="372">
        <v>376.66650199999998</v>
      </c>
      <c r="AB1293" s="372">
        <v>396.40750370000001</v>
      </c>
      <c r="AC1293" s="372">
        <v>360.0132906</v>
      </c>
      <c r="AD1293" s="372">
        <v>370.402019</v>
      </c>
      <c r="AE1293" s="372">
        <v>0</v>
      </c>
      <c r="AF1293" s="372">
        <v>0</v>
      </c>
      <c r="AG1293" s="372">
        <v>0</v>
      </c>
      <c r="AH1293" s="372">
        <v>0</v>
      </c>
    </row>
    <row r="1294" spans="1:34">
      <c r="A1294" s="372" t="s">
        <v>8830</v>
      </c>
      <c r="B1294" s="373" t="s">
        <v>8831</v>
      </c>
      <c r="C1294" s="372" t="s">
        <v>8832</v>
      </c>
      <c r="D1294" s="374">
        <v>1101110510415</v>
      </c>
      <c r="E1294" s="372" t="s">
        <v>8833</v>
      </c>
      <c r="F1294" s="375" t="s">
        <v>1313</v>
      </c>
      <c r="G1294" s="375" t="s">
        <v>1313</v>
      </c>
      <c r="H1294" s="375" t="s">
        <v>868</v>
      </c>
      <c r="I1294" s="375" t="s">
        <v>869</v>
      </c>
      <c r="J1294" s="375">
        <v>93282.650930000003</v>
      </c>
      <c r="K1294" s="375">
        <v>10995.939899999999</v>
      </c>
      <c r="L1294" s="375">
        <v>13551.15317</v>
      </c>
      <c r="M1294" s="375">
        <v>166621.38034999999</v>
      </c>
      <c r="N1294" s="372">
        <v>0.65500000000000003</v>
      </c>
      <c r="O1294" s="703">
        <v>7.6687768305249966</v>
      </c>
      <c r="P1294" s="375" t="s">
        <v>623</v>
      </c>
      <c r="Q1294" s="375" t="s">
        <v>623</v>
      </c>
      <c r="R1294" s="695">
        <v>20101220</v>
      </c>
      <c r="S1294" s="375" t="s">
        <v>8834</v>
      </c>
      <c r="T1294" s="696">
        <v>0.20900000000000002</v>
      </c>
      <c r="U1294" s="372" t="s">
        <v>8835</v>
      </c>
      <c r="V1294" s="722">
        <v>0</v>
      </c>
      <c r="W1294" s="722">
        <v>0.72</v>
      </c>
      <c r="X1294" s="722">
        <v>0</v>
      </c>
      <c r="Y1294" s="722">
        <v>0</v>
      </c>
      <c r="Z1294" s="382" t="s">
        <v>934</v>
      </c>
      <c r="AA1294" s="372">
        <v>801.91667649999999</v>
      </c>
      <c r="AB1294" s="372">
        <v>889.28805829999999</v>
      </c>
      <c r="AC1294" s="372">
        <v>966.07882670000004</v>
      </c>
      <c r="AD1294" s="372">
        <v>932.8265093</v>
      </c>
      <c r="AE1294" s="372">
        <v>0</v>
      </c>
      <c r="AF1294" s="372">
        <v>0</v>
      </c>
      <c r="AG1294" s="372">
        <v>0</v>
      </c>
      <c r="AH1294" s="372">
        <v>0</v>
      </c>
    </row>
    <row r="1295" spans="1:34">
      <c r="A1295" s="372" t="s">
        <v>8836</v>
      </c>
      <c r="B1295" s="373" t="s">
        <v>8837</v>
      </c>
      <c r="C1295" s="372" t="s">
        <v>8838</v>
      </c>
      <c r="D1295" s="374">
        <v>1101111931230</v>
      </c>
      <c r="E1295" s="372" t="s">
        <v>8839</v>
      </c>
      <c r="F1295" s="375" t="s">
        <v>3487</v>
      </c>
      <c r="G1295" s="375" t="s">
        <v>3487</v>
      </c>
      <c r="H1295" s="375" t="s">
        <v>3127</v>
      </c>
      <c r="I1295" s="375" t="s">
        <v>869</v>
      </c>
      <c r="J1295" s="375">
        <v>71463.724849999999</v>
      </c>
      <c r="K1295" s="375">
        <v>-9331.1919400000006</v>
      </c>
      <c r="L1295" s="375">
        <v>-11486.19505</v>
      </c>
      <c r="M1295" s="375">
        <v>148233.39554</v>
      </c>
      <c r="N1295" s="372">
        <v>1.2549999999999999</v>
      </c>
      <c r="O1295" s="703">
        <v>13.018795051909555</v>
      </c>
      <c r="P1295" s="375" t="s">
        <v>623</v>
      </c>
      <c r="Q1295" s="375" t="s">
        <v>623</v>
      </c>
      <c r="R1295" s="695">
        <v>20020820</v>
      </c>
      <c r="S1295" s="375" t="s">
        <v>8840</v>
      </c>
      <c r="T1295" s="696" t="s">
        <v>772</v>
      </c>
      <c r="U1295" s="372" t="s">
        <v>8841</v>
      </c>
      <c r="V1295" s="722" t="s">
        <v>774</v>
      </c>
      <c r="W1295" s="722">
        <v>0.7</v>
      </c>
      <c r="X1295" s="722">
        <v>1.54</v>
      </c>
      <c r="Y1295" s="722" t="s">
        <v>774</v>
      </c>
      <c r="Z1295" s="382" t="s">
        <v>934</v>
      </c>
      <c r="AA1295" s="372">
        <v>934.06731400000001</v>
      </c>
      <c r="AB1295" s="372">
        <v>1095.7928317000001</v>
      </c>
      <c r="AC1295" s="372">
        <v>955.36623099999997</v>
      </c>
      <c r="AD1295" s="372">
        <v>714.63724850000006</v>
      </c>
      <c r="AE1295" s="372">
        <v>0</v>
      </c>
      <c r="AF1295" s="372">
        <v>0</v>
      </c>
      <c r="AG1295" s="372">
        <v>0</v>
      </c>
      <c r="AH1295" s="372">
        <v>0</v>
      </c>
    </row>
    <row r="1296" spans="1:34">
      <c r="A1296" s="372" t="s">
        <v>8842</v>
      </c>
      <c r="B1296" s="373" t="s">
        <v>8843</v>
      </c>
      <c r="C1296" s="372" t="s">
        <v>8844</v>
      </c>
      <c r="D1296" s="374">
        <v>1101111168502</v>
      </c>
      <c r="E1296" s="372" t="s">
        <v>8845</v>
      </c>
      <c r="F1296" s="375" t="s">
        <v>2077</v>
      </c>
      <c r="G1296" s="375" t="s">
        <v>2078</v>
      </c>
      <c r="H1296" s="375" t="s">
        <v>868</v>
      </c>
      <c r="I1296" s="375" t="s">
        <v>869</v>
      </c>
      <c r="J1296" s="375">
        <v>78421.203009999997</v>
      </c>
      <c r="K1296" s="375">
        <v>9402.2868199999994</v>
      </c>
      <c r="L1296" s="375">
        <v>11091.00287</v>
      </c>
      <c r="M1296" s="375">
        <v>100638.27889</v>
      </c>
      <c r="N1296" s="372">
        <v>1.071</v>
      </c>
      <c r="O1296" s="703">
        <v>0.42858221222465226</v>
      </c>
      <c r="P1296" s="375" t="s">
        <v>623</v>
      </c>
      <c r="Q1296" s="375" t="s">
        <v>623</v>
      </c>
      <c r="R1296" s="695">
        <v>20130701</v>
      </c>
      <c r="S1296" s="375" t="s">
        <v>8846</v>
      </c>
      <c r="T1296" s="696">
        <v>0.20900000000000002</v>
      </c>
      <c r="U1296" s="372" t="s">
        <v>8847</v>
      </c>
      <c r="V1296" s="722">
        <v>10.27</v>
      </c>
      <c r="W1296" s="722">
        <v>1.1399999999999999</v>
      </c>
      <c r="X1296" s="722">
        <v>1.47</v>
      </c>
      <c r="Y1296" s="722">
        <v>12.95</v>
      </c>
      <c r="Z1296" s="382" t="s">
        <v>934</v>
      </c>
      <c r="AA1296" s="372">
        <v>675.19209000000001</v>
      </c>
      <c r="AB1296" s="372">
        <v>568.02196309999999</v>
      </c>
      <c r="AC1296" s="372">
        <v>683.46731750000004</v>
      </c>
      <c r="AD1296" s="372">
        <v>784.21203009999999</v>
      </c>
      <c r="AE1296" s="372">
        <v>0</v>
      </c>
      <c r="AF1296" s="372">
        <v>0</v>
      </c>
      <c r="AG1296" s="372">
        <v>0</v>
      </c>
      <c r="AH1296" s="372">
        <v>0</v>
      </c>
    </row>
    <row r="1297" spans="1:34">
      <c r="A1297" s="372" t="s">
        <v>8848</v>
      </c>
      <c r="B1297" s="373" t="s">
        <v>8849</v>
      </c>
      <c r="C1297" s="372" t="s">
        <v>8850</v>
      </c>
      <c r="D1297" s="374">
        <v>1101110008882</v>
      </c>
      <c r="E1297" s="372" t="s">
        <v>8851</v>
      </c>
      <c r="F1297" s="375" t="s">
        <v>6318</v>
      </c>
      <c r="G1297" s="375" t="s">
        <v>6318</v>
      </c>
      <c r="H1297" s="375" t="s">
        <v>3998</v>
      </c>
      <c r="I1297" s="375" t="s">
        <v>755</v>
      </c>
      <c r="J1297" s="375">
        <v>312304.37708000001</v>
      </c>
      <c r="K1297" s="375">
        <v>22880.520710000001</v>
      </c>
      <c r="L1297" s="375">
        <v>25554.401020000001</v>
      </c>
      <c r="M1297" s="375">
        <v>295721.55232999998</v>
      </c>
      <c r="N1297" s="372">
        <v>0.73499999999999999</v>
      </c>
      <c r="O1297" s="703">
        <v>0.57916789195825658</v>
      </c>
      <c r="P1297" s="375" t="s">
        <v>623</v>
      </c>
      <c r="Q1297" s="372" t="s">
        <v>623</v>
      </c>
      <c r="R1297" s="695">
        <v>19740628</v>
      </c>
      <c r="S1297" s="372" t="s">
        <v>8852</v>
      </c>
      <c r="T1297" s="696">
        <v>0.23100000000000001</v>
      </c>
      <c r="U1297" s="372" t="s">
        <v>8853</v>
      </c>
      <c r="V1297" s="722">
        <v>4.04</v>
      </c>
      <c r="W1297" s="722">
        <v>0.39</v>
      </c>
      <c r="X1297" s="722">
        <v>0.38</v>
      </c>
      <c r="Y1297" s="722">
        <v>6.23</v>
      </c>
      <c r="Z1297" s="382" t="s">
        <v>934</v>
      </c>
      <c r="AA1297" s="372">
        <v>2648.126655</v>
      </c>
      <c r="AB1297" s="372">
        <v>3192.240988</v>
      </c>
      <c r="AC1297" s="372">
        <v>3414.2023647000001</v>
      </c>
      <c r="AD1297" s="372">
        <v>3123.0437707999999</v>
      </c>
      <c r="AE1297" s="372">
        <v>0</v>
      </c>
      <c r="AF1297" s="372">
        <v>0</v>
      </c>
      <c r="AG1297" s="372">
        <v>0</v>
      </c>
      <c r="AH1297" s="372">
        <v>0</v>
      </c>
    </row>
    <row r="1298" spans="1:34">
      <c r="A1298" s="372" t="s">
        <v>8854</v>
      </c>
      <c r="B1298" s="373" t="s">
        <v>8855</v>
      </c>
      <c r="C1298" s="372" t="s">
        <v>8856</v>
      </c>
      <c r="D1298" s="374">
        <v>1101110026834</v>
      </c>
      <c r="E1298" s="372" t="s">
        <v>8857</v>
      </c>
      <c r="F1298" s="372" t="s">
        <v>1272</v>
      </c>
      <c r="G1298" s="375" t="s">
        <v>1273</v>
      </c>
      <c r="H1298" s="375" t="s">
        <v>1274</v>
      </c>
      <c r="I1298" s="375" t="s">
        <v>755</v>
      </c>
      <c r="J1298" s="375">
        <v>153744.55348</v>
      </c>
      <c r="K1298" s="375">
        <v>46294.753859999997</v>
      </c>
      <c r="L1298" s="375">
        <v>46934.65135</v>
      </c>
      <c r="M1298" s="375">
        <v>489793.77269999997</v>
      </c>
      <c r="N1298" s="372">
        <v>1.0109999999999999</v>
      </c>
      <c r="O1298" s="703">
        <v>671.275450717902</v>
      </c>
      <c r="P1298" s="375" t="s">
        <v>623</v>
      </c>
      <c r="Q1298" s="372" t="s">
        <v>623</v>
      </c>
      <c r="R1298" s="695">
        <v>19880304</v>
      </c>
      <c r="S1298" s="372" t="s">
        <v>3236</v>
      </c>
      <c r="T1298" s="696">
        <v>0.23100000000000001</v>
      </c>
      <c r="U1298" s="372" t="s">
        <v>8858</v>
      </c>
      <c r="V1298" s="722">
        <v>0</v>
      </c>
      <c r="W1298" s="722">
        <v>0.25</v>
      </c>
      <c r="X1298" s="722">
        <v>0</v>
      </c>
      <c r="Y1298" s="722">
        <v>0</v>
      </c>
      <c r="Z1298" s="382" t="s">
        <v>934</v>
      </c>
      <c r="AA1298" s="372">
        <v>1907.4281573999999</v>
      </c>
      <c r="AB1298" s="372">
        <v>2937.0773773999999</v>
      </c>
      <c r="AC1298" s="372">
        <v>1587.4735175999999</v>
      </c>
      <c r="AD1298" s="372">
        <v>1537.4455347999999</v>
      </c>
      <c r="AE1298" s="372">
        <v>0</v>
      </c>
      <c r="AF1298" s="372">
        <v>0</v>
      </c>
      <c r="AG1298" s="372">
        <v>0</v>
      </c>
      <c r="AH1298" s="372">
        <v>0</v>
      </c>
    </row>
    <row r="1299" spans="1:34">
      <c r="A1299" s="372" t="s">
        <v>8859</v>
      </c>
      <c r="B1299" s="373" t="s">
        <v>8860</v>
      </c>
      <c r="C1299" s="372" t="s">
        <v>8861</v>
      </c>
      <c r="D1299" s="374">
        <v>1201110097940</v>
      </c>
      <c r="E1299" s="372" t="s">
        <v>8862</v>
      </c>
      <c r="F1299" s="375" t="s">
        <v>2535</v>
      </c>
      <c r="G1299" s="375" t="s">
        <v>2535</v>
      </c>
      <c r="H1299" s="375" t="s">
        <v>1388</v>
      </c>
      <c r="I1299" s="375" t="s">
        <v>869</v>
      </c>
      <c r="J1299" s="375">
        <v>104942.71793</v>
      </c>
      <c r="K1299" s="375">
        <v>12725.75563</v>
      </c>
      <c r="L1299" s="375">
        <v>12038.687089999999</v>
      </c>
      <c r="M1299" s="375">
        <v>227524.67618000001</v>
      </c>
      <c r="N1299" s="372" t="s">
        <v>1033</v>
      </c>
      <c r="O1299" s="703">
        <v>36.48965310695106</v>
      </c>
      <c r="P1299" s="375" t="s">
        <v>623</v>
      </c>
      <c r="Q1299" s="372" t="s">
        <v>623</v>
      </c>
      <c r="R1299" s="695">
        <v>20010803</v>
      </c>
      <c r="S1299" s="375" t="s">
        <v>8863</v>
      </c>
      <c r="T1299" s="696">
        <v>0.20900000000000002</v>
      </c>
      <c r="U1299" s="375" t="s">
        <v>8864</v>
      </c>
      <c r="V1299" s="722">
        <v>7.17</v>
      </c>
      <c r="W1299" s="722">
        <v>0.55000000000000004</v>
      </c>
      <c r="X1299" s="722">
        <v>1.19</v>
      </c>
      <c r="Y1299" s="722">
        <v>10.11</v>
      </c>
      <c r="Z1299" s="382" t="s">
        <v>934</v>
      </c>
      <c r="AA1299" s="372">
        <v>796.13129360000005</v>
      </c>
      <c r="AB1299" s="372">
        <v>921.23812220000002</v>
      </c>
      <c r="AC1299" s="372">
        <v>1171.0787468999999</v>
      </c>
      <c r="AD1299" s="372">
        <v>1049.4271793</v>
      </c>
      <c r="AE1299" s="372">
        <v>0</v>
      </c>
      <c r="AF1299" s="372">
        <v>0</v>
      </c>
      <c r="AG1299" s="372">
        <v>0</v>
      </c>
      <c r="AH1299" s="372">
        <v>0</v>
      </c>
    </row>
    <row r="1300" spans="1:34">
      <c r="A1300" s="372" t="s">
        <v>8865</v>
      </c>
      <c r="B1300" s="373" t="s">
        <v>8866</v>
      </c>
      <c r="C1300" s="372" t="s">
        <v>8867</v>
      </c>
      <c r="D1300" s="374">
        <v>1801110038447</v>
      </c>
      <c r="E1300" s="372" t="s">
        <v>8868</v>
      </c>
      <c r="F1300" s="372" t="s">
        <v>2438</v>
      </c>
      <c r="G1300" s="375" t="s">
        <v>2438</v>
      </c>
      <c r="H1300" s="375" t="s">
        <v>868</v>
      </c>
      <c r="I1300" s="375" t="s">
        <v>869</v>
      </c>
      <c r="J1300" s="375">
        <v>157532.71747</v>
      </c>
      <c r="K1300" s="375">
        <v>12763.40155</v>
      </c>
      <c r="L1300" s="375">
        <v>9017.3462099999997</v>
      </c>
      <c r="M1300" s="375">
        <v>86882.043720000001</v>
      </c>
      <c r="N1300" s="372">
        <v>0.997</v>
      </c>
      <c r="O1300" s="703">
        <v>34.877369252733061</v>
      </c>
      <c r="P1300" s="375" t="s">
        <v>623</v>
      </c>
      <c r="Q1300" s="372" t="s">
        <v>623</v>
      </c>
      <c r="R1300" s="695">
        <v>20011221</v>
      </c>
      <c r="S1300" s="372" t="s">
        <v>8869</v>
      </c>
      <c r="T1300" s="696">
        <v>0.20900000000000002</v>
      </c>
      <c r="U1300" s="372" t="s">
        <v>8870</v>
      </c>
      <c r="V1300" s="722">
        <v>10.11</v>
      </c>
      <c r="W1300" s="722">
        <v>1.47</v>
      </c>
      <c r="X1300" s="722">
        <v>0.83</v>
      </c>
      <c r="Y1300" s="722">
        <v>14.6</v>
      </c>
      <c r="Z1300" s="382" t="s">
        <v>934</v>
      </c>
      <c r="AA1300" s="372">
        <v>1677.3962200999999</v>
      </c>
      <c r="AB1300" s="372">
        <v>1159.2294356</v>
      </c>
      <c r="AC1300" s="372">
        <v>1315.6801828</v>
      </c>
      <c r="AD1300" s="372">
        <v>1575.3271746999999</v>
      </c>
      <c r="AE1300" s="372">
        <v>1597</v>
      </c>
      <c r="AF1300" s="372">
        <v>1861</v>
      </c>
      <c r="AG1300" s="372">
        <v>0</v>
      </c>
      <c r="AH1300" s="372">
        <v>0</v>
      </c>
    </row>
    <row r="1301" spans="1:34">
      <c r="A1301" s="372" t="s">
        <v>8871</v>
      </c>
      <c r="B1301" s="373" t="s">
        <v>8872</v>
      </c>
      <c r="C1301" s="372" t="s">
        <v>8873</v>
      </c>
      <c r="D1301" s="374">
        <v>1717110071503</v>
      </c>
      <c r="E1301" s="372" t="s">
        <v>8874</v>
      </c>
      <c r="F1301" s="375" t="s">
        <v>1286</v>
      </c>
      <c r="G1301" s="375" t="s">
        <v>1465</v>
      </c>
      <c r="H1301" s="375" t="s">
        <v>1388</v>
      </c>
      <c r="I1301" s="375" t="s">
        <v>869</v>
      </c>
      <c r="J1301" s="375">
        <v>68149.317450000002</v>
      </c>
      <c r="K1301" s="375">
        <v>6424.2516900000001</v>
      </c>
      <c r="L1301" s="375">
        <v>21946.28169</v>
      </c>
      <c r="M1301" s="375">
        <v>83023.01453</v>
      </c>
      <c r="N1301" s="372">
        <v>1.194</v>
      </c>
      <c r="O1301" s="703">
        <v>22.231687361816725</v>
      </c>
      <c r="P1301" s="375" t="s">
        <v>623</v>
      </c>
      <c r="Q1301" s="375" t="s">
        <v>623</v>
      </c>
      <c r="R1301" s="695">
        <v>20200731</v>
      </c>
      <c r="S1301" s="375" t="s">
        <v>8875</v>
      </c>
      <c r="T1301" s="696">
        <v>0.23100000000000001</v>
      </c>
      <c r="U1301" s="372" t="s">
        <v>8876</v>
      </c>
      <c r="V1301" s="722">
        <v>13.4</v>
      </c>
      <c r="W1301" s="722">
        <v>1.1599999999999999</v>
      </c>
      <c r="X1301" s="722">
        <v>1.61</v>
      </c>
      <c r="Y1301" s="722">
        <v>5.68</v>
      </c>
      <c r="Z1301" s="382" t="s">
        <v>934</v>
      </c>
      <c r="AA1301" s="372">
        <v>373.54123249999998</v>
      </c>
      <c r="AB1301" s="372">
        <v>600.0209787</v>
      </c>
      <c r="AC1301" s="372">
        <v>513.88503160000005</v>
      </c>
      <c r="AD1301" s="372">
        <v>681.49317450000001</v>
      </c>
      <c r="AE1301" s="372">
        <v>0</v>
      </c>
      <c r="AF1301" s="372">
        <v>0</v>
      </c>
      <c r="AG1301" s="372">
        <v>0</v>
      </c>
      <c r="AH1301" s="372">
        <v>0</v>
      </c>
    </row>
    <row r="1302" spans="1:34">
      <c r="A1302" s="372" t="s">
        <v>8877</v>
      </c>
      <c r="B1302" s="373" t="s">
        <v>8878</v>
      </c>
      <c r="C1302" s="372" t="s">
        <v>8879</v>
      </c>
      <c r="D1302" s="374">
        <v>1301110006296</v>
      </c>
      <c r="E1302" s="372" t="s">
        <v>8880</v>
      </c>
      <c r="F1302" s="375" t="s">
        <v>2030</v>
      </c>
      <c r="G1302" s="375" t="s">
        <v>2030</v>
      </c>
      <c r="H1302" s="375" t="s">
        <v>797</v>
      </c>
      <c r="I1302" s="375" t="s">
        <v>755</v>
      </c>
      <c r="J1302" s="375">
        <v>634018.25109000003</v>
      </c>
      <c r="K1302" s="375">
        <v>20925.835050000002</v>
      </c>
      <c r="L1302" s="375">
        <v>18316.743839999999</v>
      </c>
      <c r="M1302" s="375">
        <v>220198.63686999999</v>
      </c>
      <c r="N1302" s="372">
        <v>1.036</v>
      </c>
      <c r="O1302" s="703">
        <v>235.59516439353922</v>
      </c>
      <c r="P1302" s="375" t="s">
        <v>623</v>
      </c>
      <c r="Q1302" s="372" t="s">
        <v>623</v>
      </c>
      <c r="R1302" s="695">
        <v>19970623</v>
      </c>
      <c r="S1302" s="372" t="s">
        <v>8881</v>
      </c>
      <c r="T1302" s="696">
        <v>0.20900000000000002</v>
      </c>
      <c r="U1302" s="372" t="s">
        <v>8882</v>
      </c>
      <c r="V1302" s="722">
        <v>6.52</v>
      </c>
      <c r="W1302" s="722">
        <v>0.6</v>
      </c>
      <c r="X1302" s="722">
        <v>0.2</v>
      </c>
      <c r="Y1302" s="722">
        <v>9.16</v>
      </c>
      <c r="Z1302" s="382" t="s">
        <v>934</v>
      </c>
      <c r="AA1302" s="372">
        <v>4586.5412139</v>
      </c>
      <c r="AB1302" s="372">
        <v>4848.5560901999997</v>
      </c>
      <c r="AC1302" s="372">
        <v>5700.2085033000003</v>
      </c>
      <c r="AD1302" s="372">
        <v>6340.1825109000001</v>
      </c>
      <c r="AE1302" s="372">
        <v>0</v>
      </c>
      <c r="AF1302" s="372">
        <v>0</v>
      </c>
      <c r="AG1302" s="372">
        <v>0</v>
      </c>
      <c r="AH1302" s="372">
        <v>0</v>
      </c>
    </row>
    <row r="1303" spans="1:34">
      <c r="A1303" s="372" t="s">
        <v>8883</v>
      </c>
      <c r="B1303" s="373" t="s">
        <v>8884</v>
      </c>
      <c r="C1303" s="372" t="s">
        <v>8885</v>
      </c>
      <c r="D1303" s="374">
        <v>1648110065785</v>
      </c>
      <c r="E1303" s="372" t="s">
        <v>8886</v>
      </c>
      <c r="F1303" s="375" t="s">
        <v>2450</v>
      </c>
      <c r="G1303" s="375" t="s">
        <v>6132</v>
      </c>
      <c r="H1303" s="375" t="s">
        <v>868</v>
      </c>
      <c r="I1303" s="375" t="s">
        <v>869</v>
      </c>
      <c r="J1303" s="375">
        <v>36622.011339999997</v>
      </c>
      <c r="K1303" s="375">
        <v>4499.9218499999997</v>
      </c>
      <c r="L1303" s="375">
        <v>6514.2056499999999</v>
      </c>
      <c r="M1303" s="375">
        <v>91544.322589999996</v>
      </c>
      <c r="N1303" s="372">
        <v>1.198</v>
      </c>
      <c r="O1303" s="703">
        <v>11.433352593203486</v>
      </c>
      <c r="P1303" s="375" t="s">
        <v>623</v>
      </c>
      <c r="Q1303" s="375" t="s">
        <v>623</v>
      </c>
      <c r="R1303" s="695">
        <v>20211021</v>
      </c>
      <c r="S1303" s="375" t="s">
        <v>8887</v>
      </c>
      <c r="T1303" s="696">
        <v>0.20900000000000002</v>
      </c>
      <c r="U1303" s="372" t="s">
        <v>8888</v>
      </c>
      <c r="V1303" s="722">
        <v>0</v>
      </c>
      <c r="W1303" s="722">
        <v>1.58</v>
      </c>
      <c r="X1303" s="722">
        <v>0</v>
      </c>
      <c r="Y1303" s="722">
        <v>0</v>
      </c>
      <c r="Z1303" s="382" t="s">
        <v>934</v>
      </c>
      <c r="AA1303" s="372">
        <v>171.89214860000001</v>
      </c>
      <c r="AB1303" s="372">
        <v>195.4353223</v>
      </c>
      <c r="AC1303" s="372">
        <v>396.47018070000001</v>
      </c>
      <c r="AD1303" s="372">
        <v>366.2201134</v>
      </c>
      <c r="AE1303" s="372">
        <v>0</v>
      </c>
      <c r="AF1303" s="372">
        <v>0</v>
      </c>
      <c r="AG1303" s="372">
        <v>0</v>
      </c>
      <c r="AH1303" s="372">
        <v>0</v>
      </c>
    </row>
    <row r="1304" spans="1:34">
      <c r="A1304" s="372" t="s">
        <v>8889</v>
      </c>
      <c r="B1304" s="373" t="s">
        <v>8890</v>
      </c>
      <c r="C1304" s="372" t="s">
        <v>8891</v>
      </c>
      <c r="D1304" s="374">
        <v>1801110021509</v>
      </c>
      <c r="E1304" s="372" t="s">
        <v>8892</v>
      </c>
      <c r="F1304" s="375" t="s">
        <v>8893</v>
      </c>
      <c r="G1304" s="375" t="s">
        <v>8894</v>
      </c>
      <c r="H1304" s="375" t="s">
        <v>868</v>
      </c>
      <c r="I1304" s="375" t="s">
        <v>869</v>
      </c>
      <c r="J1304" s="375">
        <v>368722.02992</v>
      </c>
      <c r="K1304" s="375">
        <v>21636.085179999998</v>
      </c>
      <c r="L1304" s="375">
        <v>20558.704979999999</v>
      </c>
      <c r="M1304" s="375">
        <v>153973.35811</v>
      </c>
      <c r="N1304" s="372">
        <v>1.53</v>
      </c>
      <c r="O1304" s="703">
        <v>82.260726233424663</v>
      </c>
      <c r="P1304" s="375" t="s">
        <v>623</v>
      </c>
      <c r="Q1304" s="372" t="s">
        <v>623</v>
      </c>
      <c r="R1304" s="695">
        <v>20011221</v>
      </c>
      <c r="S1304" s="372" t="s">
        <v>8895</v>
      </c>
      <c r="T1304" s="696">
        <v>0.23100000000000001</v>
      </c>
      <c r="U1304" s="372" t="s">
        <v>8896</v>
      </c>
      <c r="V1304" s="722">
        <v>4.58</v>
      </c>
      <c r="W1304" s="722">
        <v>0.8</v>
      </c>
      <c r="X1304" s="722">
        <v>0.35</v>
      </c>
      <c r="Y1304" s="722">
        <v>9.1</v>
      </c>
      <c r="Z1304" s="382" t="s">
        <v>934</v>
      </c>
      <c r="AA1304" s="372">
        <v>2617.6784677999999</v>
      </c>
      <c r="AB1304" s="372">
        <v>2887.5524925</v>
      </c>
      <c r="AC1304" s="372">
        <v>3496.3909149999999</v>
      </c>
      <c r="AD1304" s="372">
        <v>3687.2202992000002</v>
      </c>
      <c r="AE1304" s="372">
        <v>0</v>
      </c>
      <c r="AF1304" s="372">
        <v>0</v>
      </c>
      <c r="AG1304" s="372">
        <v>0</v>
      </c>
      <c r="AH1304" s="372">
        <v>0</v>
      </c>
    </row>
    <row r="1305" spans="1:34">
      <c r="A1305" s="372" t="s">
        <v>8897</v>
      </c>
      <c r="B1305" s="373" t="s">
        <v>8898</v>
      </c>
      <c r="C1305" s="372" t="s">
        <v>8899</v>
      </c>
      <c r="D1305" s="374">
        <v>1348110072786</v>
      </c>
      <c r="E1305" s="372" t="s">
        <v>8900</v>
      </c>
      <c r="F1305" s="375" t="s">
        <v>1195</v>
      </c>
      <c r="G1305" s="375" t="s">
        <v>1196</v>
      </c>
      <c r="H1305" s="375" t="s">
        <v>1388</v>
      </c>
      <c r="I1305" s="375" t="s">
        <v>869</v>
      </c>
      <c r="J1305" s="375">
        <v>166725.52145</v>
      </c>
      <c r="K1305" s="375">
        <v>12740.846159999999</v>
      </c>
      <c r="L1305" s="375">
        <v>14601.670599999999</v>
      </c>
      <c r="M1305" s="375">
        <v>111006.13943</v>
      </c>
      <c r="N1305" s="372">
        <v>0.8</v>
      </c>
      <c r="O1305" s="703">
        <v>8.9464005126352522</v>
      </c>
      <c r="P1305" s="375" t="s">
        <v>623</v>
      </c>
      <c r="Q1305" s="372" t="s">
        <v>623</v>
      </c>
      <c r="R1305" s="695">
        <v>20180125</v>
      </c>
      <c r="S1305" s="372" t="s">
        <v>8901</v>
      </c>
      <c r="T1305" s="696">
        <v>0.20900000000000002</v>
      </c>
      <c r="U1305" s="372" t="s">
        <v>8902</v>
      </c>
      <c r="V1305" s="722">
        <v>8.0399999999999991</v>
      </c>
      <c r="W1305" s="722">
        <v>1.03</v>
      </c>
      <c r="X1305" s="722">
        <v>0.7</v>
      </c>
      <c r="Y1305" s="722">
        <v>9.06</v>
      </c>
      <c r="Z1305" s="382" t="s">
        <v>934</v>
      </c>
      <c r="AA1305" s="372">
        <v>1191.8310806</v>
      </c>
      <c r="AB1305" s="372">
        <v>1014.0267103</v>
      </c>
      <c r="AC1305" s="372">
        <v>1927.8070029</v>
      </c>
      <c r="AD1305" s="372">
        <v>1667.2552145</v>
      </c>
      <c r="AE1305" s="372">
        <v>0</v>
      </c>
      <c r="AF1305" s="372">
        <v>0</v>
      </c>
      <c r="AG1305" s="372">
        <v>0</v>
      </c>
      <c r="AH1305" s="372">
        <v>0</v>
      </c>
    </row>
    <row r="1306" spans="1:34">
      <c r="A1306" s="372" t="s">
        <v>8903</v>
      </c>
      <c r="B1306" s="373" t="s">
        <v>8904</v>
      </c>
      <c r="C1306" s="372" t="s">
        <v>8905</v>
      </c>
      <c r="D1306" s="374">
        <v>1345110000600</v>
      </c>
      <c r="E1306" s="372" t="s">
        <v>8906</v>
      </c>
      <c r="F1306" s="375" t="s">
        <v>8745</v>
      </c>
      <c r="G1306" s="375" t="s">
        <v>8907</v>
      </c>
      <c r="H1306" s="375" t="s">
        <v>868</v>
      </c>
      <c r="I1306" s="375" t="s">
        <v>869</v>
      </c>
      <c r="J1306" s="375">
        <v>76995.441500000001</v>
      </c>
      <c r="K1306" s="375">
        <v>3209.5499599999998</v>
      </c>
      <c r="L1306" s="375">
        <v>2336.6607199999999</v>
      </c>
      <c r="M1306" s="375">
        <v>142778.91873</v>
      </c>
      <c r="N1306" s="372">
        <v>0.72799999999999998</v>
      </c>
      <c r="O1306" s="703">
        <v>22.061083218414833</v>
      </c>
      <c r="P1306" s="375" t="s">
        <v>623</v>
      </c>
      <c r="Q1306" s="372" t="s">
        <v>623</v>
      </c>
      <c r="R1306" s="695">
        <v>19971110</v>
      </c>
      <c r="S1306" s="375" t="s">
        <v>8908</v>
      </c>
      <c r="T1306" s="696">
        <v>0.20900000000000002</v>
      </c>
      <c r="U1306" s="372" t="s">
        <v>8909</v>
      </c>
      <c r="V1306" s="722">
        <v>28.63</v>
      </c>
      <c r="W1306" s="722">
        <v>0.94</v>
      </c>
      <c r="X1306" s="722">
        <v>1.8</v>
      </c>
      <c r="Y1306" s="722">
        <v>42.92</v>
      </c>
      <c r="Z1306" s="382" t="s">
        <v>934</v>
      </c>
      <c r="AA1306" s="372">
        <v>351.22831810000002</v>
      </c>
      <c r="AB1306" s="372">
        <v>276.42410749999999</v>
      </c>
      <c r="AC1306" s="372">
        <v>284.5075478</v>
      </c>
      <c r="AD1306" s="372">
        <v>769.95441500000004</v>
      </c>
      <c r="AE1306" s="372">
        <v>0</v>
      </c>
      <c r="AF1306" s="372">
        <v>0</v>
      </c>
      <c r="AG1306" s="372">
        <v>0</v>
      </c>
      <c r="AH1306" s="372">
        <v>0</v>
      </c>
    </row>
    <row r="1307" spans="1:34">
      <c r="A1307" s="372" t="s">
        <v>8910</v>
      </c>
      <c r="B1307" s="373" t="s">
        <v>8911</v>
      </c>
      <c r="C1307" s="372" t="s">
        <v>8912</v>
      </c>
      <c r="D1307" s="374">
        <v>1101111673585</v>
      </c>
      <c r="E1307" s="372" t="s">
        <v>8913</v>
      </c>
      <c r="F1307" s="375" t="s">
        <v>1814</v>
      </c>
      <c r="G1307" s="375" t="s">
        <v>2821</v>
      </c>
      <c r="H1307" s="375" t="s">
        <v>1693</v>
      </c>
      <c r="I1307" s="375" t="s">
        <v>869</v>
      </c>
      <c r="J1307" s="375">
        <v>410144.58486</v>
      </c>
      <c r="K1307" s="375">
        <v>-2462.79423</v>
      </c>
      <c r="L1307" s="375">
        <v>-4892.1840400000001</v>
      </c>
      <c r="M1307" s="375">
        <v>144513.28956999999</v>
      </c>
      <c r="N1307" s="372">
        <v>1.3160000000000001</v>
      </c>
      <c r="O1307" s="703">
        <v>60.386649941008372</v>
      </c>
      <c r="P1307" s="375" t="s">
        <v>623</v>
      </c>
      <c r="Q1307" s="375" t="s">
        <v>623</v>
      </c>
      <c r="R1307" s="695">
        <v>20011030</v>
      </c>
      <c r="S1307" s="375" t="s">
        <v>8914</v>
      </c>
      <c r="T1307" s="696" t="s">
        <v>772</v>
      </c>
      <c r="U1307" s="375" t="s">
        <v>8915</v>
      </c>
      <c r="V1307" s="722" t="s">
        <v>774</v>
      </c>
      <c r="W1307" s="722">
        <v>0.62</v>
      </c>
      <c r="X1307" s="722">
        <v>0.23</v>
      </c>
      <c r="Y1307" s="722">
        <v>104.07</v>
      </c>
      <c r="Z1307" s="382" t="s">
        <v>934</v>
      </c>
      <c r="AA1307" s="372">
        <v>309.20645259999998</v>
      </c>
      <c r="AB1307" s="372">
        <v>262.33452039999997</v>
      </c>
      <c r="AC1307" s="372">
        <v>287.06102049999998</v>
      </c>
      <c r="AD1307" s="372">
        <v>4101.4458486000003</v>
      </c>
      <c r="AE1307" s="372">
        <v>0</v>
      </c>
      <c r="AF1307" s="372">
        <v>0</v>
      </c>
      <c r="AG1307" s="372">
        <v>0</v>
      </c>
      <c r="AH1307" s="372">
        <v>0</v>
      </c>
    </row>
    <row r="1308" spans="1:34">
      <c r="A1308" s="372" t="s">
        <v>8916</v>
      </c>
      <c r="B1308" s="373" t="s">
        <v>8917</v>
      </c>
      <c r="C1308" s="372" t="s">
        <v>8918</v>
      </c>
      <c r="D1308" s="374">
        <v>1101110320955</v>
      </c>
      <c r="E1308" s="372" t="s">
        <v>8919</v>
      </c>
      <c r="F1308" s="375" t="s">
        <v>1286</v>
      </c>
      <c r="G1308" s="375" t="s">
        <v>1286</v>
      </c>
      <c r="H1308" s="375" t="s">
        <v>1388</v>
      </c>
      <c r="I1308" s="375" t="s">
        <v>869</v>
      </c>
      <c r="J1308" s="375">
        <v>332145.48618000001</v>
      </c>
      <c r="K1308" s="375">
        <v>8676.5277999999998</v>
      </c>
      <c r="L1308" s="375">
        <v>13818.181930000001</v>
      </c>
      <c r="M1308" s="375">
        <v>159483.57930000001</v>
      </c>
      <c r="N1308" s="372">
        <v>0.42499999999999999</v>
      </c>
      <c r="O1308" s="703">
        <v>11.050361311691576</v>
      </c>
      <c r="P1308" s="375" t="s">
        <v>623</v>
      </c>
      <c r="Q1308" s="372" t="s">
        <v>623</v>
      </c>
      <c r="R1308" s="695">
        <v>20010731</v>
      </c>
      <c r="S1308" s="372" t="s">
        <v>8920</v>
      </c>
      <c r="T1308" s="696">
        <v>0.20900000000000002</v>
      </c>
      <c r="U1308" s="372" t="s">
        <v>8921</v>
      </c>
      <c r="V1308" s="722">
        <v>6.06</v>
      </c>
      <c r="W1308" s="722">
        <v>0.72</v>
      </c>
      <c r="X1308" s="722">
        <v>0.36</v>
      </c>
      <c r="Y1308" s="722">
        <v>10.42</v>
      </c>
      <c r="Z1308" s="382" t="s">
        <v>934</v>
      </c>
      <c r="AA1308" s="372">
        <v>2987.8523509000001</v>
      </c>
      <c r="AB1308" s="372">
        <v>2665.8941184999999</v>
      </c>
      <c r="AC1308" s="372">
        <v>3329.3115991</v>
      </c>
      <c r="AD1308" s="372">
        <v>3321.4548617999999</v>
      </c>
      <c r="AE1308" s="372">
        <v>0</v>
      </c>
      <c r="AF1308" s="372">
        <v>0</v>
      </c>
      <c r="AG1308" s="372">
        <v>0</v>
      </c>
      <c r="AH1308" s="372">
        <v>0</v>
      </c>
    </row>
    <row r="1309" spans="1:34">
      <c r="A1309" s="372" t="s">
        <v>8922</v>
      </c>
      <c r="B1309" s="373" t="s">
        <v>8923</v>
      </c>
      <c r="C1309" s="372" t="s">
        <v>8924</v>
      </c>
      <c r="D1309" s="374">
        <v>1101113433440</v>
      </c>
      <c r="E1309" s="372" t="s">
        <v>8925</v>
      </c>
      <c r="F1309" s="372" t="s">
        <v>860</v>
      </c>
      <c r="G1309" s="375" t="s">
        <v>4461</v>
      </c>
      <c r="H1309" s="375" t="s">
        <v>902</v>
      </c>
      <c r="I1309" s="375" t="s">
        <v>869</v>
      </c>
      <c r="J1309" s="375">
        <v>0</v>
      </c>
      <c r="K1309" s="375">
        <v>0</v>
      </c>
      <c r="L1309" s="375">
        <v>0</v>
      </c>
      <c r="M1309" s="375">
        <v>0</v>
      </c>
      <c r="N1309" s="372">
        <v>1.054</v>
      </c>
      <c r="O1309" s="703">
        <v>0</v>
      </c>
      <c r="P1309" s="375" t="s">
        <v>623</v>
      </c>
      <c r="Q1309" s="372" t="s">
        <v>623</v>
      </c>
      <c r="R1309" s="695">
        <v>20180706</v>
      </c>
      <c r="S1309" s="372" t="s">
        <v>8926</v>
      </c>
      <c r="T1309" s="696" t="s">
        <v>772</v>
      </c>
      <c r="U1309" s="375" t="s">
        <v>8927</v>
      </c>
      <c r="V1309" s="722">
        <v>0</v>
      </c>
      <c r="W1309" s="722">
        <v>0</v>
      </c>
      <c r="X1309" s="722">
        <v>0</v>
      </c>
      <c r="Y1309" s="722">
        <v>0</v>
      </c>
      <c r="Z1309" s="382" t="s">
        <v>774</v>
      </c>
      <c r="AA1309" s="372">
        <v>298.94038119999999</v>
      </c>
      <c r="AB1309" s="372">
        <v>314.95668030000002</v>
      </c>
      <c r="AC1309" s="372">
        <v>253.60233500000001</v>
      </c>
      <c r="AD1309" s="372">
        <v>0</v>
      </c>
      <c r="AE1309" s="372">
        <v>0</v>
      </c>
      <c r="AF1309" s="372">
        <v>0</v>
      </c>
      <c r="AG1309" s="372">
        <v>0</v>
      </c>
      <c r="AH1309" s="372">
        <v>0</v>
      </c>
    </row>
    <row r="1310" spans="1:34">
      <c r="A1310" s="372" t="s">
        <v>8928</v>
      </c>
      <c r="B1310" s="373" t="s">
        <v>8929</v>
      </c>
      <c r="C1310" s="372" t="s">
        <v>8930</v>
      </c>
      <c r="D1310" s="374">
        <v>1244110019308</v>
      </c>
      <c r="E1310" s="372" t="s">
        <v>8931</v>
      </c>
      <c r="F1310" s="375" t="s">
        <v>1286</v>
      </c>
      <c r="G1310" s="375" t="s">
        <v>1465</v>
      </c>
      <c r="H1310" s="375" t="s">
        <v>1388</v>
      </c>
      <c r="I1310" s="375" t="s">
        <v>869</v>
      </c>
      <c r="J1310" s="375">
        <v>186814.45873000001</v>
      </c>
      <c r="K1310" s="375">
        <v>-25972.72925</v>
      </c>
      <c r="L1310" s="375">
        <v>-10025.9586</v>
      </c>
      <c r="M1310" s="375">
        <v>164956.83927</v>
      </c>
      <c r="N1310" s="372">
        <v>0.95399999999999996</v>
      </c>
      <c r="O1310" s="703">
        <v>115.05232640132039</v>
      </c>
      <c r="P1310" s="375" t="s">
        <v>623</v>
      </c>
      <c r="Q1310" s="375" t="s">
        <v>623</v>
      </c>
      <c r="R1310" s="695">
        <v>20030730</v>
      </c>
      <c r="S1310" s="375" t="s">
        <v>8932</v>
      </c>
      <c r="T1310" s="696" t="s">
        <v>772</v>
      </c>
      <c r="U1310" s="375" t="s">
        <v>8933</v>
      </c>
      <c r="V1310" s="722" t="s">
        <v>774</v>
      </c>
      <c r="W1310" s="722">
        <v>0.71</v>
      </c>
      <c r="X1310" s="722">
        <v>0.62</v>
      </c>
      <c r="Y1310" s="722" t="s">
        <v>774</v>
      </c>
      <c r="Z1310" s="382">
        <v>0.17455281283472712</v>
      </c>
      <c r="AA1310" s="372">
        <v>2238.9269208000001</v>
      </c>
      <c r="AB1310" s="372">
        <v>1985.7733493999999</v>
      </c>
      <c r="AC1310" s="372">
        <v>2157.1438721</v>
      </c>
      <c r="AD1310" s="372">
        <v>1868.1445873</v>
      </c>
      <c r="AE1310" s="372">
        <v>2374.33</v>
      </c>
      <c r="AF1310" s="372">
        <v>3066.33</v>
      </c>
      <c r="AG1310" s="372">
        <v>3555.5</v>
      </c>
      <c r="AH1310" s="372">
        <v>0</v>
      </c>
    </row>
    <row r="1311" spans="1:34">
      <c r="A1311" s="372" t="s">
        <v>8934</v>
      </c>
      <c r="B1311" s="373" t="s">
        <v>8935</v>
      </c>
      <c r="C1311" s="372" t="s">
        <v>8936</v>
      </c>
      <c r="D1311" s="374">
        <v>1201110095499</v>
      </c>
      <c r="E1311" s="372" t="s">
        <v>8937</v>
      </c>
      <c r="F1311" s="372" t="s">
        <v>3758</v>
      </c>
      <c r="G1311" s="375" t="s">
        <v>3758</v>
      </c>
      <c r="H1311" s="375" t="s">
        <v>832</v>
      </c>
      <c r="I1311" s="375" t="s">
        <v>755</v>
      </c>
      <c r="J1311" s="375">
        <v>145840.12398</v>
      </c>
      <c r="K1311" s="375">
        <v>6620.5364499999996</v>
      </c>
      <c r="L1311" s="375">
        <v>7501.1558800000003</v>
      </c>
      <c r="M1311" s="375">
        <v>152690.72761999999</v>
      </c>
      <c r="N1311" s="372">
        <v>1.109</v>
      </c>
      <c r="O1311" s="703">
        <v>19.740060201500732</v>
      </c>
      <c r="P1311" s="375" t="s">
        <v>623</v>
      </c>
      <c r="Q1311" s="372" t="s">
        <v>623</v>
      </c>
      <c r="R1311" s="695">
        <v>20171031</v>
      </c>
      <c r="S1311" s="375" t="s">
        <v>8938</v>
      </c>
      <c r="T1311" s="696">
        <v>0.20900000000000002</v>
      </c>
      <c r="U1311" s="372" t="s">
        <v>8939</v>
      </c>
      <c r="V1311" s="722">
        <v>10.34</v>
      </c>
      <c r="W1311" s="722">
        <v>0.9</v>
      </c>
      <c r="X1311" s="722">
        <v>0.94</v>
      </c>
      <c r="Y1311" s="722">
        <v>16.89</v>
      </c>
      <c r="Z1311" s="382" t="s">
        <v>934</v>
      </c>
      <c r="AA1311" s="372">
        <v>1187.7257454999999</v>
      </c>
      <c r="AB1311" s="372">
        <v>1549.2298034</v>
      </c>
      <c r="AC1311" s="372">
        <v>1822.6102008</v>
      </c>
      <c r="AD1311" s="372">
        <v>1458.4012398</v>
      </c>
      <c r="AE1311" s="372">
        <v>2445</v>
      </c>
      <c r="AF1311" s="372">
        <v>0</v>
      </c>
      <c r="AG1311" s="372">
        <v>0</v>
      </c>
      <c r="AH1311" s="372">
        <v>0</v>
      </c>
    </row>
    <row r="1312" spans="1:34">
      <c r="A1312" s="372" t="s">
        <v>8940</v>
      </c>
      <c r="B1312" s="373" t="s">
        <v>8941</v>
      </c>
      <c r="C1312" s="372" t="s">
        <v>8942</v>
      </c>
      <c r="D1312" s="374">
        <v>1345110257251</v>
      </c>
      <c r="E1312" s="372" t="s">
        <v>8943</v>
      </c>
      <c r="F1312" s="375" t="s">
        <v>887</v>
      </c>
      <c r="G1312" s="375" t="s">
        <v>887</v>
      </c>
      <c r="H1312" s="375" t="s">
        <v>868</v>
      </c>
      <c r="I1312" s="375" t="s">
        <v>869</v>
      </c>
      <c r="J1312" s="375">
        <v>462150.81383</v>
      </c>
      <c r="K1312" s="375">
        <v>20470.002830000001</v>
      </c>
      <c r="L1312" s="375">
        <v>21309.151089999999</v>
      </c>
      <c r="M1312" s="375">
        <v>100891.68928999999</v>
      </c>
      <c r="N1312" s="372">
        <v>1.1259999999999999</v>
      </c>
      <c r="O1312" s="703">
        <v>78.261907947435802</v>
      </c>
      <c r="P1312" s="375" t="s">
        <v>623</v>
      </c>
      <c r="Q1312" s="375" t="s">
        <v>623</v>
      </c>
      <c r="R1312" s="695">
        <v>20150506</v>
      </c>
      <c r="S1312" s="375" t="s">
        <v>8944</v>
      </c>
      <c r="T1312" s="696">
        <v>0.23100000000000001</v>
      </c>
      <c r="U1312" s="372" t="s">
        <v>8945</v>
      </c>
      <c r="V1312" s="722">
        <v>6.99</v>
      </c>
      <c r="W1312" s="722">
        <v>1.31</v>
      </c>
      <c r="X1312" s="722">
        <v>0.28000000000000003</v>
      </c>
      <c r="Y1312" s="722">
        <v>7.26</v>
      </c>
      <c r="Z1312" s="382">
        <v>7.2295224930445601E-2</v>
      </c>
      <c r="AA1312" s="372">
        <v>2890.3393673</v>
      </c>
      <c r="AB1312" s="372">
        <v>2842.4905815000002</v>
      </c>
      <c r="AC1312" s="372">
        <v>3646.0194511999998</v>
      </c>
      <c r="AD1312" s="372">
        <v>4621.5081382999997</v>
      </c>
      <c r="AE1312" s="372">
        <v>4935</v>
      </c>
      <c r="AF1312" s="372">
        <v>5496</v>
      </c>
      <c r="AG1312" s="372">
        <v>6110</v>
      </c>
      <c r="AH1312" s="372">
        <v>0</v>
      </c>
    </row>
    <row r="1313" spans="1:34">
      <c r="A1313" s="372" t="s">
        <v>8946</v>
      </c>
      <c r="B1313" s="373" t="s">
        <v>8947</v>
      </c>
      <c r="C1313" s="372" t="s">
        <v>8948</v>
      </c>
      <c r="D1313" s="374">
        <v>1301110007533</v>
      </c>
      <c r="E1313" s="372" t="s">
        <v>8949</v>
      </c>
      <c r="F1313" s="372" t="s">
        <v>1881</v>
      </c>
      <c r="G1313" s="375" t="s">
        <v>1882</v>
      </c>
      <c r="H1313" s="375" t="s">
        <v>868</v>
      </c>
      <c r="I1313" s="375" t="s">
        <v>869</v>
      </c>
      <c r="J1313" s="375">
        <v>778642.59415000002</v>
      </c>
      <c r="K1313" s="375">
        <v>47307.118110000003</v>
      </c>
      <c r="L1313" s="375">
        <v>51258.380949999999</v>
      </c>
      <c r="M1313" s="375">
        <v>445755.75894000003</v>
      </c>
      <c r="N1313" s="372">
        <v>0.88900000000000001</v>
      </c>
      <c r="O1313" s="703">
        <v>16.506446191661958</v>
      </c>
      <c r="P1313" s="375" t="s">
        <v>623</v>
      </c>
      <c r="Q1313" s="372" t="s">
        <v>623</v>
      </c>
      <c r="R1313" s="695">
        <v>19930614</v>
      </c>
      <c r="S1313" s="372" t="s">
        <v>8950</v>
      </c>
      <c r="T1313" s="696">
        <v>0.23100000000000001</v>
      </c>
      <c r="U1313" s="372" t="s">
        <v>8951</v>
      </c>
      <c r="V1313" s="722">
        <v>1.76</v>
      </c>
      <c r="W1313" s="722">
        <v>0.26</v>
      </c>
      <c r="X1313" s="722">
        <v>0.15</v>
      </c>
      <c r="Y1313" s="722">
        <v>3.27</v>
      </c>
      <c r="Z1313" s="382" t="s">
        <v>934</v>
      </c>
      <c r="AA1313" s="372">
        <v>6426.3991690000003</v>
      </c>
      <c r="AB1313" s="372">
        <v>7626.3641882000002</v>
      </c>
      <c r="AC1313" s="372">
        <v>7370.4061334999997</v>
      </c>
      <c r="AD1313" s="372">
        <v>7786.4259414999997</v>
      </c>
      <c r="AE1313" s="372">
        <v>0</v>
      </c>
      <c r="AF1313" s="372">
        <v>0</v>
      </c>
      <c r="AG1313" s="372">
        <v>0</v>
      </c>
      <c r="AH1313" s="372">
        <v>0</v>
      </c>
    </row>
    <row r="1314" spans="1:34">
      <c r="A1314" s="372" t="s">
        <v>8952</v>
      </c>
      <c r="B1314" s="373" t="s">
        <v>8953</v>
      </c>
      <c r="C1314" s="372" t="s">
        <v>8954</v>
      </c>
      <c r="D1314" s="374">
        <v>1101110343957</v>
      </c>
      <c r="E1314" s="372" t="s">
        <v>8955</v>
      </c>
      <c r="F1314" s="375" t="s">
        <v>887</v>
      </c>
      <c r="G1314" s="375" t="s">
        <v>887</v>
      </c>
      <c r="H1314" s="375" t="s">
        <v>797</v>
      </c>
      <c r="I1314" s="375" t="s">
        <v>755</v>
      </c>
      <c r="J1314" s="375">
        <v>753135.64265000005</v>
      </c>
      <c r="K1314" s="375">
        <v>44088.244910000001</v>
      </c>
      <c r="L1314" s="375">
        <v>36366.623749999999</v>
      </c>
      <c r="M1314" s="375">
        <v>215587.69586000001</v>
      </c>
      <c r="N1314" s="372">
        <v>1.198</v>
      </c>
      <c r="O1314" s="703">
        <v>80.529584515677286</v>
      </c>
      <c r="P1314" s="375" t="s">
        <v>623</v>
      </c>
      <c r="Q1314" s="375" t="s">
        <v>623</v>
      </c>
      <c r="R1314" s="695">
        <v>20160729</v>
      </c>
      <c r="S1314" s="375" t="s">
        <v>8956</v>
      </c>
      <c r="T1314" s="696">
        <v>0.23100000000000001</v>
      </c>
      <c r="U1314" s="372" t="s">
        <v>8957</v>
      </c>
      <c r="V1314" s="722">
        <v>2.4</v>
      </c>
      <c r="W1314" s="722">
        <v>0.54</v>
      </c>
      <c r="X1314" s="722">
        <v>0.15</v>
      </c>
      <c r="Y1314" s="722">
        <v>5.6</v>
      </c>
      <c r="Z1314" s="382" t="s">
        <v>934</v>
      </c>
      <c r="AA1314" s="372">
        <v>4658.3555446999999</v>
      </c>
      <c r="AB1314" s="372">
        <v>4956.326462</v>
      </c>
      <c r="AC1314" s="372">
        <v>5659.9603804999997</v>
      </c>
      <c r="AD1314" s="372">
        <v>7531.3564265000005</v>
      </c>
      <c r="AE1314" s="372">
        <v>0</v>
      </c>
      <c r="AF1314" s="372">
        <v>0</v>
      </c>
      <c r="AG1314" s="372">
        <v>0</v>
      </c>
      <c r="AH1314" s="372">
        <v>0</v>
      </c>
    </row>
    <row r="1315" spans="1:34">
      <c r="A1315" s="372" t="s">
        <v>8958</v>
      </c>
      <c r="B1315" s="373" t="s">
        <v>8959</v>
      </c>
      <c r="C1315" s="372" t="s">
        <v>8960</v>
      </c>
      <c r="D1315" s="374">
        <v>1201110081951</v>
      </c>
      <c r="E1315" s="372" t="s">
        <v>8961</v>
      </c>
      <c r="F1315" s="375" t="s">
        <v>1761</v>
      </c>
      <c r="G1315" s="375" t="s">
        <v>1761</v>
      </c>
      <c r="H1315" s="375" t="s">
        <v>3127</v>
      </c>
      <c r="I1315" s="375" t="s">
        <v>869</v>
      </c>
      <c r="J1315" s="375">
        <v>500586.46506999998</v>
      </c>
      <c r="K1315" s="375">
        <v>6862.4060399999998</v>
      </c>
      <c r="L1315" s="375">
        <v>-14420.631219999999</v>
      </c>
      <c r="M1315" s="375">
        <v>82727.358510000005</v>
      </c>
      <c r="N1315" s="372">
        <v>1.165</v>
      </c>
      <c r="O1315" s="703">
        <v>112.81274461271799</v>
      </c>
      <c r="P1315" s="375" t="s">
        <v>623</v>
      </c>
      <c r="Q1315" s="375" t="s">
        <v>623</v>
      </c>
      <c r="R1315" s="695">
        <v>20010515</v>
      </c>
      <c r="S1315" s="375" t="s">
        <v>8962</v>
      </c>
      <c r="T1315" s="696" t="s">
        <v>772</v>
      </c>
      <c r="U1315" s="372" t="s">
        <v>8963</v>
      </c>
      <c r="V1315" s="722">
        <v>6.55</v>
      </c>
      <c r="W1315" s="722">
        <v>1.28</v>
      </c>
      <c r="X1315" s="722">
        <v>0.21</v>
      </c>
      <c r="Y1315" s="722" t="s">
        <v>774</v>
      </c>
      <c r="Z1315" s="382" t="s">
        <v>934</v>
      </c>
      <c r="AA1315" s="372">
        <v>8668.9523035000002</v>
      </c>
      <c r="AB1315" s="372">
        <v>5262.1574504</v>
      </c>
      <c r="AC1315" s="372">
        <v>7216.7670030999998</v>
      </c>
      <c r="AD1315" s="372">
        <v>5005.8646507000003</v>
      </c>
      <c r="AE1315" s="372">
        <v>0</v>
      </c>
      <c r="AF1315" s="372">
        <v>0</v>
      </c>
      <c r="AG1315" s="372">
        <v>0</v>
      </c>
      <c r="AH1315" s="372">
        <v>0</v>
      </c>
    </row>
    <row r="1316" spans="1:34">
      <c r="A1316" s="372" t="s">
        <v>8964</v>
      </c>
      <c r="B1316" s="373" t="s">
        <v>8965</v>
      </c>
      <c r="C1316" s="372" t="s">
        <v>8966</v>
      </c>
      <c r="D1316" s="374">
        <v>1601110065824</v>
      </c>
      <c r="E1316" s="372" t="s">
        <v>8967</v>
      </c>
      <c r="F1316" s="372" t="s">
        <v>3978</v>
      </c>
      <c r="G1316" s="375" t="s">
        <v>3978</v>
      </c>
      <c r="H1316" s="375" t="s">
        <v>1348</v>
      </c>
      <c r="I1316" s="375" t="s">
        <v>869</v>
      </c>
      <c r="J1316" s="375">
        <v>748555.97715000005</v>
      </c>
      <c r="K1316" s="375">
        <v>44718.268400000001</v>
      </c>
      <c r="L1316" s="375">
        <v>56951.016190000002</v>
      </c>
      <c r="M1316" s="375">
        <v>832464.39254999999</v>
      </c>
      <c r="N1316" s="372">
        <v>0.53900000000000003</v>
      </c>
      <c r="O1316" s="703">
        <v>245.43944825408036</v>
      </c>
      <c r="P1316" s="375" t="s">
        <v>623</v>
      </c>
      <c r="Q1316" s="372" t="s">
        <v>623</v>
      </c>
      <c r="R1316" s="695">
        <v>20010925</v>
      </c>
      <c r="S1316" s="372" t="s">
        <v>1998</v>
      </c>
      <c r="T1316" s="696">
        <v>0.23100000000000001</v>
      </c>
      <c r="U1316" s="372" t="s">
        <v>8968</v>
      </c>
      <c r="V1316" s="722">
        <v>9.84</v>
      </c>
      <c r="W1316" s="722">
        <v>0.39</v>
      </c>
      <c r="X1316" s="722">
        <v>0.16</v>
      </c>
      <c r="Y1316" s="722">
        <v>5.59</v>
      </c>
      <c r="Z1316" s="382" t="s">
        <v>934</v>
      </c>
      <c r="AA1316" s="372">
        <v>4321.7600984000001</v>
      </c>
      <c r="AB1316" s="372">
        <v>5443.8677582</v>
      </c>
      <c r="AC1316" s="372">
        <v>8740.5127057999998</v>
      </c>
      <c r="AD1316" s="372">
        <v>7485.5597715000004</v>
      </c>
      <c r="AE1316" s="372">
        <v>0</v>
      </c>
      <c r="AF1316" s="372">
        <v>0</v>
      </c>
      <c r="AG1316" s="372">
        <v>0</v>
      </c>
      <c r="AH1316" s="372">
        <v>0</v>
      </c>
    </row>
    <row r="1317" spans="1:34">
      <c r="A1317" s="372" t="s">
        <v>8969</v>
      </c>
      <c r="B1317" s="373" t="s">
        <v>8970</v>
      </c>
      <c r="C1317" s="372" t="s">
        <v>16170</v>
      </c>
      <c r="D1317" s="374">
        <v>1101111591034</v>
      </c>
      <c r="E1317" s="372" t="s">
        <v>16171</v>
      </c>
      <c r="F1317" s="375" t="s">
        <v>8971</v>
      </c>
      <c r="G1317" s="375" t="s">
        <v>8971</v>
      </c>
      <c r="H1317" s="375" t="s">
        <v>868</v>
      </c>
      <c r="I1317" s="375" t="s">
        <v>869</v>
      </c>
      <c r="J1317" s="375">
        <v>166706.28341999999</v>
      </c>
      <c r="K1317" s="375">
        <v>4137.6987499999996</v>
      </c>
      <c r="L1317" s="375">
        <v>4503.6098400000001</v>
      </c>
      <c r="M1317" s="375">
        <v>114224.68252</v>
      </c>
      <c r="N1317" s="372">
        <v>1.359</v>
      </c>
      <c r="O1317" s="703">
        <v>74.381036576003808</v>
      </c>
      <c r="P1317" s="375" t="s">
        <v>623</v>
      </c>
      <c r="Q1317" s="375" t="s">
        <v>623</v>
      </c>
      <c r="R1317" s="695">
        <v>20110131</v>
      </c>
      <c r="S1317" s="375" t="s">
        <v>8972</v>
      </c>
      <c r="T1317" s="696">
        <v>0.20900000000000002</v>
      </c>
      <c r="U1317" s="372" t="s">
        <v>8973</v>
      </c>
      <c r="V1317" s="722">
        <v>0</v>
      </c>
      <c r="W1317" s="722">
        <v>1.08</v>
      </c>
      <c r="X1317" s="722">
        <v>0</v>
      </c>
      <c r="Y1317" s="722">
        <v>0</v>
      </c>
      <c r="Z1317" s="382" t="s">
        <v>934</v>
      </c>
      <c r="AA1317" s="372">
        <v>1918.6047331</v>
      </c>
      <c r="AB1317" s="372">
        <v>1312.5848741</v>
      </c>
      <c r="AC1317" s="372">
        <v>1971.0416766000001</v>
      </c>
      <c r="AD1317" s="372">
        <v>1667.0628342</v>
      </c>
      <c r="AE1317" s="372">
        <v>0</v>
      </c>
      <c r="AF1317" s="372">
        <v>0</v>
      </c>
      <c r="AG1317" s="372">
        <v>0</v>
      </c>
      <c r="AH1317" s="372">
        <v>0</v>
      </c>
    </row>
    <row r="1318" spans="1:34">
      <c r="A1318" s="372" t="s">
        <v>8974</v>
      </c>
      <c r="B1318" s="373" t="s">
        <v>8975</v>
      </c>
      <c r="C1318" s="372" t="s">
        <v>8976</v>
      </c>
      <c r="D1318" s="374">
        <v>1746110005478</v>
      </c>
      <c r="E1318" s="372" t="s">
        <v>8977</v>
      </c>
      <c r="F1318" s="375" t="s">
        <v>2771</v>
      </c>
      <c r="G1318" s="375" t="s">
        <v>2772</v>
      </c>
      <c r="H1318" s="375" t="s">
        <v>817</v>
      </c>
      <c r="I1318" s="375" t="s">
        <v>755</v>
      </c>
      <c r="J1318" s="375">
        <v>1029295.89611</v>
      </c>
      <c r="K1318" s="375">
        <v>9048.8444500000005</v>
      </c>
      <c r="L1318" s="375">
        <v>-3221.9821999999999</v>
      </c>
      <c r="M1318" s="375">
        <v>337529.37599999999</v>
      </c>
      <c r="N1318" s="372">
        <v>1.034</v>
      </c>
      <c r="O1318" s="703">
        <v>186.14415704602288</v>
      </c>
      <c r="P1318" s="375" t="s">
        <v>623</v>
      </c>
      <c r="Q1318" s="375" t="s">
        <v>623</v>
      </c>
      <c r="R1318" s="695">
        <v>20110601</v>
      </c>
      <c r="S1318" s="375" t="s">
        <v>8978</v>
      </c>
      <c r="T1318" s="696" t="s">
        <v>772</v>
      </c>
      <c r="U1318" s="372" t="s">
        <v>8979</v>
      </c>
      <c r="V1318" s="722">
        <v>10.29</v>
      </c>
      <c r="W1318" s="722">
        <v>0.36</v>
      </c>
      <c r="X1318" s="722">
        <v>0.12</v>
      </c>
      <c r="Y1318" s="722" t="s">
        <v>774</v>
      </c>
      <c r="Z1318" s="382" t="s">
        <v>934</v>
      </c>
      <c r="AA1318" s="372">
        <v>6550.1740613000002</v>
      </c>
      <c r="AB1318" s="372">
        <v>8957.9755396</v>
      </c>
      <c r="AC1318" s="372">
        <v>10743.550517899999</v>
      </c>
      <c r="AD1318" s="372">
        <v>10292.958961099999</v>
      </c>
      <c r="AE1318" s="372">
        <v>0</v>
      </c>
      <c r="AF1318" s="372">
        <v>0</v>
      </c>
      <c r="AG1318" s="372">
        <v>0</v>
      </c>
      <c r="AH1318" s="372">
        <v>0</v>
      </c>
    </row>
    <row r="1319" spans="1:34">
      <c r="A1319" s="372" t="s">
        <v>8980</v>
      </c>
      <c r="B1319" s="373" t="s">
        <v>8981</v>
      </c>
      <c r="C1319" s="372" t="s">
        <v>8982</v>
      </c>
      <c r="D1319" s="374">
        <v>1101113922550</v>
      </c>
      <c r="E1319" s="372" t="s">
        <v>8983</v>
      </c>
      <c r="F1319" s="375" t="s">
        <v>5655</v>
      </c>
      <c r="G1319" s="375" t="s">
        <v>5655</v>
      </c>
      <c r="H1319" s="375" t="s">
        <v>1547</v>
      </c>
      <c r="I1319" s="375" t="s">
        <v>869</v>
      </c>
      <c r="J1319" s="375">
        <v>129147.73718</v>
      </c>
      <c r="K1319" s="375">
        <v>-5582.6307999999999</v>
      </c>
      <c r="L1319" s="375">
        <v>-13526.10637</v>
      </c>
      <c r="M1319" s="375">
        <v>145143.93145</v>
      </c>
      <c r="N1319" s="372">
        <v>1.321</v>
      </c>
      <c r="O1319" s="703">
        <v>133.72400711574352</v>
      </c>
      <c r="P1319" s="375" t="s">
        <v>623</v>
      </c>
      <c r="Q1319" s="375" t="s">
        <v>623</v>
      </c>
      <c r="R1319" s="695">
        <v>20141223</v>
      </c>
      <c r="S1319" s="375" t="s">
        <v>8984</v>
      </c>
      <c r="T1319" s="696" t="s">
        <v>772</v>
      </c>
      <c r="U1319" s="372" t="s">
        <v>8985</v>
      </c>
      <c r="V1319" s="722" t="s">
        <v>774</v>
      </c>
      <c r="W1319" s="722">
        <v>1.17</v>
      </c>
      <c r="X1319" s="722">
        <v>0.99</v>
      </c>
      <c r="Y1319" s="722" t="s">
        <v>774</v>
      </c>
      <c r="Z1319" s="382" t="s">
        <v>934</v>
      </c>
      <c r="AA1319" s="372">
        <v>1207.0344608</v>
      </c>
      <c r="AB1319" s="372">
        <v>1415.2755675999999</v>
      </c>
      <c r="AC1319" s="372">
        <v>1556.1711014</v>
      </c>
      <c r="AD1319" s="372">
        <v>1291.4773717999999</v>
      </c>
      <c r="AE1319" s="372">
        <v>2200</v>
      </c>
      <c r="AF1319" s="372">
        <v>0</v>
      </c>
      <c r="AG1319" s="372">
        <v>0</v>
      </c>
      <c r="AH1319" s="372">
        <v>0</v>
      </c>
    </row>
    <row r="1320" spans="1:34">
      <c r="A1320" s="372" t="s">
        <v>8986</v>
      </c>
      <c r="B1320" s="373" t="s">
        <v>8987</v>
      </c>
      <c r="C1320" s="372" t="s">
        <v>8988</v>
      </c>
      <c r="D1320" s="374">
        <v>1101110003428</v>
      </c>
      <c r="E1320" s="372" t="s">
        <v>8989</v>
      </c>
      <c r="F1320" s="375" t="s">
        <v>2063</v>
      </c>
      <c r="G1320" s="375" t="s">
        <v>7220</v>
      </c>
      <c r="H1320" s="375" t="s">
        <v>3127</v>
      </c>
      <c r="I1320" s="375" t="s">
        <v>869</v>
      </c>
      <c r="J1320" s="375">
        <v>55473.865400000002</v>
      </c>
      <c r="K1320" s="375">
        <v>-739.27662999999995</v>
      </c>
      <c r="L1320" s="375">
        <v>-346.78388000000001</v>
      </c>
      <c r="M1320" s="375">
        <v>57029.289519999998</v>
      </c>
      <c r="N1320" s="372">
        <v>1.008</v>
      </c>
      <c r="O1320" s="703">
        <v>1.4999633337861138</v>
      </c>
      <c r="P1320" s="375" t="s">
        <v>623</v>
      </c>
      <c r="Q1320" s="372" t="s">
        <v>623</v>
      </c>
      <c r="R1320" s="695">
        <v>19930317</v>
      </c>
      <c r="S1320" s="372" t="s">
        <v>8990</v>
      </c>
      <c r="T1320" s="696" t="s">
        <v>772</v>
      </c>
      <c r="U1320" s="372" t="s">
        <v>8991</v>
      </c>
      <c r="V1320" s="722">
        <v>136.34</v>
      </c>
      <c r="W1320" s="722">
        <v>1.65</v>
      </c>
      <c r="X1320" s="722">
        <v>1.98</v>
      </c>
      <c r="Y1320" s="722" t="s">
        <v>774</v>
      </c>
      <c r="Z1320" s="382" t="s">
        <v>934</v>
      </c>
      <c r="AA1320" s="372">
        <v>535.64699259999998</v>
      </c>
      <c r="AB1320" s="372">
        <v>607.12577710000005</v>
      </c>
      <c r="AC1320" s="372">
        <v>716.20870960000002</v>
      </c>
      <c r="AD1320" s="372">
        <v>554.738654</v>
      </c>
      <c r="AE1320" s="372">
        <v>0</v>
      </c>
      <c r="AF1320" s="372">
        <v>0</v>
      </c>
      <c r="AG1320" s="372">
        <v>0</v>
      </c>
      <c r="AH1320" s="372">
        <v>0</v>
      </c>
    </row>
    <row r="1321" spans="1:34">
      <c r="A1321" s="372" t="s">
        <v>8992</v>
      </c>
      <c r="B1321" s="373" t="s">
        <v>8993</v>
      </c>
      <c r="C1321" s="372" t="s">
        <v>8994</v>
      </c>
      <c r="D1321" s="374">
        <v>1201110799950</v>
      </c>
      <c r="E1321" s="372" t="s">
        <v>8995</v>
      </c>
      <c r="F1321" s="375" t="s">
        <v>1187</v>
      </c>
      <c r="G1321" s="375" t="s">
        <v>8996</v>
      </c>
      <c r="H1321" s="375" t="s">
        <v>1388</v>
      </c>
      <c r="I1321" s="375" t="s">
        <v>869</v>
      </c>
      <c r="J1321" s="375">
        <v>85256.116999999998</v>
      </c>
      <c r="K1321" s="375">
        <v>2597.0664900000002</v>
      </c>
      <c r="L1321" s="375">
        <v>1907.5890199999999</v>
      </c>
      <c r="M1321" s="375">
        <v>59261.386910000001</v>
      </c>
      <c r="N1321" s="372">
        <v>1.347</v>
      </c>
      <c r="O1321" s="703">
        <v>20.555998898677622</v>
      </c>
      <c r="P1321" s="375" t="s">
        <v>623</v>
      </c>
      <c r="Q1321" s="375" t="s">
        <v>623</v>
      </c>
      <c r="R1321" s="695">
        <v>20200918</v>
      </c>
      <c r="S1321" s="375" t="s">
        <v>8997</v>
      </c>
      <c r="T1321" s="696">
        <v>0.20900000000000002</v>
      </c>
      <c r="U1321" s="375" t="s">
        <v>8998</v>
      </c>
      <c r="V1321" s="722">
        <v>10.57</v>
      </c>
      <c r="W1321" s="722">
        <v>1.45</v>
      </c>
      <c r="X1321" s="722">
        <v>1.03</v>
      </c>
      <c r="Y1321" s="722">
        <v>31.49</v>
      </c>
      <c r="Z1321" s="382" t="s">
        <v>934</v>
      </c>
      <c r="AA1321" s="372">
        <v>405.10330759999999</v>
      </c>
      <c r="AB1321" s="372">
        <v>671.13800409999999</v>
      </c>
      <c r="AC1321" s="372">
        <v>838.06870219999996</v>
      </c>
      <c r="AD1321" s="372">
        <v>852.56116999999995</v>
      </c>
      <c r="AE1321" s="372">
        <v>1070</v>
      </c>
      <c r="AF1321" s="372">
        <v>0</v>
      </c>
      <c r="AG1321" s="372">
        <v>0</v>
      </c>
      <c r="AH1321" s="372">
        <v>0</v>
      </c>
    </row>
    <row r="1322" spans="1:34">
      <c r="A1322" s="372" t="s">
        <v>8999</v>
      </c>
      <c r="B1322" s="373" t="s">
        <v>9000</v>
      </c>
      <c r="C1322" s="372" t="s">
        <v>9001</v>
      </c>
      <c r="D1322" s="374">
        <v>1101117474424</v>
      </c>
      <c r="E1322" s="372" t="s">
        <v>9002</v>
      </c>
      <c r="F1322" s="375" t="s">
        <v>5353</v>
      </c>
      <c r="G1322" s="375" t="s">
        <v>9003</v>
      </c>
      <c r="H1322" s="375" t="s">
        <v>868</v>
      </c>
      <c r="I1322" s="375" t="s">
        <v>869</v>
      </c>
      <c r="J1322" s="375">
        <v>165385.09088999999</v>
      </c>
      <c r="K1322" s="375">
        <v>20631.21631</v>
      </c>
      <c r="L1322" s="375">
        <v>20065.598959999999</v>
      </c>
      <c r="M1322" s="375">
        <v>66172.834440000006</v>
      </c>
      <c r="N1322" s="372">
        <v>1.1000000000000001</v>
      </c>
      <c r="O1322" s="703">
        <v>58.00768205898548</v>
      </c>
      <c r="P1322" s="375" t="s">
        <v>623</v>
      </c>
      <c r="Q1322" s="372" t="s">
        <v>623</v>
      </c>
      <c r="R1322" s="695">
        <v>20200605</v>
      </c>
      <c r="S1322" s="372" t="s">
        <v>9004</v>
      </c>
      <c r="T1322" s="696">
        <v>0.23100000000000001</v>
      </c>
      <c r="U1322" s="372" t="s">
        <v>6725</v>
      </c>
      <c r="V1322" s="722">
        <v>5.73</v>
      </c>
      <c r="W1322" s="722">
        <v>1.97</v>
      </c>
      <c r="X1322" s="722">
        <v>0.75</v>
      </c>
      <c r="Y1322" s="722">
        <v>7.96</v>
      </c>
      <c r="Z1322" s="382" t="s">
        <v>934</v>
      </c>
      <c r="AA1322" s="372">
        <v>881.2327401</v>
      </c>
      <c r="AB1322" s="372">
        <v>1294.5780500000001</v>
      </c>
      <c r="AC1322" s="372">
        <v>1555.5710042999999</v>
      </c>
      <c r="AD1322" s="372">
        <v>1653.8509088999999</v>
      </c>
      <c r="AE1322" s="372">
        <v>4172</v>
      </c>
      <c r="AF1322" s="372">
        <v>0</v>
      </c>
      <c r="AG1322" s="372">
        <v>0</v>
      </c>
      <c r="AH1322" s="372">
        <v>0</v>
      </c>
    </row>
    <row r="1323" spans="1:34">
      <c r="A1323" s="372" t="s">
        <v>9005</v>
      </c>
      <c r="B1323" s="373" t="s">
        <v>9006</v>
      </c>
      <c r="C1323" s="372" t="s">
        <v>9007</v>
      </c>
      <c r="D1323" s="374">
        <v>1311110478436</v>
      </c>
      <c r="E1323" s="372" t="s">
        <v>9008</v>
      </c>
      <c r="F1323" s="375" t="s">
        <v>1285</v>
      </c>
      <c r="G1323" s="375" t="s">
        <v>1285</v>
      </c>
      <c r="H1323" s="375" t="s">
        <v>868</v>
      </c>
      <c r="I1323" s="375" t="s">
        <v>869</v>
      </c>
      <c r="J1323" s="375">
        <v>11908.78023</v>
      </c>
      <c r="K1323" s="375">
        <v>-4183.7502800000002</v>
      </c>
      <c r="L1323" s="375">
        <v>-5494.0811800000001</v>
      </c>
      <c r="M1323" s="375">
        <v>56379.133580000002</v>
      </c>
      <c r="N1323" s="372">
        <v>1.2370000000000001</v>
      </c>
      <c r="O1323" s="703">
        <v>1.0754181691963689</v>
      </c>
      <c r="P1323" s="375" t="s">
        <v>623</v>
      </c>
      <c r="Q1323" s="372" t="s">
        <v>623</v>
      </c>
      <c r="R1323" s="695">
        <v>20190801</v>
      </c>
      <c r="S1323" s="375" t="s">
        <v>9009</v>
      </c>
      <c r="T1323" s="696" t="s">
        <v>772</v>
      </c>
      <c r="U1323" s="375" t="s">
        <v>16054</v>
      </c>
      <c r="V1323" s="722" t="s">
        <v>774</v>
      </c>
      <c r="W1323" s="722">
        <v>2.46</v>
      </c>
      <c r="X1323" s="722">
        <v>10.88</v>
      </c>
      <c r="Y1323" s="722" t="s">
        <v>774</v>
      </c>
      <c r="Z1323" s="382" t="s">
        <v>934</v>
      </c>
      <c r="AA1323" s="372">
        <v>83.815425200000007</v>
      </c>
      <c r="AB1323" s="372">
        <v>145.18263630000001</v>
      </c>
      <c r="AC1323" s="372">
        <v>150.77690229999999</v>
      </c>
      <c r="AD1323" s="372">
        <v>119.08780230000001</v>
      </c>
      <c r="AE1323" s="372">
        <v>0</v>
      </c>
      <c r="AF1323" s="372">
        <v>0</v>
      </c>
      <c r="AG1323" s="372">
        <v>0</v>
      </c>
      <c r="AH1323" s="372">
        <v>0</v>
      </c>
    </row>
    <row r="1324" spans="1:34">
      <c r="A1324" s="372" t="s">
        <v>9010</v>
      </c>
      <c r="B1324" s="373" t="s">
        <v>9011</v>
      </c>
      <c r="C1324" s="372" t="s">
        <v>9012</v>
      </c>
      <c r="D1324" s="374">
        <v>1101111785710</v>
      </c>
      <c r="E1324" s="372" t="s">
        <v>9013</v>
      </c>
      <c r="F1324" s="375" t="s">
        <v>2535</v>
      </c>
      <c r="G1324" s="375" t="s">
        <v>2535</v>
      </c>
      <c r="H1324" s="375" t="s">
        <v>868</v>
      </c>
      <c r="I1324" s="375" t="s">
        <v>869</v>
      </c>
      <c r="J1324" s="375">
        <v>0</v>
      </c>
      <c r="K1324" s="375">
        <v>0</v>
      </c>
      <c r="L1324" s="375">
        <v>0</v>
      </c>
      <c r="M1324" s="375">
        <v>81865.476360000001</v>
      </c>
      <c r="N1324" s="372" t="s">
        <v>1033</v>
      </c>
      <c r="O1324" s="703">
        <v>9.4522648789378003</v>
      </c>
      <c r="P1324" s="375" t="s">
        <v>623</v>
      </c>
      <c r="Q1324" s="375" t="s">
        <v>623</v>
      </c>
      <c r="R1324" s="695">
        <v>20231120</v>
      </c>
      <c r="S1324" s="372" t="s">
        <v>9014</v>
      </c>
      <c r="T1324" s="696" t="s">
        <v>772</v>
      </c>
      <c r="U1324" s="372" t="s">
        <v>9015</v>
      </c>
      <c r="V1324" s="722">
        <v>0</v>
      </c>
      <c r="W1324" s="722">
        <v>1.61</v>
      </c>
      <c r="X1324" s="722">
        <v>0</v>
      </c>
      <c r="Y1324" s="722">
        <v>0</v>
      </c>
      <c r="Z1324" s="382" t="s">
        <v>934</v>
      </c>
      <c r="AA1324" s="372">
        <v>399.99220380000003</v>
      </c>
      <c r="AB1324" s="372">
        <v>479.83837110000002</v>
      </c>
      <c r="AC1324" s="372">
        <v>510.30670720000001</v>
      </c>
      <c r="AD1324" s="372">
        <v>551.61763210000004</v>
      </c>
      <c r="AE1324" s="372">
        <v>0</v>
      </c>
      <c r="AF1324" s="372">
        <v>0</v>
      </c>
      <c r="AG1324" s="372">
        <v>0</v>
      </c>
      <c r="AH1324" s="372">
        <v>0</v>
      </c>
    </row>
    <row r="1325" spans="1:34">
      <c r="A1325" s="372" t="s">
        <v>9016</v>
      </c>
      <c r="B1325" s="373" t="s">
        <v>9017</v>
      </c>
      <c r="C1325" s="372" t="s">
        <v>9018</v>
      </c>
      <c r="D1325" s="374">
        <v>1101112929276</v>
      </c>
      <c r="E1325" s="372" t="s">
        <v>9019</v>
      </c>
      <c r="F1325" s="375" t="s">
        <v>5655</v>
      </c>
      <c r="G1325" s="375" t="s">
        <v>5655</v>
      </c>
      <c r="H1325" s="375" t="s">
        <v>1547</v>
      </c>
      <c r="I1325" s="375" t="s">
        <v>869</v>
      </c>
      <c r="J1325" s="375">
        <v>56875.968180000003</v>
      </c>
      <c r="K1325" s="375">
        <v>6945.0164299999997</v>
      </c>
      <c r="L1325" s="375">
        <v>3764.8848400000002</v>
      </c>
      <c r="M1325" s="375">
        <v>62404.561580000001</v>
      </c>
      <c r="N1325" s="372">
        <v>0.84599999999999997</v>
      </c>
      <c r="O1325" s="703">
        <v>13.464974829166506</v>
      </c>
      <c r="P1325" s="375" t="s">
        <v>623</v>
      </c>
      <c r="Q1325" s="372" t="s">
        <v>623</v>
      </c>
      <c r="R1325" s="695">
        <v>20190719</v>
      </c>
      <c r="S1325" s="372" t="s">
        <v>9020</v>
      </c>
      <c r="T1325" s="696">
        <v>0.20900000000000002</v>
      </c>
      <c r="U1325" s="372" t="s">
        <v>9021</v>
      </c>
      <c r="V1325" s="722">
        <v>16.850000000000001</v>
      </c>
      <c r="W1325" s="722">
        <v>1.84</v>
      </c>
      <c r="X1325" s="722">
        <v>2.27</v>
      </c>
      <c r="Y1325" s="722">
        <v>26.32</v>
      </c>
      <c r="Z1325" s="382" t="s">
        <v>934</v>
      </c>
      <c r="AA1325" s="372">
        <v>220.9588838</v>
      </c>
      <c r="AB1325" s="372">
        <v>588.60400079999999</v>
      </c>
      <c r="AC1325" s="372">
        <v>716.80277460000002</v>
      </c>
      <c r="AD1325" s="372">
        <v>568.75968179999995</v>
      </c>
      <c r="AE1325" s="372">
        <v>839</v>
      </c>
      <c r="AF1325" s="372">
        <v>0</v>
      </c>
      <c r="AG1325" s="372">
        <v>0</v>
      </c>
      <c r="AH1325" s="372">
        <v>0</v>
      </c>
    </row>
    <row r="1326" spans="1:34">
      <c r="A1326" s="372" t="s">
        <v>9022</v>
      </c>
      <c r="B1326" s="373" t="s">
        <v>9023</v>
      </c>
      <c r="C1326" s="372" t="s">
        <v>9024</v>
      </c>
      <c r="D1326" s="374">
        <v>1201110216699</v>
      </c>
      <c r="E1326" s="372" t="s">
        <v>9025</v>
      </c>
      <c r="F1326" s="375" t="s">
        <v>1300</v>
      </c>
      <c r="G1326" s="375" t="s">
        <v>1300</v>
      </c>
      <c r="H1326" s="375" t="s">
        <v>1388</v>
      </c>
      <c r="I1326" s="375" t="s">
        <v>869</v>
      </c>
      <c r="J1326" s="375">
        <v>34544.095889999997</v>
      </c>
      <c r="K1326" s="375">
        <v>1981.8644899999999</v>
      </c>
      <c r="L1326" s="375">
        <v>2156.2199700000001</v>
      </c>
      <c r="M1326" s="375">
        <v>28181.97363</v>
      </c>
      <c r="N1326" s="372">
        <v>1.353</v>
      </c>
      <c r="O1326" s="703">
        <v>8.3278227688248894</v>
      </c>
      <c r="P1326" s="375" t="s">
        <v>623</v>
      </c>
      <c r="Q1326" s="372" t="s">
        <v>623</v>
      </c>
      <c r="R1326" s="695">
        <v>20151215</v>
      </c>
      <c r="S1326" s="372" t="s">
        <v>9026</v>
      </c>
      <c r="T1326" s="696">
        <v>0.20900000000000002</v>
      </c>
      <c r="U1326" s="372" t="s">
        <v>9027</v>
      </c>
      <c r="V1326" s="722">
        <v>0</v>
      </c>
      <c r="W1326" s="722">
        <v>3.87</v>
      </c>
      <c r="X1326" s="722">
        <v>0</v>
      </c>
      <c r="Y1326" s="722">
        <v>0</v>
      </c>
      <c r="Z1326" s="382" t="s">
        <v>934</v>
      </c>
      <c r="AA1326" s="372">
        <v>183.99628060000001</v>
      </c>
      <c r="AB1326" s="372">
        <v>368.58184799999998</v>
      </c>
      <c r="AC1326" s="372">
        <v>594.31713079999997</v>
      </c>
      <c r="AD1326" s="372">
        <v>345.4409589</v>
      </c>
      <c r="AE1326" s="372">
        <v>0</v>
      </c>
      <c r="AF1326" s="372">
        <v>0</v>
      </c>
      <c r="AG1326" s="372">
        <v>0</v>
      </c>
      <c r="AH1326" s="372">
        <v>0</v>
      </c>
    </row>
    <row r="1327" spans="1:34">
      <c r="A1327" s="372" t="s">
        <v>9028</v>
      </c>
      <c r="B1327" s="373" t="s">
        <v>9029</v>
      </c>
      <c r="C1327" s="372" t="s">
        <v>9030</v>
      </c>
      <c r="D1327" s="374">
        <v>1601110312126</v>
      </c>
      <c r="E1327" s="372" t="s">
        <v>9031</v>
      </c>
      <c r="F1327" s="372" t="s">
        <v>1062</v>
      </c>
      <c r="G1327" s="375" t="s">
        <v>1062</v>
      </c>
      <c r="H1327" s="375" t="s">
        <v>868</v>
      </c>
      <c r="I1327" s="375" t="s">
        <v>869</v>
      </c>
      <c r="J1327" s="375">
        <v>7132.3055400000003</v>
      </c>
      <c r="K1327" s="375">
        <v>-22758.094880000001</v>
      </c>
      <c r="L1327" s="375">
        <v>-18721.921160000002</v>
      </c>
      <c r="M1327" s="375">
        <v>112454.85489</v>
      </c>
      <c r="N1327" s="372">
        <v>1.0229999999999999</v>
      </c>
      <c r="O1327" s="703">
        <v>18.356415316123293</v>
      </c>
      <c r="P1327" s="375" t="s">
        <v>623</v>
      </c>
      <c r="Q1327" s="375" t="s">
        <v>623</v>
      </c>
      <c r="R1327" s="695">
        <v>20161111</v>
      </c>
      <c r="S1327" s="375" t="s">
        <v>9032</v>
      </c>
      <c r="T1327" s="696" t="s">
        <v>772</v>
      </c>
      <c r="U1327" s="372" t="s">
        <v>9033</v>
      </c>
      <c r="V1327" s="722" t="s">
        <v>774</v>
      </c>
      <c r="W1327" s="722">
        <v>1.04</v>
      </c>
      <c r="X1327" s="722">
        <v>18.079999999999998</v>
      </c>
      <c r="Y1327" s="722" t="s">
        <v>774</v>
      </c>
      <c r="Z1327" s="382" t="s">
        <v>934</v>
      </c>
      <c r="AA1327" s="372">
        <v>413.518483</v>
      </c>
      <c r="AB1327" s="372">
        <v>772.01041450000002</v>
      </c>
      <c r="AC1327" s="372">
        <v>1013.9925583</v>
      </c>
      <c r="AD1327" s="372">
        <v>71.323055400000001</v>
      </c>
      <c r="AE1327" s="372">
        <v>0</v>
      </c>
      <c r="AF1327" s="372">
        <v>0</v>
      </c>
      <c r="AG1327" s="372">
        <v>0</v>
      </c>
      <c r="AH1327" s="372">
        <v>0</v>
      </c>
    </row>
    <row r="1328" spans="1:34">
      <c r="A1328" s="372" t="s">
        <v>9034</v>
      </c>
      <c r="B1328" s="373" t="s">
        <v>9035</v>
      </c>
      <c r="C1328" s="372" t="s">
        <v>9036</v>
      </c>
      <c r="D1328" s="374">
        <v>1101115518084</v>
      </c>
      <c r="E1328" s="372" t="s">
        <v>9037</v>
      </c>
      <c r="F1328" s="375" t="s">
        <v>8672</v>
      </c>
      <c r="G1328" s="375" t="s">
        <v>8672</v>
      </c>
      <c r="H1328" s="375" t="s">
        <v>4894</v>
      </c>
      <c r="I1328" s="375" t="s">
        <v>869</v>
      </c>
      <c r="J1328" s="375">
        <v>9916.8446000000004</v>
      </c>
      <c r="K1328" s="375">
        <v>-7013.1949500000001</v>
      </c>
      <c r="L1328" s="375">
        <v>-9259.5833000000002</v>
      </c>
      <c r="M1328" s="375">
        <v>80187.917119999998</v>
      </c>
      <c r="N1328" s="372">
        <v>0.81100000000000005</v>
      </c>
      <c r="O1328" s="703">
        <v>25.25898633295413</v>
      </c>
      <c r="P1328" s="375" t="s">
        <v>623</v>
      </c>
      <c r="Q1328" s="372" t="s">
        <v>623</v>
      </c>
      <c r="R1328" s="695">
        <v>20141210</v>
      </c>
      <c r="S1328" s="372" t="s">
        <v>9038</v>
      </c>
      <c r="T1328" s="696" t="s">
        <v>772</v>
      </c>
      <c r="U1328" s="372" t="s">
        <v>16055</v>
      </c>
      <c r="V1328" s="722" t="s">
        <v>774</v>
      </c>
      <c r="W1328" s="722">
        <v>1.29</v>
      </c>
      <c r="X1328" s="722">
        <v>10.4</v>
      </c>
      <c r="Y1328" s="722" t="s">
        <v>774</v>
      </c>
      <c r="Z1328" s="382" t="s">
        <v>934</v>
      </c>
      <c r="AA1328" s="372">
        <v>94.033558400000004</v>
      </c>
      <c r="AB1328" s="372">
        <v>210.8018874</v>
      </c>
      <c r="AC1328" s="372">
        <v>217.9686652</v>
      </c>
      <c r="AD1328" s="372">
        <v>99.168446000000003</v>
      </c>
      <c r="AE1328" s="372">
        <v>0</v>
      </c>
      <c r="AF1328" s="372">
        <v>0</v>
      </c>
      <c r="AG1328" s="372">
        <v>0</v>
      </c>
      <c r="AH1328" s="372">
        <v>0</v>
      </c>
    </row>
    <row r="1329" spans="1:34">
      <c r="A1329" s="372" t="s">
        <v>9039</v>
      </c>
      <c r="B1329" s="373" t="s">
        <v>9040</v>
      </c>
      <c r="C1329" s="372" t="s">
        <v>9041</v>
      </c>
      <c r="D1329" s="374">
        <v>1701110002171</v>
      </c>
      <c r="E1329" s="372" t="s">
        <v>9042</v>
      </c>
      <c r="F1329" s="372" t="s">
        <v>816</v>
      </c>
      <c r="G1329" s="375" t="s">
        <v>5434</v>
      </c>
      <c r="H1329" s="375" t="s">
        <v>817</v>
      </c>
      <c r="I1329" s="375" t="s">
        <v>755</v>
      </c>
      <c r="J1329" s="375">
        <v>441161.26115999999</v>
      </c>
      <c r="K1329" s="375">
        <v>-4238.6277099999998</v>
      </c>
      <c r="L1329" s="375">
        <v>253.79308</v>
      </c>
      <c r="M1329" s="375">
        <v>410077.12686000002</v>
      </c>
      <c r="N1329" s="372">
        <v>0.72799999999999998</v>
      </c>
      <c r="O1329" s="703">
        <v>16.12257916527907</v>
      </c>
      <c r="P1329" s="375" t="s">
        <v>623</v>
      </c>
      <c r="Q1329" s="372" t="s">
        <v>623</v>
      </c>
      <c r="R1329" s="695">
        <v>20050630</v>
      </c>
      <c r="S1329" s="372" t="s">
        <v>9043</v>
      </c>
      <c r="T1329" s="696">
        <v>0.20900000000000002</v>
      </c>
      <c r="U1329" s="372" t="s">
        <v>9044</v>
      </c>
      <c r="V1329" s="722">
        <v>14.12</v>
      </c>
      <c r="W1329" s="722">
        <v>0.27</v>
      </c>
      <c r="X1329" s="722">
        <v>0.26</v>
      </c>
      <c r="Y1329" s="722" t="s">
        <v>774</v>
      </c>
      <c r="Z1329" s="382" t="s">
        <v>934</v>
      </c>
      <c r="AA1329" s="372">
        <v>3332.8330725000001</v>
      </c>
      <c r="AB1329" s="372">
        <v>4644.1915781999996</v>
      </c>
      <c r="AC1329" s="372">
        <v>4980.5051499000001</v>
      </c>
      <c r="AD1329" s="372">
        <v>4411.6126115999996</v>
      </c>
      <c r="AE1329" s="372">
        <v>0</v>
      </c>
      <c r="AF1329" s="372">
        <v>0</v>
      </c>
      <c r="AG1329" s="372">
        <v>0</v>
      </c>
      <c r="AH1329" s="372">
        <v>0</v>
      </c>
    </row>
    <row r="1330" spans="1:34">
      <c r="A1330" s="372" t="s">
        <v>9045</v>
      </c>
      <c r="B1330" s="373" t="s">
        <v>9046</v>
      </c>
      <c r="C1330" s="372" t="s">
        <v>9047</v>
      </c>
      <c r="D1330" s="374">
        <v>1158110006449</v>
      </c>
      <c r="E1330" s="372" t="s">
        <v>9048</v>
      </c>
      <c r="F1330" s="375" t="s">
        <v>4918</v>
      </c>
      <c r="G1330" s="375" t="s">
        <v>4918</v>
      </c>
      <c r="H1330" s="375" t="s">
        <v>868</v>
      </c>
      <c r="I1330" s="375" t="s">
        <v>869</v>
      </c>
      <c r="J1330" s="375">
        <v>502361.13734999998</v>
      </c>
      <c r="K1330" s="375">
        <v>16166.026739999999</v>
      </c>
      <c r="L1330" s="375">
        <v>14770.1726</v>
      </c>
      <c r="M1330" s="375">
        <v>123265.08713</v>
      </c>
      <c r="N1330" s="372">
        <v>0.94899999999999995</v>
      </c>
      <c r="O1330" s="703">
        <v>80.133428660830958</v>
      </c>
      <c r="P1330" s="375" t="s">
        <v>623</v>
      </c>
      <c r="Q1330" s="375" t="s">
        <v>623</v>
      </c>
      <c r="R1330" s="695">
        <v>20010807</v>
      </c>
      <c r="S1330" s="375" t="s">
        <v>9049</v>
      </c>
      <c r="T1330" s="696">
        <v>0.20900000000000002</v>
      </c>
      <c r="U1330" s="372" t="s">
        <v>9050</v>
      </c>
      <c r="V1330" s="722">
        <v>3.91</v>
      </c>
      <c r="W1330" s="722">
        <v>0.82</v>
      </c>
      <c r="X1330" s="722">
        <v>0.21</v>
      </c>
      <c r="Y1330" s="722">
        <v>9.1199999999999992</v>
      </c>
      <c r="Z1330" s="382">
        <v>7.592504769665509E-2</v>
      </c>
      <c r="AA1330" s="372">
        <v>3703.0730944000002</v>
      </c>
      <c r="AB1330" s="372">
        <v>4426.7214790999997</v>
      </c>
      <c r="AC1330" s="372">
        <v>4796.1617349999997</v>
      </c>
      <c r="AD1330" s="372">
        <v>5023.6113734999999</v>
      </c>
      <c r="AE1330" s="372">
        <v>5072</v>
      </c>
      <c r="AF1330" s="372">
        <v>5705.5</v>
      </c>
      <c r="AG1330" s="372">
        <v>6732</v>
      </c>
      <c r="AH1330" s="372">
        <v>0</v>
      </c>
    </row>
    <row r="1331" spans="1:34">
      <c r="A1331" s="372" t="s">
        <v>9051</v>
      </c>
      <c r="B1331" s="373" t="s">
        <v>9052</v>
      </c>
      <c r="C1331" s="372" t="s">
        <v>9053</v>
      </c>
      <c r="D1331" s="374">
        <v>1746110014924</v>
      </c>
      <c r="E1331" s="372" t="s">
        <v>9054</v>
      </c>
      <c r="F1331" s="375" t="s">
        <v>1881</v>
      </c>
      <c r="G1331" s="375" t="s">
        <v>1882</v>
      </c>
      <c r="H1331" s="375" t="s">
        <v>797</v>
      </c>
      <c r="I1331" s="375" t="s">
        <v>755</v>
      </c>
      <c r="J1331" s="375">
        <v>359058.16992000001</v>
      </c>
      <c r="K1331" s="375">
        <v>16504.971399999999</v>
      </c>
      <c r="L1331" s="375">
        <v>21640.902269999999</v>
      </c>
      <c r="M1331" s="375">
        <v>242511.94226000001</v>
      </c>
      <c r="N1331" s="372">
        <v>0.91400000000000003</v>
      </c>
      <c r="O1331" s="703">
        <v>0</v>
      </c>
      <c r="P1331" s="375" t="s">
        <v>623</v>
      </c>
      <c r="Q1331" s="375" t="s">
        <v>623</v>
      </c>
      <c r="R1331" s="695">
        <v>20110722</v>
      </c>
      <c r="S1331" s="375" t="s">
        <v>9055</v>
      </c>
      <c r="T1331" s="696">
        <v>0.23100000000000001</v>
      </c>
      <c r="U1331" s="372" t="s">
        <v>9056</v>
      </c>
      <c r="V1331" s="722">
        <v>0</v>
      </c>
      <c r="W1331" s="722">
        <v>0.5</v>
      </c>
      <c r="X1331" s="722">
        <v>0</v>
      </c>
      <c r="Y1331" s="722">
        <v>0</v>
      </c>
      <c r="Z1331" s="382" t="s">
        <v>934</v>
      </c>
      <c r="AA1331" s="372">
        <v>2459.8927887</v>
      </c>
      <c r="AB1331" s="372">
        <v>2999.5254441000002</v>
      </c>
      <c r="AC1331" s="372">
        <v>3641.1108565</v>
      </c>
      <c r="AD1331" s="372">
        <v>3590.5816992</v>
      </c>
      <c r="AE1331" s="372">
        <v>0</v>
      </c>
      <c r="AF1331" s="372">
        <v>0</v>
      </c>
      <c r="AG1331" s="372">
        <v>0</v>
      </c>
      <c r="AH1331" s="372">
        <v>0</v>
      </c>
    </row>
    <row r="1332" spans="1:34">
      <c r="A1332" s="372" t="s">
        <v>9057</v>
      </c>
      <c r="B1332" s="373" t="s">
        <v>9058</v>
      </c>
      <c r="C1332" s="372" t="s">
        <v>9059</v>
      </c>
      <c r="D1332" s="374">
        <v>2301110274751</v>
      </c>
      <c r="E1332" s="372" t="s">
        <v>9060</v>
      </c>
      <c r="F1332" s="375" t="s">
        <v>1607</v>
      </c>
      <c r="G1332" s="375" t="s">
        <v>1607</v>
      </c>
      <c r="H1332" s="375" t="s">
        <v>953</v>
      </c>
      <c r="I1332" s="375" t="s">
        <v>755</v>
      </c>
      <c r="J1332" s="375">
        <v>1799453.79785</v>
      </c>
      <c r="K1332" s="375">
        <v>28284.88161</v>
      </c>
      <c r="L1332" s="375">
        <v>38672.86752</v>
      </c>
      <c r="M1332" s="375">
        <v>420797.88615999999</v>
      </c>
      <c r="N1332" s="372">
        <v>0.754</v>
      </c>
      <c r="O1332" s="703">
        <v>16.24954130479475</v>
      </c>
      <c r="P1332" s="375" t="s">
        <v>623</v>
      </c>
      <c r="Q1332" s="372" t="s">
        <v>623</v>
      </c>
      <c r="R1332" s="695">
        <v>20170512</v>
      </c>
      <c r="S1332" s="372" t="s">
        <v>9061</v>
      </c>
      <c r="T1332" s="696">
        <v>0.23100000000000001</v>
      </c>
      <c r="U1332" s="375" t="s">
        <v>9062</v>
      </c>
      <c r="V1332" s="722">
        <v>2.08</v>
      </c>
      <c r="W1332" s="722">
        <v>0.27</v>
      </c>
      <c r="X1332" s="722">
        <v>0.06</v>
      </c>
      <c r="Y1332" s="722">
        <v>3.75</v>
      </c>
      <c r="Z1332" s="382" t="s">
        <v>934</v>
      </c>
      <c r="AA1332" s="372">
        <v>10868.3062754</v>
      </c>
      <c r="AB1332" s="372">
        <v>14571.543283000001</v>
      </c>
      <c r="AC1332" s="372">
        <v>23049.450096500001</v>
      </c>
      <c r="AD1332" s="372">
        <v>17994.5379785</v>
      </c>
      <c r="AE1332" s="372">
        <v>0</v>
      </c>
      <c r="AF1332" s="372">
        <v>0</v>
      </c>
      <c r="AG1332" s="372">
        <v>0</v>
      </c>
      <c r="AH1332" s="372">
        <v>0</v>
      </c>
    </row>
    <row r="1333" spans="1:34">
      <c r="A1333" s="372" t="s">
        <v>9063</v>
      </c>
      <c r="B1333" s="373" t="s">
        <v>9064</v>
      </c>
      <c r="C1333" s="372" t="s">
        <v>9065</v>
      </c>
      <c r="D1333" s="374">
        <v>1101110070815</v>
      </c>
      <c r="E1333" s="372" t="s">
        <v>9066</v>
      </c>
      <c r="F1333" s="372" t="s">
        <v>770</v>
      </c>
      <c r="G1333" s="375" t="s">
        <v>770</v>
      </c>
      <c r="H1333" s="375" t="s">
        <v>1388</v>
      </c>
      <c r="I1333" s="375" t="s">
        <v>869</v>
      </c>
      <c r="J1333" s="375">
        <v>185484.5802</v>
      </c>
      <c r="K1333" s="375">
        <v>-14999.228859999999</v>
      </c>
      <c r="L1333" s="375">
        <v>-15410.526620000001</v>
      </c>
      <c r="M1333" s="375">
        <v>117935.34372</v>
      </c>
      <c r="N1333" s="372">
        <v>1.5329999999999999</v>
      </c>
      <c r="O1333" s="703">
        <v>8.7364907153903264</v>
      </c>
      <c r="P1333" s="375" t="s">
        <v>623</v>
      </c>
      <c r="Q1333" s="372" t="s">
        <v>623</v>
      </c>
      <c r="R1333" s="695">
        <v>20101126</v>
      </c>
      <c r="S1333" s="372" t="s">
        <v>9067</v>
      </c>
      <c r="T1333" s="696" t="s">
        <v>772</v>
      </c>
      <c r="U1333" s="372" t="s">
        <v>9068</v>
      </c>
      <c r="V1333" s="722" t="s">
        <v>774</v>
      </c>
      <c r="W1333" s="722">
        <v>0.9</v>
      </c>
      <c r="X1333" s="722">
        <v>0.56999999999999995</v>
      </c>
      <c r="Y1333" s="722" t="s">
        <v>774</v>
      </c>
      <c r="Z1333" s="382" t="s">
        <v>934</v>
      </c>
      <c r="AA1333" s="372">
        <v>2015.4456061999999</v>
      </c>
      <c r="AB1333" s="372">
        <v>2698.8076593999999</v>
      </c>
      <c r="AC1333" s="372">
        <v>2876.0004558000001</v>
      </c>
      <c r="AD1333" s="372">
        <v>1854.845802</v>
      </c>
      <c r="AE1333" s="372">
        <v>0</v>
      </c>
      <c r="AF1333" s="372">
        <v>0</v>
      </c>
      <c r="AG1333" s="372">
        <v>0</v>
      </c>
      <c r="AH1333" s="372">
        <v>0</v>
      </c>
    </row>
    <row r="1334" spans="1:34">
      <c r="A1334" s="372" t="s">
        <v>9069</v>
      </c>
      <c r="B1334" s="373" t="s">
        <v>9070</v>
      </c>
      <c r="C1334" s="372" t="s">
        <v>9071</v>
      </c>
      <c r="D1334" s="374">
        <v>1115110004162</v>
      </c>
      <c r="E1334" s="372" t="s">
        <v>9072</v>
      </c>
      <c r="F1334" s="375" t="s">
        <v>1286</v>
      </c>
      <c r="G1334" s="375" t="s">
        <v>1465</v>
      </c>
      <c r="H1334" s="375" t="s">
        <v>754</v>
      </c>
      <c r="I1334" s="375" t="s">
        <v>755</v>
      </c>
      <c r="J1334" s="375">
        <v>140239.66454999999</v>
      </c>
      <c r="K1334" s="375">
        <v>-11144.25727</v>
      </c>
      <c r="L1334" s="375">
        <v>-76922.95117</v>
      </c>
      <c r="M1334" s="375">
        <v>463038.41628</v>
      </c>
      <c r="N1334" s="372">
        <v>1.0349999999999999</v>
      </c>
      <c r="O1334" s="703">
        <v>221.21146905895662</v>
      </c>
      <c r="P1334" s="375" t="s">
        <v>16142</v>
      </c>
      <c r="Q1334" s="372" t="s">
        <v>16145</v>
      </c>
      <c r="R1334" s="695">
        <v>19970930</v>
      </c>
      <c r="S1334" s="372" t="s">
        <v>9073</v>
      </c>
      <c r="T1334" s="696" t="s">
        <v>772</v>
      </c>
      <c r="U1334" s="372" t="s">
        <v>9074</v>
      </c>
      <c r="V1334" s="722">
        <v>539.4</v>
      </c>
      <c r="W1334" s="722">
        <v>0.24</v>
      </c>
      <c r="X1334" s="722">
        <v>0.71</v>
      </c>
      <c r="Y1334" s="722" t="s">
        <v>774</v>
      </c>
      <c r="Z1334" s="382" t="s">
        <v>934</v>
      </c>
      <c r="AA1334" s="372">
        <v>1188.1550073000001</v>
      </c>
      <c r="AB1334" s="372">
        <v>1201.9217791999999</v>
      </c>
      <c r="AC1334" s="372">
        <v>1638.3097313000001</v>
      </c>
      <c r="AD1334" s="372">
        <v>1402.3966455</v>
      </c>
      <c r="AE1334" s="372">
        <v>0</v>
      </c>
      <c r="AF1334" s="372">
        <v>0</v>
      </c>
      <c r="AG1334" s="372">
        <v>0</v>
      </c>
      <c r="AH1334" s="372">
        <v>0</v>
      </c>
    </row>
    <row r="1335" spans="1:34">
      <c r="A1335" s="372" t="s">
        <v>9075</v>
      </c>
      <c r="B1335" s="373" t="s">
        <v>9076</v>
      </c>
      <c r="C1335" s="372" t="s">
        <v>9077</v>
      </c>
      <c r="D1335" s="374">
        <v>1101110124521</v>
      </c>
      <c r="E1335" s="372" t="s">
        <v>9078</v>
      </c>
      <c r="F1335" s="375" t="s">
        <v>9079</v>
      </c>
      <c r="G1335" s="375" t="s">
        <v>9079</v>
      </c>
      <c r="H1335" s="375" t="s">
        <v>916</v>
      </c>
      <c r="I1335" s="375" t="s">
        <v>755</v>
      </c>
      <c r="J1335" s="375">
        <v>767794.64012999996</v>
      </c>
      <c r="K1335" s="375">
        <v>35189.702669999999</v>
      </c>
      <c r="L1335" s="375">
        <v>15605.94226</v>
      </c>
      <c r="M1335" s="375">
        <v>144098.26084999999</v>
      </c>
      <c r="N1335" s="372">
        <v>0.88400000000000001</v>
      </c>
      <c r="O1335" s="703">
        <v>260.82330258381478</v>
      </c>
      <c r="P1335" s="375" t="s">
        <v>623</v>
      </c>
      <c r="Q1335" s="375" t="s">
        <v>623</v>
      </c>
      <c r="R1335" s="695">
        <v>19880810</v>
      </c>
      <c r="S1335" s="375" t="s">
        <v>9080</v>
      </c>
      <c r="T1335" s="696">
        <v>0.20900000000000002</v>
      </c>
      <c r="U1335" s="375" t="s">
        <v>9081</v>
      </c>
      <c r="V1335" s="722">
        <v>4.6100000000000003</v>
      </c>
      <c r="W1335" s="722">
        <v>0.69</v>
      </c>
      <c r="X1335" s="722">
        <v>0.13</v>
      </c>
      <c r="Y1335" s="722">
        <v>6.67</v>
      </c>
      <c r="Z1335" s="382" t="s">
        <v>934</v>
      </c>
      <c r="AA1335" s="372">
        <v>5920.5448514999998</v>
      </c>
      <c r="AB1335" s="372">
        <v>5959.4733415000001</v>
      </c>
      <c r="AC1335" s="372">
        <v>7585.3328184000002</v>
      </c>
      <c r="AD1335" s="372">
        <v>7677.9464012999997</v>
      </c>
      <c r="AE1335" s="372">
        <v>0</v>
      </c>
      <c r="AF1335" s="372">
        <v>0</v>
      </c>
      <c r="AG1335" s="372">
        <v>0</v>
      </c>
      <c r="AH1335" s="372">
        <v>0</v>
      </c>
    </row>
    <row r="1336" spans="1:34">
      <c r="A1336" s="372" t="s">
        <v>9082</v>
      </c>
      <c r="B1336" s="373" t="s">
        <v>9083</v>
      </c>
      <c r="C1336" s="372" t="s">
        <v>9084</v>
      </c>
      <c r="D1336" s="374">
        <v>1845110001252</v>
      </c>
      <c r="E1336" s="372" t="s">
        <v>9085</v>
      </c>
      <c r="F1336" s="375" t="s">
        <v>1881</v>
      </c>
      <c r="G1336" s="375" t="s">
        <v>3905</v>
      </c>
      <c r="H1336" s="375" t="s">
        <v>797</v>
      </c>
      <c r="I1336" s="375" t="s">
        <v>755</v>
      </c>
      <c r="J1336" s="375">
        <v>1634051.5141100001</v>
      </c>
      <c r="K1336" s="375">
        <v>78207.488150000005</v>
      </c>
      <c r="L1336" s="375">
        <v>50180.008459999997</v>
      </c>
      <c r="M1336" s="375">
        <v>270513.26393999998</v>
      </c>
      <c r="N1336" s="372">
        <v>0.80700000000000005</v>
      </c>
      <c r="O1336" s="703">
        <v>693.19700152626183</v>
      </c>
      <c r="P1336" s="375" t="s">
        <v>623</v>
      </c>
      <c r="Q1336" s="372" t="s">
        <v>623</v>
      </c>
      <c r="R1336" s="695">
        <v>19910222</v>
      </c>
      <c r="S1336" s="372" t="s">
        <v>9086</v>
      </c>
      <c r="T1336" s="696">
        <v>0.23100000000000001</v>
      </c>
      <c r="U1336" s="372" t="s">
        <v>16056</v>
      </c>
      <c r="V1336" s="722">
        <v>5.31</v>
      </c>
      <c r="W1336" s="722">
        <v>0.63</v>
      </c>
      <c r="X1336" s="722">
        <v>0.06</v>
      </c>
      <c r="Y1336" s="722">
        <v>29.3</v>
      </c>
      <c r="Z1336" s="382" t="s">
        <v>934</v>
      </c>
      <c r="AA1336" s="372">
        <v>13133.2739962</v>
      </c>
      <c r="AB1336" s="372">
        <v>13998.210136399999</v>
      </c>
      <c r="AC1336" s="372">
        <v>15853.759177800001</v>
      </c>
      <c r="AD1336" s="372">
        <v>16340.515141100001</v>
      </c>
      <c r="AE1336" s="372">
        <v>0</v>
      </c>
      <c r="AF1336" s="372">
        <v>0</v>
      </c>
      <c r="AG1336" s="372">
        <v>0</v>
      </c>
      <c r="AH1336" s="372">
        <v>0</v>
      </c>
    </row>
    <row r="1337" spans="1:34">
      <c r="A1337" s="372" t="s">
        <v>9088</v>
      </c>
      <c r="B1337" s="373" t="s">
        <v>9089</v>
      </c>
      <c r="C1337" s="372" t="s">
        <v>9090</v>
      </c>
      <c r="D1337" s="374">
        <v>1311110409481</v>
      </c>
      <c r="E1337" s="372" t="s">
        <v>9091</v>
      </c>
      <c r="F1337" s="375" t="s">
        <v>3708</v>
      </c>
      <c r="G1337" s="375" t="s">
        <v>3708</v>
      </c>
      <c r="H1337" s="375" t="s">
        <v>1348</v>
      </c>
      <c r="I1337" s="375" t="s">
        <v>869</v>
      </c>
      <c r="J1337" s="375">
        <v>658.15168000000006</v>
      </c>
      <c r="K1337" s="375">
        <v>-15961.00454</v>
      </c>
      <c r="L1337" s="375">
        <v>-26994.16776</v>
      </c>
      <c r="M1337" s="375">
        <v>4410.6274899999999</v>
      </c>
      <c r="N1337" s="372" t="s">
        <v>1033</v>
      </c>
      <c r="O1337" s="703">
        <v>18.247466552199199</v>
      </c>
      <c r="P1337" s="375" t="s">
        <v>623</v>
      </c>
      <c r="Q1337" s="375" t="s">
        <v>623</v>
      </c>
      <c r="R1337" s="695">
        <v>20221122</v>
      </c>
      <c r="S1337" s="375" t="s">
        <v>9092</v>
      </c>
      <c r="T1337" s="696" t="s">
        <v>772</v>
      </c>
      <c r="U1337" s="372" t="s">
        <v>9093</v>
      </c>
      <c r="V1337" s="722">
        <v>0</v>
      </c>
      <c r="W1337" s="722">
        <v>34.67</v>
      </c>
      <c r="X1337" s="722">
        <v>0</v>
      </c>
      <c r="Y1337" s="722">
        <v>0</v>
      </c>
      <c r="Z1337" s="382" t="s">
        <v>934</v>
      </c>
      <c r="AA1337" s="372">
        <v>5.3173700000000004</v>
      </c>
      <c r="AB1337" s="372">
        <v>18.617553900000001</v>
      </c>
      <c r="AC1337" s="372">
        <v>37.236829999999998</v>
      </c>
      <c r="AD1337" s="372">
        <v>6.5815168000000002</v>
      </c>
      <c r="AE1337" s="372">
        <v>0</v>
      </c>
      <c r="AF1337" s="372">
        <v>0</v>
      </c>
      <c r="AG1337" s="372">
        <v>0</v>
      </c>
      <c r="AH1337" s="372">
        <v>0</v>
      </c>
    </row>
    <row r="1338" spans="1:34">
      <c r="A1338" s="372" t="s">
        <v>9094</v>
      </c>
      <c r="B1338" s="373" t="s">
        <v>9095</v>
      </c>
      <c r="C1338" s="372" t="s">
        <v>9096</v>
      </c>
      <c r="D1338" s="374">
        <v>1101116558469</v>
      </c>
      <c r="E1338" s="372" t="s">
        <v>9097</v>
      </c>
      <c r="F1338" s="375" t="s">
        <v>3708</v>
      </c>
      <c r="G1338" s="375" t="s">
        <v>3708</v>
      </c>
      <c r="H1338" s="375" t="s">
        <v>1348</v>
      </c>
      <c r="I1338" s="375" t="s">
        <v>869</v>
      </c>
      <c r="J1338" s="375">
        <v>267.31198000000001</v>
      </c>
      <c r="K1338" s="375">
        <v>-16811.61476</v>
      </c>
      <c r="L1338" s="375">
        <v>-15238.21283</v>
      </c>
      <c r="M1338" s="375">
        <v>15771.123390000001</v>
      </c>
      <c r="N1338" s="372">
        <v>1.29</v>
      </c>
      <c r="O1338" s="703">
        <v>3.5286318249757795</v>
      </c>
      <c r="P1338" s="375" t="s">
        <v>623</v>
      </c>
      <c r="Q1338" s="372" t="s">
        <v>623</v>
      </c>
      <c r="R1338" s="695">
        <v>20180608</v>
      </c>
      <c r="S1338" s="372" t="s">
        <v>9098</v>
      </c>
      <c r="T1338" s="696" t="s">
        <v>772</v>
      </c>
      <c r="U1338" s="372" t="s">
        <v>9099</v>
      </c>
      <c r="V1338" s="722" t="s">
        <v>774</v>
      </c>
      <c r="W1338" s="722">
        <v>10.220000000000001</v>
      </c>
      <c r="X1338" s="722">
        <v>451.25</v>
      </c>
      <c r="Y1338" s="722" t="s">
        <v>774</v>
      </c>
      <c r="Z1338" s="382" t="s">
        <v>934</v>
      </c>
      <c r="AA1338" s="372">
        <v>0</v>
      </c>
      <c r="AB1338" s="372">
        <v>16.624255000000002</v>
      </c>
      <c r="AC1338" s="372">
        <v>1.3002444</v>
      </c>
      <c r="AD1338" s="372">
        <v>2.6731197999999998</v>
      </c>
      <c r="AE1338" s="372">
        <v>17</v>
      </c>
      <c r="AF1338" s="372">
        <v>0</v>
      </c>
      <c r="AG1338" s="372">
        <v>0</v>
      </c>
      <c r="AH1338" s="372">
        <v>0</v>
      </c>
    </row>
    <row r="1339" spans="1:34">
      <c r="A1339" s="372" t="s">
        <v>9100</v>
      </c>
      <c r="B1339" s="373" t="s">
        <v>9101</v>
      </c>
      <c r="C1339" s="372" t="s">
        <v>9102</v>
      </c>
      <c r="D1339" s="374">
        <v>1348110110148</v>
      </c>
      <c r="E1339" s="372" t="s">
        <v>9103</v>
      </c>
      <c r="F1339" s="375" t="s">
        <v>1985</v>
      </c>
      <c r="G1339" s="375" t="s">
        <v>1985</v>
      </c>
      <c r="H1339" s="375" t="s">
        <v>1388</v>
      </c>
      <c r="I1339" s="375" t="s">
        <v>869</v>
      </c>
      <c r="J1339" s="375">
        <v>96146.067569999999</v>
      </c>
      <c r="K1339" s="375">
        <v>10829.54694</v>
      </c>
      <c r="L1339" s="375">
        <v>7543.5637500000003</v>
      </c>
      <c r="M1339" s="375">
        <v>68239.423559999996</v>
      </c>
      <c r="N1339" s="372" t="s">
        <v>1033</v>
      </c>
      <c r="O1339" s="703">
        <v>2.1682795410706937</v>
      </c>
      <c r="P1339" s="375" t="s">
        <v>623</v>
      </c>
      <c r="Q1339" s="372" t="s">
        <v>623</v>
      </c>
      <c r="R1339" s="695">
        <v>20230523</v>
      </c>
      <c r="S1339" s="375" t="s">
        <v>9104</v>
      </c>
      <c r="T1339" s="696">
        <v>0.20900000000000002</v>
      </c>
      <c r="U1339" s="375" t="s">
        <v>9105</v>
      </c>
      <c r="V1339" s="722">
        <v>9.2799999999999994</v>
      </c>
      <c r="W1339" s="722">
        <v>1.6</v>
      </c>
      <c r="X1339" s="722">
        <v>1.1399999999999999</v>
      </c>
      <c r="Y1339" s="722">
        <v>14.63</v>
      </c>
      <c r="Z1339" s="382" t="s">
        <v>934</v>
      </c>
      <c r="AA1339" s="372">
        <v>382.8773539</v>
      </c>
      <c r="AB1339" s="372">
        <v>564.19913369999995</v>
      </c>
      <c r="AC1339" s="372">
        <v>1018.5548811</v>
      </c>
      <c r="AD1339" s="372">
        <v>961.46067570000002</v>
      </c>
      <c r="AE1339" s="372">
        <v>1048</v>
      </c>
      <c r="AF1339" s="372">
        <v>0</v>
      </c>
      <c r="AG1339" s="372">
        <v>0</v>
      </c>
      <c r="AH1339" s="372">
        <v>0</v>
      </c>
    </row>
    <row r="1340" spans="1:34">
      <c r="A1340" s="372" t="s">
        <v>9106</v>
      </c>
      <c r="B1340" s="373" t="s">
        <v>9107</v>
      </c>
      <c r="C1340" s="372" t="s">
        <v>9108</v>
      </c>
      <c r="D1340" s="374">
        <v>1101117067972</v>
      </c>
      <c r="E1340" s="372" t="s">
        <v>9109</v>
      </c>
      <c r="F1340" s="375" t="s">
        <v>1985</v>
      </c>
      <c r="G1340" s="375" t="s">
        <v>1985</v>
      </c>
      <c r="H1340" s="375" t="s">
        <v>868</v>
      </c>
      <c r="I1340" s="375" t="s">
        <v>869</v>
      </c>
      <c r="J1340" s="375">
        <v>33338.955320000001</v>
      </c>
      <c r="K1340" s="375">
        <v>-685.70694000000003</v>
      </c>
      <c r="L1340" s="375">
        <v>-1210.1969799999999</v>
      </c>
      <c r="M1340" s="375">
        <v>30890.434689999998</v>
      </c>
      <c r="N1340" s="372">
        <v>1.1259999999999999</v>
      </c>
      <c r="O1340" s="703">
        <v>10.494601623981712</v>
      </c>
      <c r="P1340" s="375" t="s">
        <v>623</v>
      </c>
      <c r="Q1340" s="372" t="s">
        <v>623</v>
      </c>
      <c r="R1340" s="695">
        <v>20190624</v>
      </c>
      <c r="S1340" s="372" t="s">
        <v>9110</v>
      </c>
      <c r="T1340" s="696" t="s">
        <v>772</v>
      </c>
      <c r="U1340" s="375" t="s">
        <v>9111</v>
      </c>
      <c r="V1340" s="722">
        <v>288.64999999999998</v>
      </c>
      <c r="W1340" s="722">
        <v>3.09</v>
      </c>
      <c r="X1340" s="722">
        <v>2.96</v>
      </c>
      <c r="Y1340" s="722" t="s">
        <v>774</v>
      </c>
      <c r="Z1340" s="382" t="s">
        <v>934</v>
      </c>
      <c r="AA1340" s="372">
        <v>314.3450259</v>
      </c>
      <c r="AB1340" s="372">
        <v>439.40060310000001</v>
      </c>
      <c r="AC1340" s="372">
        <v>612.47953340000004</v>
      </c>
      <c r="AD1340" s="372">
        <v>333.38955320000002</v>
      </c>
      <c r="AE1340" s="372">
        <v>0</v>
      </c>
      <c r="AF1340" s="372">
        <v>0</v>
      </c>
      <c r="AG1340" s="372">
        <v>0</v>
      </c>
      <c r="AH1340" s="372">
        <v>0</v>
      </c>
    </row>
    <row r="1341" spans="1:34">
      <c r="A1341" s="372" t="s">
        <v>9112</v>
      </c>
      <c r="B1341" s="373" t="s">
        <v>9113</v>
      </c>
      <c r="C1341" s="372" t="s">
        <v>9114</v>
      </c>
      <c r="D1341" s="374">
        <v>1801110000339</v>
      </c>
      <c r="E1341" s="372" t="s">
        <v>9115</v>
      </c>
      <c r="F1341" s="375" t="s">
        <v>5935</v>
      </c>
      <c r="G1341" s="375" t="s">
        <v>5935</v>
      </c>
      <c r="H1341" s="375" t="s">
        <v>832</v>
      </c>
      <c r="I1341" s="375" t="s">
        <v>755</v>
      </c>
      <c r="J1341" s="375">
        <v>737777.76783000003</v>
      </c>
      <c r="K1341" s="375">
        <v>35845.945520000001</v>
      </c>
      <c r="L1341" s="375">
        <v>35309.386469999998</v>
      </c>
      <c r="M1341" s="375">
        <v>498109.85378</v>
      </c>
      <c r="N1341" s="372">
        <v>0.92200000000000004</v>
      </c>
      <c r="O1341" s="703">
        <v>259.75720424739654</v>
      </c>
      <c r="P1341" s="375" t="s">
        <v>623</v>
      </c>
      <c r="Q1341" s="372" t="s">
        <v>623</v>
      </c>
      <c r="R1341" s="695">
        <v>19760521</v>
      </c>
      <c r="S1341" s="372" t="s">
        <v>9116</v>
      </c>
      <c r="T1341" s="696">
        <v>0.23100000000000001</v>
      </c>
      <c r="U1341" s="372" t="s">
        <v>9117</v>
      </c>
      <c r="V1341" s="722">
        <v>5.31</v>
      </c>
      <c r="W1341" s="722">
        <v>0.31</v>
      </c>
      <c r="X1341" s="722">
        <v>0.16</v>
      </c>
      <c r="Y1341" s="722">
        <v>7.58</v>
      </c>
      <c r="Z1341" s="382" t="s">
        <v>934</v>
      </c>
      <c r="AA1341" s="372">
        <v>4966.3832909000002</v>
      </c>
      <c r="AB1341" s="372">
        <v>5513.3719997999997</v>
      </c>
      <c r="AC1341" s="372">
        <v>6618.1401647000002</v>
      </c>
      <c r="AD1341" s="372">
        <v>7377.7776782999999</v>
      </c>
      <c r="AE1341" s="372">
        <v>0</v>
      </c>
      <c r="AF1341" s="372">
        <v>0</v>
      </c>
      <c r="AG1341" s="372">
        <v>0</v>
      </c>
      <c r="AH1341" s="372">
        <v>0</v>
      </c>
    </row>
    <row r="1342" spans="1:34">
      <c r="A1342" s="372" t="s">
        <v>9118</v>
      </c>
      <c r="B1342" s="373" t="s">
        <v>9119</v>
      </c>
      <c r="C1342" s="372" t="s">
        <v>9120</v>
      </c>
      <c r="D1342" s="374">
        <v>1101113926875</v>
      </c>
      <c r="E1342" s="372" t="s">
        <v>9121</v>
      </c>
      <c r="F1342" s="375" t="s">
        <v>1124</v>
      </c>
      <c r="G1342" s="375" t="s">
        <v>1347</v>
      </c>
      <c r="H1342" s="375" t="s">
        <v>1348</v>
      </c>
      <c r="I1342" s="375" t="s">
        <v>869</v>
      </c>
      <c r="J1342" s="375">
        <v>9031.8070700000007</v>
      </c>
      <c r="K1342" s="375">
        <v>-23213.207539999999</v>
      </c>
      <c r="L1342" s="375">
        <v>-22248.992409999999</v>
      </c>
      <c r="M1342" s="375">
        <v>49892.45652</v>
      </c>
      <c r="N1342" s="372" t="s">
        <v>1033</v>
      </c>
      <c r="O1342" s="703">
        <v>0.2824906618871611</v>
      </c>
      <c r="P1342" s="375" t="s">
        <v>623</v>
      </c>
      <c r="Q1342" s="375" t="s">
        <v>623</v>
      </c>
      <c r="R1342" s="695">
        <v>20160229</v>
      </c>
      <c r="S1342" s="375" t="s">
        <v>9122</v>
      </c>
      <c r="T1342" s="696" t="s">
        <v>772</v>
      </c>
      <c r="U1342" s="372" t="s">
        <v>9123</v>
      </c>
      <c r="V1342" s="722" t="s">
        <v>774</v>
      </c>
      <c r="W1342" s="722">
        <v>2.82</v>
      </c>
      <c r="X1342" s="722">
        <v>11.16</v>
      </c>
      <c r="Y1342" s="722" t="s">
        <v>774</v>
      </c>
      <c r="Z1342" s="382" t="s">
        <v>934</v>
      </c>
      <c r="AA1342" s="372">
        <v>0</v>
      </c>
      <c r="AB1342" s="372">
        <v>48.859143000000003</v>
      </c>
      <c r="AC1342" s="372">
        <v>84.685528199999993</v>
      </c>
      <c r="AD1342" s="372">
        <v>90.318070700000007</v>
      </c>
      <c r="AE1342" s="372">
        <v>100</v>
      </c>
      <c r="AF1342" s="372">
        <v>110</v>
      </c>
      <c r="AG1342" s="372">
        <v>0</v>
      </c>
      <c r="AH1342" s="372">
        <v>0</v>
      </c>
    </row>
    <row r="1343" spans="1:34">
      <c r="A1343" s="372" t="s">
        <v>9124</v>
      </c>
      <c r="B1343" s="373" t="s">
        <v>9125</v>
      </c>
      <c r="C1343" s="372" t="s">
        <v>9126</v>
      </c>
      <c r="D1343" s="374">
        <v>1101113176925</v>
      </c>
      <c r="E1343" s="372" t="s">
        <v>9127</v>
      </c>
      <c r="F1343" s="375" t="s">
        <v>2450</v>
      </c>
      <c r="G1343" s="375" t="s">
        <v>6132</v>
      </c>
      <c r="H1343" s="375" t="s">
        <v>868</v>
      </c>
      <c r="I1343" s="375" t="s">
        <v>869</v>
      </c>
      <c r="J1343" s="375">
        <v>64914.985939999999</v>
      </c>
      <c r="K1343" s="375">
        <v>301.61122999999998</v>
      </c>
      <c r="L1343" s="375">
        <v>1619.1503499999999</v>
      </c>
      <c r="M1343" s="375">
        <v>61521.968150000001</v>
      </c>
      <c r="N1343" s="372" t="s">
        <v>1033</v>
      </c>
      <c r="O1343" s="703">
        <v>16.554315864690647</v>
      </c>
      <c r="P1343" s="375" t="s">
        <v>623</v>
      </c>
      <c r="Q1343" s="372" t="s">
        <v>623</v>
      </c>
      <c r="R1343" s="695">
        <v>20221007</v>
      </c>
      <c r="S1343" s="372" t="s">
        <v>9128</v>
      </c>
      <c r="T1343" s="696">
        <v>0.20900000000000002</v>
      </c>
      <c r="U1343" s="375" t="s">
        <v>9129</v>
      </c>
      <c r="V1343" s="722">
        <v>22.18</v>
      </c>
      <c r="W1343" s="722">
        <v>1.58</v>
      </c>
      <c r="X1343" s="722">
        <v>1.5</v>
      </c>
      <c r="Y1343" s="722">
        <v>91.25</v>
      </c>
      <c r="Z1343" s="382" t="s">
        <v>934</v>
      </c>
      <c r="AA1343" s="372">
        <v>556.09315800000002</v>
      </c>
      <c r="AB1343" s="372">
        <v>611.06297549999999</v>
      </c>
      <c r="AC1343" s="372">
        <v>699.7581265</v>
      </c>
      <c r="AD1343" s="372">
        <v>649.14985939999997</v>
      </c>
      <c r="AE1343" s="372">
        <v>0</v>
      </c>
      <c r="AF1343" s="372">
        <v>0</v>
      </c>
      <c r="AG1343" s="372">
        <v>0</v>
      </c>
      <c r="AH1343" s="372">
        <v>0</v>
      </c>
    </row>
    <row r="1344" spans="1:34">
      <c r="A1344" s="372" t="s">
        <v>9130</v>
      </c>
      <c r="B1344" s="373" t="s">
        <v>9131</v>
      </c>
      <c r="C1344" s="372" t="s">
        <v>9132</v>
      </c>
      <c r="D1344" s="374">
        <v>1911110000758</v>
      </c>
      <c r="E1344" s="372" t="s">
        <v>9133</v>
      </c>
      <c r="F1344" s="375" t="s">
        <v>1985</v>
      </c>
      <c r="G1344" s="375" t="s">
        <v>1985</v>
      </c>
      <c r="H1344" s="375" t="s">
        <v>868</v>
      </c>
      <c r="I1344" s="375" t="s">
        <v>869</v>
      </c>
      <c r="J1344" s="375">
        <v>281237.51104999997</v>
      </c>
      <c r="K1344" s="375">
        <v>8088.47001</v>
      </c>
      <c r="L1344" s="375">
        <v>2918.3106499999999</v>
      </c>
      <c r="M1344" s="375">
        <v>87057.306790000002</v>
      </c>
      <c r="N1344" s="372">
        <v>1.2649999999999999</v>
      </c>
      <c r="O1344" s="703">
        <v>83.00089878272486</v>
      </c>
      <c r="P1344" s="375" t="s">
        <v>623</v>
      </c>
      <c r="Q1344" s="372" t="s">
        <v>623</v>
      </c>
      <c r="R1344" s="695">
        <v>19910510</v>
      </c>
      <c r="S1344" s="372" t="s">
        <v>9134</v>
      </c>
      <c r="T1344" s="696">
        <v>0.20900000000000002</v>
      </c>
      <c r="U1344" s="372" t="s">
        <v>9135</v>
      </c>
      <c r="V1344" s="722">
        <v>0</v>
      </c>
      <c r="W1344" s="722">
        <v>1.17</v>
      </c>
      <c r="X1344" s="722">
        <v>0</v>
      </c>
      <c r="Y1344" s="722">
        <v>0</v>
      </c>
      <c r="Z1344" s="382" t="s">
        <v>934</v>
      </c>
      <c r="AA1344" s="372">
        <v>1564.0090359999999</v>
      </c>
      <c r="AB1344" s="372">
        <v>2029.1164206999999</v>
      </c>
      <c r="AC1344" s="372">
        <v>2420.9757178</v>
      </c>
      <c r="AD1344" s="372">
        <v>2812.3751105000001</v>
      </c>
      <c r="AE1344" s="372">
        <v>0</v>
      </c>
      <c r="AF1344" s="372">
        <v>0</v>
      </c>
      <c r="AG1344" s="372">
        <v>0</v>
      </c>
      <c r="AH1344" s="372">
        <v>0</v>
      </c>
    </row>
    <row r="1345" spans="1:34">
      <c r="A1345" s="372" t="s">
        <v>9136</v>
      </c>
      <c r="B1345" s="373" t="s">
        <v>9137</v>
      </c>
      <c r="C1345" s="372" t="s">
        <v>9138</v>
      </c>
      <c r="D1345" s="374">
        <v>1101111806409</v>
      </c>
      <c r="E1345" s="372" t="s">
        <v>9139</v>
      </c>
      <c r="F1345" s="375" t="s">
        <v>2126</v>
      </c>
      <c r="G1345" s="375" t="s">
        <v>2126</v>
      </c>
      <c r="H1345" s="375" t="s">
        <v>902</v>
      </c>
      <c r="I1345" s="375" t="s">
        <v>869</v>
      </c>
      <c r="J1345" s="375">
        <v>0</v>
      </c>
      <c r="K1345" s="375">
        <v>0</v>
      </c>
      <c r="L1345" s="375">
        <v>0</v>
      </c>
      <c r="M1345" s="375">
        <v>58439.464319999999</v>
      </c>
      <c r="N1345" s="372" t="s">
        <v>1033</v>
      </c>
      <c r="O1345" s="703">
        <v>0</v>
      </c>
      <c r="P1345" s="375" t="s">
        <v>623</v>
      </c>
      <c r="Q1345" s="375" t="s">
        <v>623</v>
      </c>
      <c r="R1345" s="695">
        <v>20240125</v>
      </c>
      <c r="S1345" s="375" t="s">
        <v>9140</v>
      </c>
      <c r="T1345" s="696" t="s">
        <v>772</v>
      </c>
      <c r="U1345" s="372" t="s">
        <v>9141</v>
      </c>
      <c r="V1345" s="722">
        <v>0</v>
      </c>
      <c r="W1345" s="722">
        <v>0</v>
      </c>
      <c r="X1345" s="722">
        <v>0</v>
      </c>
      <c r="Y1345" s="722">
        <v>0</v>
      </c>
      <c r="Z1345" s="382" t="s">
        <v>934</v>
      </c>
      <c r="AA1345" s="372">
        <v>107.5116783</v>
      </c>
      <c r="AB1345" s="372">
        <v>114.2766386</v>
      </c>
      <c r="AC1345" s="372">
        <v>159.28853530000001</v>
      </c>
      <c r="AD1345" s="372">
        <v>205.16634619999999</v>
      </c>
      <c r="AE1345" s="372">
        <v>0</v>
      </c>
      <c r="AF1345" s="372">
        <v>0</v>
      </c>
      <c r="AG1345" s="372">
        <v>0</v>
      </c>
      <c r="AH1345" s="372">
        <v>0</v>
      </c>
    </row>
    <row r="1346" spans="1:34">
      <c r="A1346" s="372" t="s">
        <v>9142</v>
      </c>
      <c r="B1346" s="373" t="s">
        <v>9143</v>
      </c>
      <c r="C1346" s="372" t="s">
        <v>9144</v>
      </c>
      <c r="D1346" s="374">
        <v>1101110597166</v>
      </c>
      <c r="E1346" s="372" t="s">
        <v>9145</v>
      </c>
      <c r="F1346" s="375" t="s">
        <v>1104</v>
      </c>
      <c r="G1346" s="375" t="s">
        <v>1105</v>
      </c>
      <c r="H1346" s="375" t="s">
        <v>868</v>
      </c>
      <c r="I1346" s="375" t="s">
        <v>869</v>
      </c>
      <c r="J1346" s="375">
        <v>86049.461420000007</v>
      </c>
      <c r="K1346" s="375">
        <v>935.68885999999998</v>
      </c>
      <c r="L1346" s="375">
        <v>2067.7747399999998</v>
      </c>
      <c r="M1346" s="375">
        <v>85804.319950000005</v>
      </c>
      <c r="N1346" s="372">
        <v>0.70699999999999996</v>
      </c>
      <c r="O1346" s="703">
        <v>9.5808455934390739</v>
      </c>
      <c r="P1346" s="375" t="s">
        <v>623</v>
      </c>
      <c r="Q1346" s="375" t="s">
        <v>623</v>
      </c>
      <c r="R1346" s="695">
        <v>19991208</v>
      </c>
      <c r="S1346" s="375" t="s">
        <v>2092</v>
      </c>
      <c r="T1346" s="696">
        <v>0.20900000000000002</v>
      </c>
      <c r="U1346" s="375" t="s">
        <v>9146</v>
      </c>
      <c r="V1346" s="722">
        <v>23.67</v>
      </c>
      <c r="W1346" s="722">
        <v>1.1000000000000001</v>
      </c>
      <c r="X1346" s="722">
        <v>1.33</v>
      </c>
      <c r="Y1346" s="722">
        <v>64.180000000000007</v>
      </c>
      <c r="Z1346" s="382" t="s">
        <v>934</v>
      </c>
      <c r="AA1346" s="372">
        <v>866.5843701</v>
      </c>
      <c r="AB1346" s="372">
        <v>870.5001499</v>
      </c>
      <c r="AC1346" s="372">
        <v>803.93939399999999</v>
      </c>
      <c r="AD1346" s="372">
        <v>860.4946142</v>
      </c>
      <c r="AE1346" s="372">
        <v>0</v>
      </c>
      <c r="AF1346" s="372">
        <v>0</v>
      </c>
      <c r="AG1346" s="372">
        <v>0</v>
      </c>
      <c r="AH1346" s="372">
        <v>0</v>
      </c>
    </row>
    <row r="1347" spans="1:34">
      <c r="A1347" s="372" t="s">
        <v>9147</v>
      </c>
      <c r="B1347" s="373" t="s">
        <v>9148</v>
      </c>
      <c r="C1347" s="372" t="s">
        <v>9149</v>
      </c>
      <c r="D1347" s="374">
        <v>1101113624007</v>
      </c>
      <c r="E1347" s="372" t="s">
        <v>9150</v>
      </c>
      <c r="F1347" s="375" t="s">
        <v>9151</v>
      </c>
      <c r="G1347" s="375" t="s">
        <v>9151</v>
      </c>
      <c r="H1347" s="375" t="s">
        <v>1348</v>
      </c>
      <c r="I1347" s="375" t="s">
        <v>869</v>
      </c>
      <c r="J1347" s="375">
        <v>68664.951960000006</v>
      </c>
      <c r="K1347" s="375">
        <v>6419.1336700000002</v>
      </c>
      <c r="L1347" s="375">
        <v>8916.4566400000003</v>
      </c>
      <c r="M1347" s="375">
        <v>84529.311740000005</v>
      </c>
      <c r="N1347" s="372">
        <v>0.874</v>
      </c>
      <c r="O1347" s="703">
        <v>1.5167251413361829</v>
      </c>
      <c r="P1347" s="375" t="s">
        <v>623</v>
      </c>
      <c r="Q1347" s="375" t="s">
        <v>623</v>
      </c>
      <c r="R1347" s="695">
        <v>20070430</v>
      </c>
      <c r="S1347" s="375" t="s">
        <v>9152</v>
      </c>
      <c r="T1347" s="696">
        <v>0.20900000000000002</v>
      </c>
      <c r="U1347" s="372" t="s">
        <v>9153</v>
      </c>
      <c r="V1347" s="722">
        <v>12.1</v>
      </c>
      <c r="W1347" s="722">
        <v>1.08</v>
      </c>
      <c r="X1347" s="722">
        <v>1.41</v>
      </c>
      <c r="Y1347" s="722">
        <v>13.46</v>
      </c>
      <c r="Z1347" s="382" t="s">
        <v>934</v>
      </c>
      <c r="AA1347" s="372">
        <v>126.4342152</v>
      </c>
      <c r="AB1347" s="372">
        <v>48.590737799999999</v>
      </c>
      <c r="AC1347" s="372">
        <v>136.36811560000001</v>
      </c>
      <c r="AD1347" s="372">
        <v>686.64951959999996</v>
      </c>
      <c r="AE1347" s="372">
        <v>0</v>
      </c>
      <c r="AF1347" s="372">
        <v>0</v>
      </c>
      <c r="AG1347" s="372">
        <v>0</v>
      </c>
      <c r="AH1347" s="372">
        <v>0</v>
      </c>
    </row>
    <row r="1348" spans="1:34">
      <c r="A1348" s="372" t="s">
        <v>9154</v>
      </c>
      <c r="B1348" s="373" t="s">
        <v>9155</v>
      </c>
      <c r="C1348" s="372" t="s">
        <v>9156</v>
      </c>
      <c r="D1348" s="374">
        <v>1101116852431</v>
      </c>
      <c r="E1348" s="372" t="s">
        <v>9157</v>
      </c>
      <c r="F1348" s="375" t="s">
        <v>1985</v>
      </c>
      <c r="G1348" s="375" t="s">
        <v>1985</v>
      </c>
      <c r="H1348" s="375" t="s">
        <v>868</v>
      </c>
      <c r="I1348" s="375" t="s">
        <v>869</v>
      </c>
      <c r="J1348" s="375">
        <v>86754.563120000006</v>
      </c>
      <c r="K1348" s="375">
        <v>2166.55438</v>
      </c>
      <c r="L1348" s="375">
        <v>-1108.5148899999999</v>
      </c>
      <c r="M1348" s="375">
        <v>55168.173540000003</v>
      </c>
      <c r="N1348" s="372">
        <v>1.18</v>
      </c>
      <c r="O1348" s="703">
        <v>33.167661825892367</v>
      </c>
      <c r="P1348" s="375" t="s">
        <v>623</v>
      </c>
      <c r="Q1348" s="372" t="s">
        <v>623</v>
      </c>
      <c r="R1348" s="695">
        <v>20181031</v>
      </c>
      <c r="S1348" s="372" t="s">
        <v>9098</v>
      </c>
      <c r="T1348" s="696" t="s">
        <v>772</v>
      </c>
      <c r="U1348" s="375" t="s">
        <v>9158</v>
      </c>
      <c r="V1348" s="722">
        <v>31.45</v>
      </c>
      <c r="W1348" s="722">
        <v>2.44</v>
      </c>
      <c r="X1348" s="722">
        <v>1.24</v>
      </c>
      <c r="Y1348" s="722" t="s">
        <v>774</v>
      </c>
      <c r="Z1348" s="382" t="s">
        <v>934</v>
      </c>
      <c r="AA1348" s="372">
        <v>391.23668270000002</v>
      </c>
      <c r="AB1348" s="372">
        <v>498.80481250000003</v>
      </c>
      <c r="AC1348" s="372">
        <v>528.90474670000003</v>
      </c>
      <c r="AD1348" s="372">
        <v>867.5456312</v>
      </c>
      <c r="AE1348" s="372">
        <v>0</v>
      </c>
      <c r="AF1348" s="372">
        <v>0</v>
      </c>
      <c r="AG1348" s="372">
        <v>0</v>
      </c>
      <c r="AH1348" s="372">
        <v>0</v>
      </c>
    </row>
    <row r="1349" spans="1:34">
      <c r="A1349" s="372" t="s">
        <v>9159</v>
      </c>
      <c r="B1349" s="373" t="s">
        <v>9160</v>
      </c>
      <c r="C1349" s="372" t="s">
        <v>9161</v>
      </c>
      <c r="D1349" s="374">
        <v>1812110001102</v>
      </c>
      <c r="E1349" s="372" t="s">
        <v>9162</v>
      </c>
      <c r="F1349" s="375" t="s">
        <v>1881</v>
      </c>
      <c r="G1349" s="375" t="s">
        <v>1882</v>
      </c>
      <c r="H1349" s="375" t="s">
        <v>868</v>
      </c>
      <c r="I1349" s="375" t="s">
        <v>869</v>
      </c>
      <c r="J1349" s="375">
        <v>307539.84519999998</v>
      </c>
      <c r="K1349" s="375">
        <v>15398.58128</v>
      </c>
      <c r="L1349" s="375">
        <v>16602.801299999999</v>
      </c>
      <c r="M1349" s="375">
        <v>143827.87961999999</v>
      </c>
      <c r="N1349" s="372">
        <v>0.995</v>
      </c>
      <c r="O1349" s="703">
        <v>5.0557709480811255</v>
      </c>
      <c r="P1349" s="375" t="s">
        <v>623</v>
      </c>
      <c r="Q1349" s="375" t="s">
        <v>623</v>
      </c>
      <c r="R1349" s="695">
        <v>20131204</v>
      </c>
      <c r="S1349" s="375" t="s">
        <v>9163</v>
      </c>
      <c r="T1349" s="696">
        <v>0.20900000000000002</v>
      </c>
      <c r="U1349" s="372" t="s">
        <v>9164</v>
      </c>
      <c r="V1349" s="722">
        <v>5.84</v>
      </c>
      <c r="W1349" s="722">
        <v>0.75</v>
      </c>
      <c r="X1349" s="722">
        <v>0.36</v>
      </c>
      <c r="Y1349" s="722">
        <v>8.33</v>
      </c>
      <c r="Z1349" s="382" t="s">
        <v>934</v>
      </c>
      <c r="AA1349" s="372">
        <v>2098.4074010999998</v>
      </c>
      <c r="AB1349" s="372">
        <v>2493.2215145999999</v>
      </c>
      <c r="AC1349" s="372">
        <v>2784.9550352000001</v>
      </c>
      <c r="AD1349" s="372">
        <v>3075.3984519999999</v>
      </c>
      <c r="AE1349" s="372">
        <v>3394</v>
      </c>
      <c r="AF1349" s="372">
        <v>0</v>
      </c>
      <c r="AG1349" s="372">
        <v>0</v>
      </c>
      <c r="AH1349" s="372">
        <v>0</v>
      </c>
    </row>
    <row r="1350" spans="1:34">
      <c r="A1350" s="372" t="s">
        <v>9165</v>
      </c>
      <c r="B1350" s="373" t="s">
        <v>9166</v>
      </c>
      <c r="C1350" s="372" t="s">
        <v>9167</v>
      </c>
      <c r="D1350" s="374">
        <v>1101111424243</v>
      </c>
      <c r="E1350" s="372" t="s">
        <v>9168</v>
      </c>
      <c r="F1350" s="372" t="s">
        <v>1334</v>
      </c>
      <c r="G1350" s="375" t="s">
        <v>1334</v>
      </c>
      <c r="H1350" s="375" t="s">
        <v>868</v>
      </c>
      <c r="I1350" s="375" t="s">
        <v>869</v>
      </c>
      <c r="J1350" s="375">
        <v>12291.883589999999</v>
      </c>
      <c r="K1350" s="375">
        <v>5192.3399600000002</v>
      </c>
      <c r="L1350" s="375">
        <v>5549.9882799999996</v>
      </c>
      <c r="M1350" s="375">
        <v>28105.454880000001</v>
      </c>
      <c r="N1350" s="372">
        <v>0.88700000000000001</v>
      </c>
      <c r="O1350" s="703">
        <v>14.765270150909068</v>
      </c>
      <c r="P1350" s="375" t="s">
        <v>623</v>
      </c>
      <c r="Q1350" s="372" t="s">
        <v>623</v>
      </c>
      <c r="R1350" s="695">
        <v>20160122</v>
      </c>
      <c r="S1350" s="372" t="s">
        <v>9169</v>
      </c>
      <c r="T1350" s="696">
        <v>0.20900000000000002</v>
      </c>
      <c r="U1350" s="375" t="s">
        <v>9170</v>
      </c>
      <c r="V1350" s="722">
        <v>0</v>
      </c>
      <c r="W1350" s="722">
        <v>4.91</v>
      </c>
      <c r="X1350" s="722">
        <v>0</v>
      </c>
      <c r="Y1350" s="722">
        <v>0</v>
      </c>
      <c r="Z1350" s="382" t="s">
        <v>934</v>
      </c>
      <c r="AA1350" s="372">
        <v>54.585285900000002</v>
      </c>
      <c r="AB1350" s="372">
        <v>99.649939399999994</v>
      </c>
      <c r="AC1350" s="372">
        <v>74.203941400000005</v>
      </c>
      <c r="AD1350" s="372">
        <v>122.9188359</v>
      </c>
      <c r="AE1350" s="372">
        <v>0</v>
      </c>
      <c r="AF1350" s="372">
        <v>0</v>
      </c>
      <c r="AG1350" s="372">
        <v>0</v>
      </c>
      <c r="AH1350" s="372">
        <v>0</v>
      </c>
    </row>
    <row r="1351" spans="1:34">
      <c r="A1351" s="372" t="s">
        <v>9171</v>
      </c>
      <c r="B1351" s="373" t="s">
        <v>9172</v>
      </c>
      <c r="C1351" s="372" t="s">
        <v>9173</v>
      </c>
      <c r="D1351" s="374">
        <v>2013110001155</v>
      </c>
      <c r="E1351" s="372" t="s">
        <v>9174</v>
      </c>
      <c r="F1351" s="372" t="s">
        <v>9175</v>
      </c>
      <c r="G1351" s="375" t="s">
        <v>9176</v>
      </c>
      <c r="H1351" s="375" t="s">
        <v>868</v>
      </c>
      <c r="I1351" s="375" t="s">
        <v>869</v>
      </c>
      <c r="J1351" s="375">
        <v>70483.966910000003</v>
      </c>
      <c r="K1351" s="375">
        <v>4464.5467699999999</v>
      </c>
      <c r="L1351" s="375">
        <v>-4133.7032200000003</v>
      </c>
      <c r="M1351" s="375">
        <v>227088.76058999999</v>
      </c>
      <c r="N1351" s="372">
        <v>0.94799999999999995</v>
      </c>
      <c r="O1351" s="703">
        <v>0.7835288668741508</v>
      </c>
      <c r="P1351" s="375" t="s">
        <v>623</v>
      </c>
      <c r="Q1351" s="372" t="s">
        <v>623</v>
      </c>
      <c r="R1351" s="695">
        <v>20000822</v>
      </c>
      <c r="S1351" s="372" t="s">
        <v>9177</v>
      </c>
      <c r="T1351" s="696" t="s">
        <v>772</v>
      </c>
      <c r="U1351" s="372" t="s">
        <v>9178</v>
      </c>
      <c r="V1351" s="722">
        <v>15.09</v>
      </c>
      <c r="W1351" s="722">
        <v>0.45</v>
      </c>
      <c r="X1351" s="722">
        <v>1.5</v>
      </c>
      <c r="Y1351" s="722" t="s">
        <v>774</v>
      </c>
      <c r="Z1351" s="382" t="s">
        <v>934</v>
      </c>
      <c r="AA1351" s="372">
        <v>529.47425410000005</v>
      </c>
      <c r="AB1351" s="372">
        <v>652.21439840000005</v>
      </c>
      <c r="AC1351" s="372">
        <v>746.19184829999995</v>
      </c>
      <c r="AD1351" s="372">
        <v>704.83966910000004</v>
      </c>
      <c r="AE1351" s="372">
        <v>922</v>
      </c>
      <c r="AF1351" s="372">
        <v>0</v>
      </c>
      <c r="AG1351" s="372">
        <v>0</v>
      </c>
      <c r="AH1351" s="372">
        <v>0</v>
      </c>
    </row>
    <row r="1352" spans="1:34">
      <c r="A1352" s="372" t="s">
        <v>9179</v>
      </c>
      <c r="B1352" s="373" t="s">
        <v>9180</v>
      </c>
      <c r="C1352" s="372" t="s">
        <v>9181</v>
      </c>
      <c r="D1352" s="374">
        <v>1101110779152</v>
      </c>
      <c r="E1352" s="372" t="s">
        <v>9182</v>
      </c>
      <c r="F1352" s="375" t="s">
        <v>6673</v>
      </c>
      <c r="G1352" s="375" t="s">
        <v>6673</v>
      </c>
      <c r="H1352" s="375" t="s">
        <v>1388</v>
      </c>
      <c r="I1352" s="375" t="s">
        <v>869</v>
      </c>
      <c r="J1352" s="375">
        <v>24240.06</v>
      </c>
      <c r="K1352" s="375">
        <v>-2607.2635100000002</v>
      </c>
      <c r="L1352" s="375">
        <v>7213.2573300000004</v>
      </c>
      <c r="M1352" s="375">
        <v>113777.87211</v>
      </c>
      <c r="N1352" s="372">
        <v>0.90200000000000002</v>
      </c>
      <c r="O1352" s="703">
        <v>5.4289441894748682</v>
      </c>
      <c r="P1352" s="375" t="s">
        <v>623</v>
      </c>
      <c r="Q1352" s="375" t="s">
        <v>623</v>
      </c>
      <c r="R1352" s="695">
        <v>19960820</v>
      </c>
      <c r="S1352" s="375" t="s">
        <v>9183</v>
      </c>
      <c r="T1352" s="696">
        <v>0.20900000000000002</v>
      </c>
      <c r="U1352" s="372" t="s">
        <v>9184</v>
      </c>
      <c r="V1352" s="722" t="s">
        <v>774</v>
      </c>
      <c r="W1352" s="722">
        <v>0.85</v>
      </c>
      <c r="X1352" s="722">
        <v>4.01</v>
      </c>
      <c r="Y1352" s="722">
        <v>13.35</v>
      </c>
      <c r="Z1352" s="382" t="s">
        <v>934</v>
      </c>
      <c r="AA1352" s="372">
        <v>251.7582295</v>
      </c>
      <c r="AB1352" s="372">
        <v>189.19929730000001</v>
      </c>
      <c r="AC1352" s="372">
        <v>782.21398790000001</v>
      </c>
      <c r="AD1352" s="372">
        <v>242.4006</v>
      </c>
      <c r="AE1352" s="372">
        <v>0</v>
      </c>
      <c r="AF1352" s="372">
        <v>0</v>
      </c>
      <c r="AG1352" s="372">
        <v>0</v>
      </c>
      <c r="AH1352" s="372">
        <v>0</v>
      </c>
    </row>
    <row r="1353" spans="1:34">
      <c r="A1353" s="372" t="s">
        <v>9185</v>
      </c>
      <c r="B1353" s="373" t="s">
        <v>9186</v>
      </c>
      <c r="C1353" s="372" t="s">
        <v>9187</v>
      </c>
      <c r="D1353" s="374">
        <v>1101114461002</v>
      </c>
      <c r="E1353" s="372" t="s">
        <v>9188</v>
      </c>
      <c r="F1353" s="375" t="s">
        <v>786</v>
      </c>
      <c r="G1353" s="375" t="s">
        <v>787</v>
      </c>
      <c r="H1353" s="375" t="s">
        <v>868</v>
      </c>
      <c r="I1353" s="375" t="s">
        <v>869</v>
      </c>
      <c r="J1353" s="375">
        <v>12704.10118</v>
      </c>
      <c r="K1353" s="375">
        <v>-22777.439979999999</v>
      </c>
      <c r="L1353" s="375">
        <v>-23137.393520000001</v>
      </c>
      <c r="M1353" s="375">
        <v>44517.549650000001</v>
      </c>
      <c r="N1353" s="372">
        <v>1.0409999999999999</v>
      </c>
      <c r="O1353" s="703">
        <v>13.035814415857566</v>
      </c>
      <c r="P1353" s="375" t="s">
        <v>623</v>
      </c>
      <c r="Q1353" s="372" t="s">
        <v>623</v>
      </c>
      <c r="R1353" s="695">
        <v>20151221</v>
      </c>
      <c r="S1353" s="375" t="s">
        <v>8135</v>
      </c>
      <c r="T1353" s="696" t="s">
        <v>772</v>
      </c>
      <c r="U1353" s="372" t="s">
        <v>9189</v>
      </c>
      <c r="V1353" s="722" t="s">
        <v>774</v>
      </c>
      <c r="W1353" s="722">
        <v>2.79</v>
      </c>
      <c r="X1353" s="722">
        <v>8.1999999999999993</v>
      </c>
      <c r="Y1353" s="722" t="s">
        <v>774</v>
      </c>
      <c r="Z1353" s="382" t="s">
        <v>934</v>
      </c>
      <c r="AA1353" s="372">
        <v>91.378982899999997</v>
      </c>
      <c r="AB1353" s="372">
        <v>124.0466476</v>
      </c>
      <c r="AC1353" s="372">
        <v>163.0057267</v>
      </c>
      <c r="AD1353" s="372">
        <v>127.04101180000001</v>
      </c>
      <c r="AE1353" s="372">
        <v>0</v>
      </c>
      <c r="AF1353" s="372">
        <v>0</v>
      </c>
      <c r="AG1353" s="372">
        <v>0</v>
      </c>
      <c r="AH1353" s="372">
        <v>0</v>
      </c>
    </row>
    <row r="1354" spans="1:34">
      <c r="A1354" s="372" t="s">
        <v>9190</v>
      </c>
      <c r="B1354" s="373" t="s">
        <v>9191</v>
      </c>
      <c r="C1354" s="372" t="s">
        <v>9192</v>
      </c>
      <c r="D1354" s="374">
        <v>1341110000096</v>
      </c>
      <c r="E1354" s="372" t="s">
        <v>9193</v>
      </c>
      <c r="F1354" s="375" t="s">
        <v>2888</v>
      </c>
      <c r="G1354" s="375" t="s">
        <v>6039</v>
      </c>
      <c r="H1354" s="375" t="s">
        <v>832</v>
      </c>
      <c r="I1354" s="375" t="s">
        <v>755</v>
      </c>
      <c r="J1354" s="375">
        <v>107932.70071999999</v>
      </c>
      <c r="K1354" s="375">
        <v>5090.0662199999997</v>
      </c>
      <c r="L1354" s="375">
        <v>6854.1910900000003</v>
      </c>
      <c r="M1354" s="375">
        <v>85768.161259999993</v>
      </c>
      <c r="N1354" s="372">
        <v>1.0349999999999999</v>
      </c>
      <c r="O1354" s="703">
        <v>23.23483062321678</v>
      </c>
      <c r="P1354" s="375" t="s">
        <v>623</v>
      </c>
      <c r="Q1354" s="372" t="s">
        <v>623</v>
      </c>
      <c r="R1354" s="695">
        <v>19870925</v>
      </c>
      <c r="S1354" s="372" t="s">
        <v>9194</v>
      </c>
      <c r="T1354" s="696">
        <v>0.20900000000000002</v>
      </c>
      <c r="U1354" s="372" t="s">
        <v>9195</v>
      </c>
      <c r="V1354" s="722">
        <v>17.440000000000001</v>
      </c>
      <c r="W1354" s="722">
        <v>1.45</v>
      </c>
      <c r="X1354" s="722">
        <v>1.24</v>
      </c>
      <c r="Y1354" s="722">
        <v>23.82</v>
      </c>
      <c r="Z1354" s="382" t="s">
        <v>934</v>
      </c>
      <c r="AA1354" s="372">
        <v>1176.8229165</v>
      </c>
      <c r="AB1354" s="372">
        <v>1151.7686354</v>
      </c>
      <c r="AC1354" s="372">
        <v>1332.9777933</v>
      </c>
      <c r="AD1354" s="372">
        <v>1079.3270072</v>
      </c>
      <c r="AE1354" s="372">
        <v>0</v>
      </c>
      <c r="AF1354" s="372">
        <v>0</v>
      </c>
      <c r="AG1354" s="372">
        <v>0</v>
      </c>
      <c r="AH1354" s="372">
        <v>0</v>
      </c>
    </row>
    <row r="1355" spans="1:34">
      <c r="A1355" s="372" t="s">
        <v>9196</v>
      </c>
      <c r="B1355" s="373" t="s">
        <v>9197</v>
      </c>
      <c r="C1355" s="372" t="s">
        <v>9198</v>
      </c>
      <c r="D1355" s="374">
        <v>1101110063779</v>
      </c>
      <c r="E1355" s="372" t="s">
        <v>9199</v>
      </c>
      <c r="F1355" s="372" t="s">
        <v>5414</v>
      </c>
      <c r="G1355" s="375" t="s">
        <v>8345</v>
      </c>
      <c r="H1355" s="375" t="s">
        <v>3998</v>
      </c>
      <c r="I1355" s="375" t="s">
        <v>755</v>
      </c>
      <c r="J1355" s="375">
        <v>514854.12836999999</v>
      </c>
      <c r="K1355" s="375">
        <v>-18914.851979999999</v>
      </c>
      <c r="L1355" s="375">
        <v>-31337.572690000001</v>
      </c>
      <c r="M1355" s="375">
        <v>211602.42272999999</v>
      </c>
      <c r="N1355" s="372">
        <v>0.83199999999999996</v>
      </c>
      <c r="O1355" s="703">
        <v>381.41882510623623</v>
      </c>
      <c r="P1355" s="375" t="s">
        <v>623</v>
      </c>
      <c r="Q1355" s="375" t="s">
        <v>623</v>
      </c>
      <c r="R1355" s="695">
        <v>19750625</v>
      </c>
      <c r="S1355" s="375" t="s">
        <v>9200</v>
      </c>
      <c r="T1355" s="696" t="s">
        <v>772</v>
      </c>
      <c r="U1355" s="372" t="s">
        <v>9201</v>
      </c>
      <c r="V1355" s="722">
        <v>22.46</v>
      </c>
      <c r="W1355" s="722">
        <v>0.43</v>
      </c>
      <c r="X1355" s="722">
        <v>0.18</v>
      </c>
      <c r="Y1355" s="722" t="s">
        <v>774</v>
      </c>
      <c r="Z1355" s="382" t="s">
        <v>934</v>
      </c>
      <c r="AA1355" s="372">
        <v>5915.6624070999997</v>
      </c>
      <c r="AB1355" s="372">
        <v>5787.4392503999998</v>
      </c>
      <c r="AC1355" s="372">
        <v>6064.5374346999997</v>
      </c>
      <c r="AD1355" s="372">
        <v>5148.5412837000003</v>
      </c>
      <c r="AE1355" s="372">
        <v>0</v>
      </c>
      <c r="AF1355" s="372">
        <v>0</v>
      </c>
      <c r="AG1355" s="372">
        <v>0</v>
      </c>
      <c r="AH1355" s="372">
        <v>0</v>
      </c>
    </row>
    <row r="1356" spans="1:34">
      <c r="A1356" s="372" t="s">
        <v>9202</v>
      </c>
      <c r="B1356" s="373" t="s">
        <v>9203</v>
      </c>
      <c r="C1356" s="372" t="s">
        <v>9204</v>
      </c>
      <c r="D1356" s="374">
        <v>1801110078534</v>
      </c>
      <c r="E1356" s="372" t="s">
        <v>9205</v>
      </c>
      <c r="F1356" s="375" t="s">
        <v>1300</v>
      </c>
      <c r="G1356" s="375" t="s">
        <v>1300</v>
      </c>
      <c r="H1356" s="375" t="s">
        <v>868</v>
      </c>
      <c r="I1356" s="375" t="s">
        <v>869</v>
      </c>
      <c r="J1356" s="375">
        <v>60478.372060000002</v>
      </c>
      <c r="K1356" s="375">
        <v>-303.59764999999999</v>
      </c>
      <c r="L1356" s="375">
        <v>412.29556000000002</v>
      </c>
      <c r="M1356" s="375">
        <v>68977.117020000005</v>
      </c>
      <c r="N1356" s="372">
        <v>1.496</v>
      </c>
      <c r="O1356" s="703">
        <v>15.71244138947338</v>
      </c>
      <c r="P1356" s="375" t="s">
        <v>623</v>
      </c>
      <c r="Q1356" s="375" t="s">
        <v>623</v>
      </c>
      <c r="R1356" s="695">
        <v>20190814</v>
      </c>
      <c r="S1356" s="375" t="s">
        <v>9206</v>
      </c>
      <c r="T1356" s="696">
        <v>0.20900000000000002</v>
      </c>
      <c r="U1356" s="372" t="s">
        <v>9207</v>
      </c>
      <c r="V1356" s="722">
        <v>52.54</v>
      </c>
      <c r="W1356" s="722">
        <v>1.8</v>
      </c>
      <c r="X1356" s="722">
        <v>1.73</v>
      </c>
      <c r="Y1356" s="722" t="s">
        <v>774</v>
      </c>
      <c r="Z1356" s="382" t="s">
        <v>934</v>
      </c>
      <c r="AA1356" s="372">
        <v>310.86077940000001</v>
      </c>
      <c r="AB1356" s="372">
        <v>359.04071540000001</v>
      </c>
      <c r="AC1356" s="372">
        <v>531.2340772</v>
      </c>
      <c r="AD1356" s="372">
        <v>604.78372060000004</v>
      </c>
      <c r="AE1356" s="372">
        <v>0</v>
      </c>
      <c r="AF1356" s="372">
        <v>0</v>
      </c>
      <c r="AG1356" s="372">
        <v>0</v>
      </c>
      <c r="AH1356" s="372">
        <v>0</v>
      </c>
    </row>
    <row r="1357" spans="1:34">
      <c r="A1357" s="372" t="s">
        <v>9208</v>
      </c>
      <c r="B1357" s="373" t="s">
        <v>9209</v>
      </c>
      <c r="C1357" s="372" t="s">
        <v>9210</v>
      </c>
      <c r="D1357" s="374">
        <v>1101114290039</v>
      </c>
      <c r="E1357" s="372" t="s">
        <v>9211</v>
      </c>
      <c r="F1357" s="372" t="s">
        <v>1881</v>
      </c>
      <c r="G1357" s="375" t="s">
        <v>1882</v>
      </c>
      <c r="H1357" s="375" t="s">
        <v>868</v>
      </c>
      <c r="I1357" s="375" t="s">
        <v>869</v>
      </c>
      <c r="J1357" s="375">
        <v>679542.50514000002</v>
      </c>
      <c r="K1357" s="375">
        <v>33927.539700000001</v>
      </c>
      <c r="L1357" s="375">
        <v>38457.183499999999</v>
      </c>
      <c r="M1357" s="375">
        <v>177353.23668999999</v>
      </c>
      <c r="N1357" s="372">
        <v>1.2050000000000001</v>
      </c>
      <c r="O1357" s="703">
        <v>50.916343189562049</v>
      </c>
      <c r="P1357" s="375" t="s">
        <v>623</v>
      </c>
      <c r="Q1357" s="375" t="s">
        <v>623</v>
      </c>
      <c r="R1357" s="695">
        <v>20100827</v>
      </c>
      <c r="S1357" s="375" t="s">
        <v>9212</v>
      </c>
      <c r="T1357" s="696">
        <v>0.23100000000000001</v>
      </c>
      <c r="U1357" s="372" t="s">
        <v>9213</v>
      </c>
      <c r="V1357" s="722">
        <v>2.94</v>
      </c>
      <c r="W1357" s="722">
        <v>0.59</v>
      </c>
      <c r="X1357" s="722">
        <v>0.15</v>
      </c>
      <c r="Y1357" s="722">
        <v>3.3</v>
      </c>
      <c r="Z1357" s="382">
        <v>5.5677960738249377E-2</v>
      </c>
      <c r="AA1357" s="372">
        <v>4096.8115243000002</v>
      </c>
      <c r="AB1357" s="372">
        <v>4656.5645437000003</v>
      </c>
      <c r="AC1357" s="372">
        <v>5610.4363676000003</v>
      </c>
      <c r="AD1357" s="372">
        <v>6795.4250513999996</v>
      </c>
      <c r="AE1357" s="372">
        <v>7240.33</v>
      </c>
      <c r="AF1357" s="372">
        <v>7769</v>
      </c>
      <c r="AG1357" s="372">
        <v>8440</v>
      </c>
      <c r="AH1357" s="372">
        <v>0</v>
      </c>
    </row>
    <row r="1358" spans="1:34">
      <c r="A1358" s="372" t="s">
        <v>9214</v>
      </c>
      <c r="B1358" s="373" t="s">
        <v>9215</v>
      </c>
      <c r="C1358" s="372" t="s">
        <v>9216</v>
      </c>
      <c r="D1358" s="374">
        <v>1201110014027</v>
      </c>
      <c r="E1358" s="372" t="s">
        <v>9217</v>
      </c>
      <c r="F1358" s="372" t="s">
        <v>1607</v>
      </c>
      <c r="G1358" s="375" t="s">
        <v>1607</v>
      </c>
      <c r="H1358" s="375" t="s">
        <v>953</v>
      </c>
      <c r="I1358" s="375" t="s">
        <v>755</v>
      </c>
      <c r="J1358" s="375">
        <v>781337.05247</v>
      </c>
      <c r="K1358" s="375">
        <v>16517.707849999999</v>
      </c>
      <c r="L1358" s="375">
        <v>22152.39833</v>
      </c>
      <c r="M1358" s="375">
        <v>211556.30015</v>
      </c>
      <c r="N1358" s="372">
        <v>0.45900000000000002</v>
      </c>
      <c r="O1358" s="703">
        <v>17.354392145731357</v>
      </c>
      <c r="P1358" s="375" t="s">
        <v>623</v>
      </c>
      <c r="Q1358" s="372" t="s">
        <v>623</v>
      </c>
      <c r="R1358" s="695">
        <v>20061107</v>
      </c>
      <c r="S1358" s="372" t="s">
        <v>9218</v>
      </c>
      <c r="T1358" s="696">
        <v>0.23100000000000001</v>
      </c>
      <c r="U1358" s="372" t="s">
        <v>9219</v>
      </c>
      <c r="V1358" s="722">
        <v>0</v>
      </c>
      <c r="W1358" s="722">
        <v>0.51</v>
      </c>
      <c r="X1358" s="722">
        <v>0</v>
      </c>
      <c r="Y1358" s="722">
        <v>0</v>
      </c>
      <c r="Z1358" s="382" t="s">
        <v>934</v>
      </c>
      <c r="AA1358" s="372">
        <v>5044.9171004999998</v>
      </c>
      <c r="AB1358" s="372">
        <v>5042.0628065000001</v>
      </c>
      <c r="AC1358" s="372">
        <v>7284.8944770999997</v>
      </c>
      <c r="AD1358" s="372">
        <v>7813.3705246999998</v>
      </c>
      <c r="AE1358" s="372">
        <v>0</v>
      </c>
      <c r="AF1358" s="372">
        <v>0</v>
      </c>
      <c r="AG1358" s="372">
        <v>0</v>
      </c>
      <c r="AH1358" s="372">
        <v>0</v>
      </c>
    </row>
    <row r="1359" spans="1:34">
      <c r="A1359" s="372" t="s">
        <v>9220</v>
      </c>
      <c r="B1359" s="373" t="s">
        <v>9221</v>
      </c>
      <c r="C1359" s="372" t="s">
        <v>9222</v>
      </c>
      <c r="D1359" s="374">
        <v>1101112739998</v>
      </c>
      <c r="E1359" s="372" t="s">
        <v>9223</v>
      </c>
      <c r="F1359" s="375" t="s">
        <v>5824</v>
      </c>
      <c r="G1359" s="375" t="s">
        <v>5824</v>
      </c>
      <c r="H1359" s="375" t="s">
        <v>1693</v>
      </c>
      <c r="I1359" s="375" t="s">
        <v>869</v>
      </c>
      <c r="J1359" s="375">
        <v>15073.31697</v>
      </c>
      <c r="K1359" s="375">
        <v>-536.63802999999996</v>
      </c>
      <c r="L1359" s="375">
        <v>691.13016000000005</v>
      </c>
      <c r="M1359" s="375">
        <v>36789.220079999999</v>
      </c>
      <c r="N1359" s="372">
        <v>1.1120000000000001</v>
      </c>
      <c r="O1359" s="703">
        <v>1.6457581475258873</v>
      </c>
      <c r="P1359" s="375" t="s">
        <v>623</v>
      </c>
      <c r="Q1359" s="375" t="s">
        <v>623</v>
      </c>
      <c r="R1359" s="695">
        <v>20210713</v>
      </c>
      <c r="S1359" s="375" t="s">
        <v>9224</v>
      </c>
      <c r="T1359" s="696">
        <v>0.20900000000000002</v>
      </c>
      <c r="U1359" s="375" t="s">
        <v>9225</v>
      </c>
      <c r="V1359" s="722">
        <v>213.04</v>
      </c>
      <c r="W1359" s="722">
        <v>3.46</v>
      </c>
      <c r="X1359" s="722">
        <v>8.42</v>
      </c>
      <c r="Y1359" s="722">
        <v>317.77999999999997</v>
      </c>
      <c r="Z1359" s="382" t="s">
        <v>934</v>
      </c>
      <c r="AA1359" s="372">
        <v>120.6890365</v>
      </c>
      <c r="AB1359" s="372">
        <v>76.585414999999998</v>
      </c>
      <c r="AC1359" s="372">
        <v>110.04454440000001</v>
      </c>
      <c r="AD1359" s="372">
        <v>150.73316969999999</v>
      </c>
      <c r="AE1359" s="372">
        <v>203</v>
      </c>
      <c r="AF1359" s="372">
        <v>239</v>
      </c>
      <c r="AG1359" s="372">
        <v>0</v>
      </c>
      <c r="AH1359" s="372">
        <v>0</v>
      </c>
    </row>
    <row r="1360" spans="1:34">
      <c r="A1360" s="372" t="s">
        <v>9226</v>
      </c>
      <c r="B1360" s="373" t="s">
        <v>9227</v>
      </c>
      <c r="C1360" s="372" t="s">
        <v>9228</v>
      </c>
      <c r="D1360" s="374">
        <v>1101110564066</v>
      </c>
      <c r="E1360" s="372" t="s">
        <v>9229</v>
      </c>
      <c r="F1360" s="375" t="s">
        <v>8672</v>
      </c>
      <c r="G1360" s="375" t="s">
        <v>8672</v>
      </c>
      <c r="H1360" s="375" t="s">
        <v>4894</v>
      </c>
      <c r="I1360" s="375" t="s">
        <v>869</v>
      </c>
      <c r="J1360" s="375">
        <v>401268.15469</v>
      </c>
      <c r="K1360" s="375">
        <v>32409.587510000001</v>
      </c>
      <c r="L1360" s="375">
        <v>35524.105580000003</v>
      </c>
      <c r="M1360" s="375">
        <v>210544.49797999999</v>
      </c>
      <c r="N1360" s="372">
        <v>1.0449999999999999</v>
      </c>
      <c r="O1360" s="703">
        <v>0.48532220378753199</v>
      </c>
      <c r="P1360" s="375" t="s">
        <v>623</v>
      </c>
      <c r="Q1360" s="375" t="s">
        <v>623</v>
      </c>
      <c r="R1360" s="695">
        <v>20020903</v>
      </c>
      <c r="S1360" s="375" t="s">
        <v>9230</v>
      </c>
      <c r="T1360" s="696">
        <v>0.23100000000000001</v>
      </c>
      <c r="U1360" s="372" t="s">
        <v>9231</v>
      </c>
      <c r="V1360" s="722">
        <v>3.25</v>
      </c>
      <c r="W1360" s="722">
        <v>0.47</v>
      </c>
      <c r="X1360" s="722">
        <v>0.27</v>
      </c>
      <c r="Y1360" s="722">
        <v>3.87</v>
      </c>
      <c r="Z1360" s="382" t="s">
        <v>934</v>
      </c>
      <c r="AA1360" s="372">
        <v>2881.3898921</v>
      </c>
      <c r="AB1360" s="372">
        <v>3230.284322</v>
      </c>
      <c r="AC1360" s="372">
        <v>3783.8784396000001</v>
      </c>
      <c r="AD1360" s="372">
        <v>4012.6815468999998</v>
      </c>
      <c r="AE1360" s="372">
        <v>0</v>
      </c>
      <c r="AF1360" s="372">
        <v>0</v>
      </c>
      <c r="AG1360" s="372">
        <v>0</v>
      </c>
      <c r="AH1360" s="372">
        <v>0</v>
      </c>
    </row>
    <row r="1361" spans="1:34">
      <c r="A1361" s="372" t="s">
        <v>9232</v>
      </c>
      <c r="B1361" s="373" t="s">
        <v>9233</v>
      </c>
      <c r="C1361" s="372" t="s">
        <v>9234</v>
      </c>
      <c r="D1361" s="374">
        <v>1101111359630</v>
      </c>
      <c r="E1361" s="372" t="s">
        <v>9235</v>
      </c>
      <c r="F1361" s="375" t="s">
        <v>4308</v>
      </c>
      <c r="G1361" s="375" t="s">
        <v>4309</v>
      </c>
      <c r="H1361" s="375" t="s">
        <v>1950</v>
      </c>
      <c r="I1361" s="375" t="s">
        <v>869</v>
      </c>
      <c r="J1361" s="375">
        <v>0</v>
      </c>
      <c r="K1361" s="375">
        <v>0</v>
      </c>
      <c r="L1361" s="375">
        <v>0</v>
      </c>
      <c r="M1361" s="375">
        <v>75288.833129999999</v>
      </c>
      <c r="N1361" s="372">
        <v>1.032</v>
      </c>
      <c r="O1361" s="703">
        <v>26.982986387645486</v>
      </c>
      <c r="P1361" s="375" t="s">
        <v>623</v>
      </c>
      <c r="Q1361" s="372" t="s">
        <v>623</v>
      </c>
      <c r="R1361" s="695">
        <v>20020531</v>
      </c>
      <c r="S1361" s="372" t="s">
        <v>9236</v>
      </c>
      <c r="T1361" s="696" t="s">
        <v>772</v>
      </c>
      <c r="U1361" s="372" t="s">
        <v>9237</v>
      </c>
      <c r="V1361" s="722">
        <v>0</v>
      </c>
      <c r="W1361" s="722">
        <v>1.1599999999999999</v>
      </c>
      <c r="X1361" s="722">
        <v>0</v>
      </c>
      <c r="Y1361" s="722">
        <v>0</v>
      </c>
      <c r="Z1361" s="382" t="s">
        <v>934</v>
      </c>
      <c r="AA1361" s="372">
        <v>889.6041712</v>
      </c>
      <c r="AB1361" s="372">
        <v>784.95698549999997</v>
      </c>
      <c r="AC1361" s="372">
        <v>642.83541119999995</v>
      </c>
      <c r="AD1361" s="372">
        <v>725.69201269999996</v>
      </c>
      <c r="AE1361" s="372">
        <v>0</v>
      </c>
      <c r="AF1361" s="372">
        <v>0</v>
      </c>
      <c r="AG1361" s="372">
        <v>0</v>
      </c>
      <c r="AH1361" s="372">
        <v>0</v>
      </c>
    </row>
    <row r="1362" spans="1:34">
      <c r="A1362" s="372" t="s">
        <v>9238</v>
      </c>
      <c r="B1362" s="373" t="s">
        <v>9239</v>
      </c>
      <c r="C1362" s="372" t="s">
        <v>9240</v>
      </c>
      <c r="D1362" s="374">
        <v>1501110000856</v>
      </c>
      <c r="E1362" s="372" t="s">
        <v>9241</v>
      </c>
      <c r="F1362" s="375" t="s">
        <v>1286</v>
      </c>
      <c r="G1362" s="375" t="s">
        <v>1736</v>
      </c>
      <c r="H1362" s="375" t="s">
        <v>754</v>
      </c>
      <c r="I1362" s="375" t="s">
        <v>755</v>
      </c>
      <c r="J1362" s="375">
        <v>202450.93853000001</v>
      </c>
      <c r="K1362" s="375">
        <v>7828.6905299999999</v>
      </c>
      <c r="L1362" s="375">
        <v>8088.6404899999998</v>
      </c>
      <c r="M1362" s="375">
        <v>94066.00503</v>
      </c>
      <c r="N1362" s="372">
        <v>1.4350000000000001</v>
      </c>
      <c r="O1362" s="703">
        <v>0.51327148046466786</v>
      </c>
      <c r="P1362" s="375" t="s">
        <v>623</v>
      </c>
      <c r="Q1362" s="375" t="s">
        <v>623</v>
      </c>
      <c r="R1362" s="695">
        <v>19861124</v>
      </c>
      <c r="S1362" s="375" t="s">
        <v>9242</v>
      </c>
      <c r="T1362" s="696">
        <v>0.20900000000000002</v>
      </c>
      <c r="U1362" s="372" t="s">
        <v>9243</v>
      </c>
      <c r="V1362" s="722">
        <v>11.52</v>
      </c>
      <c r="W1362" s="722">
        <v>1.59</v>
      </c>
      <c r="X1362" s="722">
        <v>0.56999999999999995</v>
      </c>
      <c r="Y1362" s="722">
        <v>20.73</v>
      </c>
      <c r="Z1362" s="382">
        <v>0.15316328873454266</v>
      </c>
      <c r="AA1362" s="372">
        <v>1993.0290924000001</v>
      </c>
      <c r="AB1362" s="372">
        <v>2470.9849512000001</v>
      </c>
      <c r="AC1362" s="372">
        <v>2391.1273390000001</v>
      </c>
      <c r="AD1362" s="372">
        <v>2024.5093853000001</v>
      </c>
      <c r="AE1362" s="372">
        <v>2618.5</v>
      </c>
      <c r="AF1362" s="372">
        <v>3102.5</v>
      </c>
      <c r="AG1362" s="372">
        <v>3580</v>
      </c>
      <c r="AH1362" s="372">
        <v>0</v>
      </c>
    </row>
    <row r="1363" spans="1:34">
      <c r="A1363" s="372" t="s">
        <v>9244</v>
      </c>
      <c r="B1363" s="373" t="s">
        <v>9245</v>
      </c>
      <c r="C1363" s="372" t="s">
        <v>9246</v>
      </c>
      <c r="D1363" s="374">
        <v>1101110954374</v>
      </c>
      <c r="E1363" s="372" t="s">
        <v>9247</v>
      </c>
      <c r="F1363" s="375" t="s">
        <v>9248</v>
      </c>
      <c r="G1363" s="375" t="s">
        <v>9248</v>
      </c>
      <c r="H1363" s="375" t="s">
        <v>1388</v>
      </c>
      <c r="I1363" s="375" t="s">
        <v>869</v>
      </c>
      <c r="J1363" s="375">
        <v>0</v>
      </c>
      <c r="K1363" s="375">
        <v>0</v>
      </c>
      <c r="L1363" s="375">
        <v>0</v>
      </c>
      <c r="M1363" s="375">
        <v>91831.190900000001</v>
      </c>
      <c r="N1363" s="372">
        <v>0.67200000000000004</v>
      </c>
      <c r="O1363" s="703">
        <v>1.8992490946584315E-2</v>
      </c>
      <c r="P1363" s="375" t="s">
        <v>623</v>
      </c>
      <c r="Q1363" s="375" t="s">
        <v>623</v>
      </c>
      <c r="R1363" s="695">
        <v>20010522</v>
      </c>
      <c r="S1363" s="375" t="s">
        <v>9249</v>
      </c>
      <c r="T1363" s="696" t="s">
        <v>772</v>
      </c>
      <c r="U1363" s="372" t="s">
        <v>9250</v>
      </c>
      <c r="V1363" s="722">
        <v>0</v>
      </c>
      <c r="W1363" s="722">
        <v>1.1200000000000001</v>
      </c>
      <c r="X1363" s="722">
        <v>0</v>
      </c>
      <c r="Y1363" s="722">
        <v>0</v>
      </c>
      <c r="Z1363" s="382" t="s">
        <v>934</v>
      </c>
      <c r="AA1363" s="372">
        <v>981.58276169999999</v>
      </c>
      <c r="AB1363" s="372">
        <v>703.37745210000003</v>
      </c>
      <c r="AC1363" s="372">
        <v>943.31778480000003</v>
      </c>
      <c r="AD1363" s="372">
        <v>719.34894010000005</v>
      </c>
      <c r="AE1363" s="372">
        <v>0</v>
      </c>
      <c r="AF1363" s="372">
        <v>0</v>
      </c>
      <c r="AG1363" s="372">
        <v>0</v>
      </c>
      <c r="AH1363" s="372">
        <v>0</v>
      </c>
    </row>
    <row r="1364" spans="1:34">
      <c r="A1364" s="372" t="s">
        <v>9251</v>
      </c>
      <c r="B1364" s="373" t="s">
        <v>9252</v>
      </c>
      <c r="C1364" s="372" t="s">
        <v>9253</v>
      </c>
      <c r="D1364" s="374">
        <v>1101110057012</v>
      </c>
      <c r="E1364" s="372" t="s">
        <v>9254</v>
      </c>
      <c r="F1364" s="375" t="s">
        <v>1313</v>
      </c>
      <c r="G1364" s="375" t="s">
        <v>1313</v>
      </c>
      <c r="H1364" s="375" t="s">
        <v>832</v>
      </c>
      <c r="I1364" s="375" t="s">
        <v>755</v>
      </c>
      <c r="J1364" s="375">
        <v>166721.76146000001</v>
      </c>
      <c r="K1364" s="375">
        <v>8062.6861500000005</v>
      </c>
      <c r="L1364" s="375">
        <v>6695.42893</v>
      </c>
      <c r="M1364" s="375">
        <v>51817.334049999998</v>
      </c>
      <c r="N1364" s="372">
        <v>0.41299999999999998</v>
      </c>
      <c r="O1364" s="703">
        <v>24.210093906167476</v>
      </c>
      <c r="P1364" s="375" t="s">
        <v>623</v>
      </c>
      <c r="Q1364" s="372" t="s">
        <v>623</v>
      </c>
      <c r="R1364" s="695">
        <v>19961224</v>
      </c>
      <c r="S1364" s="372" t="s">
        <v>9255</v>
      </c>
      <c r="T1364" s="696">
        <v>0.20900000000000002</v>
      </c>
      <c r="U1364" s="372" t="s">
        <v>9256</v>
      </c>
      <c r="V1364" s="722">
        <v>0</v>
      </c>
      <c r="W1364" s="722">
        <v>2.2599999999999998</v>
      </c>
      <c r="X1364" s="722">
        <v>0</v>
      </c>
      <c r="Y1364" s="722">
        <v>0</v>
      </c>
      <c r="Z1364" s="382" t="s">
        <v>934</v>
      </c>
      <c r="AA1364" s="372">
        <v>1249.2832805999999</v>
      </c>
      <c r="AB1364" s="372">
        <v>1602.9597329999999</v>
      </c>
      <c r="AC1364" s="372">
        <v>1934.0069748999999</v>
      </c>
      <c r="AD1364" s="372">
        <v>1667.2176145999999</v>
      </c>
      <c r="AE1364" s="372">
        <v>0</v>
      </c>
      <c r="AF1364" s="372">
        <v>0</v>
      </c>
      <c r="AG1364" s="372">
        <v>0</v>
      </c>
      <c r="AH1364" s="372">
        <v>0</v>
      </c>
    </row>
    <row r="1365" spans="1:34">
      <c r="A1365" s="372" t="s">
        <v>9257</v>
      </c>
      <c r="B1365" s="373" t="s">
        <v>9258</v>
      </c>
      <c r="C1365" s="372" t="s">
        <v>9259</v>
      </c>
      <c r="D1365" s="374">
        <v>1101111293531</v>
      </c>
      <c r="E1365" s="372" t="s">
        <v>9260</v>
      </c>
      <c r="F1365" s="372" t="s">
        <v>860</v>
      </c>
      <c r="G1365" s="375" t="s">
        <v>9261</v>
      </c>
      <c r="H1365" s="375" t="s">
        <v>902</v>
      </c>
      <c r="I1365" s="375" t="s">
        <v>869</v>
      </c>
      <c r="J1365" s="375">
        <v>27582.188610000001</v>
      </c>
      <c r="K1365" s="375">
        <v>8463.2699699999994</v>
      </c>
      <c r="L1365" s="375">
        <v>8219.9001100000005</v>
      </c>
      <c r="M1365" s="375">
        <v>115441.88701999999</v>
      </c>
      <c r="N1365" s="372" t="s">
        <v>1033</v>
      </c>
      <c r="O1365" s="703">
        <v>0</v>
      </c>
      <c r="P1365" s="375" t="s">
        <v>623</v>
      </c>
      <c r="Q1365" s="372" t="s">
        <v>623</v>
      </c>
      <c r="R1365" s="695">
        <v>20230329</v>
      </c>
      <c r="S1365" s="372" t="s">
        <v>9262</v>
      </c>
      <c r="T1365" s="696">
        <v>0.20900000000000002</v>
      </c>
      <c r="U1365" s="372" t="s">
        <v>16057</v>
      </c>
      <c r="V1365" s="722">
        <v>0</v>
      </c>
      <c r="W1365" s="722">
        <v>0.93</v>
      </c>
      <c r="X1365" s="722">
        <v>3.82</v>
      </c>
      <c r="Y1365" s="722">
        <v>16.41</v>
      </c>
      <c r="Z1365" s="382" t="s">
        <v>934</v>
      </c>
      <c r="AA1365" s="372">
        <v>279.70324720000002</v>
      </c>
      <c r="AB1365" s="372">
        <v>493.73274780000003</v>
      </c>
      <c r="AC1365" s="372">
        <v>185.2535738</v>
      </c>
      <c r="AD1365" s="372">
        <v>275.82188609999997</v>
      </c>
      <c r="AE1365" s="372">
        <v>0</v>
      </c>
      <c r="AF1365" s="372">
        <v>0</v>
      </c>
      <c r="AG1365" s="372">
        <v>0</v>
      </c>
      <c r="AH1365" s="372">
        <v>0</v>
      </c>
    </row>
    <row r="1366" spans="1:34">
      <c r="A1366" s="372" t="s">
        <v>9263</v>
      </c>
      <c r="B1366" s="373" t="s">
        <v>9264</v>
      </c>
      <c r="C1366" s="372" t="s">
        <v>9265</v>
      </c>
      <c r="D1366" s="374">
        <v>1244110020587</v>
      </c>
      <c r="E1366" s="372" t="s">
        <v>9266</v>
      </c>
      <c r="F1366" s="375" t="s">
        <v>786</v>
      </c>
      <c r="G1366" s="375" t="s">
        <v>786</v>
      </c>
      <c r="H1366" s="375" t="s">
        <v>868</v>
      </c>
      <c r="I1366" s="375" t="s">
        <v>869</v>
      </c>
      <c r="J1366" s="375">
        <v>53787.38852</v>
      </c>
      <c r="K1366" s="375">
        <v>2195.3882699999999</v>
      </c>
      <c r="L1366" s="375">
        <v>6880.0796300000002</v>
      </c>
      <c r="M1366" s="375">
        <v>111885.22076</v>
      </c>
      <c r="N1366" s="372">
        <v>0.76300000000000001</v>
      </c>
      <c r="O1366" s="703">
        <v>1.8937910158437927</v>
      </c>
      <c r="P1366" s="375" t="s">
        <v>623</v>
      </c>
      <c r="Q1366" s="375" t="s">
        <v>623</v>
      </c>
      <c r="R1366" s="695">
        <v>20021211</v>
      </c>
      <c r="S1366" s="375" t="s">
        <v>9267</v>
      </c>
      <c r="T1366" s="696">
        <v>0.20900000000000002</v>
      </c>
      <c r="U1366" s="372" t="s">
        <v>9268</v>
      </c>
      <c r="V1366" s="722">
        <v>17.29</v>
      </c>
      <c r="W1366" s="722">
        <v>0.78</v>
      </c>
      <c r="X1366" s="722">
        <v>1.96</v>
      </c>
      <c r="Y1366" s="722">
        <v>16.73</v>
      </c>
      <c r="Z1366" s="382" t="s">
        <v>934</v>
      </c>
      <c r="AA1366" s="372">
        <v>455.82255759999998</v>
      </c>
      <c r="AB1366" s="372">
        <v>468.73312420000002</v>
      </c>
      <c r="AC1366" s="372">
        <v>505.25748850000002</v>
      </c>
      <c r="AD1366" s="372">
        <v>537.87388520000002</v>
      </c>
      <c r="AE1366" s="372">
        <v>0</v>
      </c>
      <c r="AF1366" s="372">
        <v>0</v>
      </c>
      <c r="AG1366" s="372">
        <v>0</v>
      </c>
      <c r="AH1366" s="372">
        <v>0</v>
      </c>
    </row>
    <row r="1367" spans="1:34">
      <c r="A1367" s="372" t="s">
        <v>9269</v>
      </c>
      <c r="B1367" s="373" t="s">
        <v>9270</v>
      </c>
      <c r="C1367" s="372" t="s">
        <v>16058</v>
      </c>
      <c r="D1367" s="374">
        <v>1101111660368</v>
      </c>
      <c r="E1367" s="372" t="s">
        <v>9271</v>
      </c>
      <c r="F1367" s="375" t="s">
        <v>10146</v>
      </c>
      <c r="G1367" s="375" t="s">
        <v>10146</v>
      </c>
      <c r="H1367" s="375" t="s">
        <v>868</v>
      </c>
      <c r="I1367" s="375" t="s">
        <v>869</v>
      </c>
      <c r="J1367" s="375">
        <v>0</v>
      </c>
      <c r="K1367" s="375">
        <v>0</v>
      </c>
      <c r="L1367" s="375">
        <v>0</v>
      </c>
      <c r="M1367" s="375">
        <v>53661.979950000001</v>
      </c>
      <c r="N1367" s="372" t="s">
        <v>1033</v>
      </c>
      <c r="O1367" s="703">
        <v>19.442526779589826</v>
      </c>
      <c r="P1367" s="375" t="s">
        <v>623</v>
      </c>
      <c r="Q1367" s="372" t="s">
        <v>623</v>
      </c>
      <c r="R1367" s="695">
        <v>20231221</v>
      </c>
      <c r="S1367" s="372" t="s">
        <v>9272</v>
      </c>
      <c r="T1367" s="696" t="s">
        <v>772</v>
      </c>
      <c r="U1367" s="372" t="s">
        <v>9273</v>
      </c>
      <c r="V1367" s="722">
        <v>0</v>
      </c>
      <c r="W1367" s="722">
        <v>3.46</v>
      </c>
      <c r="X1367" s="722">
        <v>0</v>
      </c>
      <c r="Y1367" s="722">
        <v>0</v>
      </c>
      <c r="Z1367" s="382" t="s">
        <v>934</v>
      </c>
      <c r="AA1367" s="372">
        <v>1326.8054979000001</v>
      </c>
      <c r="AB1367" s="372">
        <v>1746.8103495</v>
      </c>
      <c r="AC1367" s="372">
        <v>1855.7594237999999</v>
      </c>
      <c r="AD1367" s="372">
        <v>1522.9047295</v>
      </c>
      <c r="AE1367" s="372">
        <v>0</v>
      </c>
      <c r="AF1367" s="372">
        <v>0</v>
      </c>
      <c r="AG1367" s="372">
        <v>0</v>
      </c>
      <c r="AH1367" s="372">
        <v>0</v>
      </c>
    </row>
    <row r="1368" spans="1:34">
      <c r="A1368" s="372" t="s">
        <v>9274</v>
      </c>
      <c r="B1368" s="373" t="s">
        <v>9275</v>
      </c>
      <c r="C1368" s="372" t="s">
        <v>9276</v>
      </c>
      <c r="D1368" s="374">
        <v>1801110327981</v>
      </c>
      <c r="E1368" s="372" t="s">
        <v>9277</v>
      </c>
      <c r="F1368" s="372" t="s">
        <v>9278</v>
      </c>
      <c r="G1368" s="375" t="s">
        <v>9279</v>
      </c>
      <c r="H1368" s="375" t="s">
        <v>868</v>
      </c>
      <c r="I1368" s="375" t="s">
        <v>869</v>
      </c>
      <c r="J1368" s="375">
        <v>101893.97585</v>
      </c>
      <c r="K1368" s="375">
        <v>11443.596659999999</v>
      </c>
      <c r="L1368" s="375">
        <v>11359.922490000001</v>
      </c>
      <c r="M1368" s="375">
        <v>126023.61380000001</v>
      </c>
      <c r="N1368" s="372">
        <v>1.22</v>
      </c>
      <c r="O1368" s="703">
        <v>46.28419553927133</v>
      </c>
      <c r="P1368" s="375" t="s">
        <v>623</v>
      </c>
      <c r="Q1368" s="372" t="s">
        <v>623</v>
      </c>
      <c r="R1368" s="695">
        <v>20160920</v>
      </c>
      <c r="S1368" s="372" t="s">
        <v>9280</v>
      </c>
      <c r="T1368" s="696">
        <v>0.20900000000000002</v>
      </c>
      <c r="U1368" s="372" t="s">
        <v>9281</v>
      </c>
      <c r="V1368" s="722">
        <v>6.81</v>
      </c>
      <c r="W1368" s="722">
        <v>0.79</v>
      </c>
      <c r="X1368" s="722">
        <v>1.01</v>
      </c>
      <c r="Y1368" s="722">
        <v>11.3</v>
      </c>
      <c r="Z1368" s="382" t="s">
        <v>934</v>
      </c>
      <c r="AA1368" s="372">
        <v>754.26976309999998</v>
      </c>
      <c r="AB1368" s="372">
        <v>798.62819030000003</v>
      </c>
      <c r="AC1368" s="372">
        <v>823.72227499999997</v>
      </c>
      <c r="AD1368" s="372">
        <v>1018.9397585</v>
      </c>
      <c r="AE1368" s="372">
        <v>1080</v>
      </c>
      <c r="AF1368" s="372">
        <v>0</v>
      </c>
      <c r="AG1368" s="372">
        <v>0</v>
      </c>
      <c r="AH1368" s="372">
        <v>0</v>
      </c>
    </row>
    <row r="1369" spans="1:34">
      <c r="A1369" s="372" t="s">
        <v>9282</v>
      </c>
      <c r="B1369" s="373" t="s">
        <v>9283</v>
      </c>
      <c r="C1369" s="372" t="s">
        <v>9284</v>
      </c>
      <c r="D1369" s="374">
        <v>1943110003995</v>
      </c>
      <c r="E1369" s="372" t="s">
        <v>9285</v>
      </c>
      <c r="F1369" s="372" t="s">
        <v>2030</v>
      </c>
      <c r="G1369" s="375" t="s">
        <v>2030</v>
      </c>
      <c r="H1369" s="375" t="s">
        <v>868</v>
      </c>
      <c r="I1369" s="375" t="s">
        <v>869</v>
      </c>
      <c r="J1369" s="375">
        <v>347995.61277000001</v>
      </c>
      <c r="K1369" s="375">
        <v>8384.6975399999992</v>
      </c>
      <c r="L1369" s="375">
        <v>9410.5741099999996</v>
      </c>
      <c r="M1369" s="375">
        <v>82339.541700000002</v>
      </c>
      <c r="N1369" s="372">
        <v>1.181</v>
      </c>
      <c r="O1369" s="703">
        <v>74.322932914521189</v>
      </c>
      <c r="P1369" s="375" t="s">
        <v>623</v>
      </c>
      <c r="Q1369" s="375" t="s">
        <v>623</v>
      </c>
      <c r="R1369" s="695">
        <v>20030210</v>
      </c>
      <c r="S1369" s="372" t="s">
        <v>9286</v>
      </c>
      <c r="T1369" s="696">
        <v>0.20900000000000002</v>
      </c>
      <c r="U1369" s="372" t="s">
        <v>9287</v>
      </c>
      <c r="V1369" s="722">
        <v>6.11</v>
      </c>
      <c r="W1369" s="722">
        <v>1.21</v>
      </c>
      <c r="X1369" s="722">
        <v>0.28999999999999998</v>
      </c>
      <c r="Y1369" s="722">
        <v>9.74</v>
      </c>
      <c r="Z1369" s="382" t="s">
        <v>934</v>
      </c>
      <c r="AA1369" s="372">
        <v>2286.7998281999999</v>
      </c>
      <c r="AB1369" s="372">
        <v>3103.8689217000001</v>
      </c>
      <c r="AC1369" s="372">
        <v>3253.4061501000001</v>
      </c>
      <c r="AD1369" s="372">
        <v>3479.9561276999998</v>
      </c>
      <c r="AE1369" s="372">
        <v>4209</v>
      </c>
      <c r="AF1369" s="372">
        <v>4713</v>
      </c>
      <c r="AG1369" s="372">
        <v>0</v>
      </c>
      <c r="AH1369" s="372">
        <v>0</v>
      </c>
    </row>
    <row r="1370" spans="1:34">
      <c r="A1370" s="372" t="s">
        <v>9288</v>
      </c>
      <c r="B1370" s="373" t="s">
        <v>9289</v>
      </c>
      <c r="C1370" s="372" t="s">
        <v>9290</v>
      </c>
      <c r="D1370" s="374">
        <v>1345110051645</v>
      </c>
      <c r="E1370" s="372" t="s">
        <v>9291</v>
      </c>
      <c r="F1370" s="375" t="s">
        <v>2450</v>
      </c>
      <c r="G1370" s="375" t="s">
        <v>6132</v>
      </c>
      <c r="H1370" s="375" t="s">
        <v>868</v>
      </c>
      <c r="I1370" s="375" t="s">
        <v>869</v>
      </c>
      <c r="J1370" s="375">
        <v>268503.73933000001</v>
      </c>
      <c r="K1370" s="375">
        <v>3937.25938</v>
      </c>
      <c r="L1370" s="375">
        <v>1653.8352299999999</v>
      </c>
      <c r="M1370" s="375">
        <v>86466.087039999999</v>
      </c>
      <c r="N1370" s="372">
        <v>1.224</v>
      </c>
      <c r="O1370" s="703">
        <v>86.456013036597426</v>
      </c>
      <c r="P1370" s="375" t="s">
        <v>623</v>
      </c>
      <c r="Q1370" s="375" t="s">
        <v>623</v>
      </c>
      <c r="R1370" s="695">
        <v>20090417</v>
      </c>
      <c r="S1370" s="375" t="s">
        <v>9292</v>
      </c>
      <c r="T1370" s="696">
        <v>0.20900000000000002</v>
      </c>
      <c r="U1370" s="372" t="s">
        <v>9293</v>
      </c>
      <c r="V1370" s="722">
        <v>14.04</v>
      </c>
      <c r="W1370" s="722">
        <v>1.26</v>
      </c>
      <c r="X1370" s="722">
        <v>0.4</v>
      </c>
      <c r="Y1370" s="722">
        <v>67.98</v>
      </c>
      <c r="Z1370" s="382" t="s">
        <v>934</v>
      </c>
      <c r="AA1370" s="372">
        <v>2401.1470030999999</v>
      </c>
      <c r="AB1370" s="372">
        <v>2599.4374609000001</v>
      </c>
      <c r="AC1370" s="372">
        <v>2495.2303439000002</v>
      </c>
      <c r="AD1370" s="372">
        <v>2685.0373933000001</v>
      </c>
      <c r="AE1370" s="372">
        <v>0</v>
      </c>
      <c r="AF1370" s="372">
        <v>0</v>
      </c>
      <c r="AG1370" s="372">
        <v>0</v>
      </c>
      <c r="AH1370" s="372">
        <v>0</v>
      </c>
    </row>
    <row r="1371" spans="1:34">
      <c r="A1371" s="372" t="s">
        <v>9294</v>
      </c>
      <c r="B1371" s="373" t="s">
        <v>9295</v>
      </c>
      <c r="C1371" s="372" t="s">
        <v>9296</v>
      </c>
      <c r="D1371" s="374">
        <v>1101110012776</v>
      </c>
      <c r="E1371" s="372" t="s">
        <v>9297</v>
      </c>
      <c r="F1371" s="375" t="s">
        <v>1334</v>
      </c>
      <c r="G1371" s="375" t="s">
        <v>1334</v>
      </c>
      <c r="H1371" s="375" t="s">
        <v>788</v>
      </c>
      <c r="I1371" s="375" t="s">
        <v>755</v>
      </c>
      <c r="J1371" s="375">
        <v>638447.51766999997</v>
      </c>
      <c r="K1371" s="375">
        <v>-79561.775819999995</v>
      </c>
      <c r="L1371" s="375">
        <v>-132076.82423</v>
      </c>
      <c r="M1371" s="375">
        <v>169901.85042</v>
      </c>
      <c r="N1371" s="372">
        <v>1.081</v>
      </c>
      <c r="O1371" s="703">
        <v>368.12011873644019</v>
      </c>
      <c r="P1371" s="375" t="s">
        <v>623</v>
      </c>
      <c r="Q1371" s="372" t="s">
        <v>623</v>
      </c>
      <c r="R1371" s="695">
        <v>19750628</v>
      </c>
      <c r="S1371" s="372" t="s">
        <v>9298</v>
      </c>
      <c r="T1371" s="696" t="s">
        <v>772</v>
      </c>
      <c r="U1371" s="372" t="s">
        <v>9299</v>
      </c>
      <c r="V1371" s="722" t="s">
        <v>774</v>
      </c>
      <c r="W1371" s="722">
        <v>3.06</v>
      </c>
      <c r="X1371" s="722">
        <v>0.19</v>
      </c>
      <c r="Y1371" s="722" t="s">
        <v>774</v>
      </c>
      <c r="Z1371" s="382" t="s">
        <v>934</v>
      </c>
      <c r="AA1371" s="372">
        <v>5964.6891349999996</v>
      </c>
      <c r="AB1371" s="372">
        <v>5923.7454592000004</v>
      </c>
      <c r="AC1371" s="372">
        <v>6755.3971732999998</v>
      </c>
      <c r="AD1371" s="372">
        <v>6384.4751766999998</v>
      </c>
      <c r="AE1371" s="372">
        <v>0</v>
      </c>
      <c r="AF1371" s="372">
        <v>0</v>
      </c>
      <c r="AG1371" s="372">
        <v>0</v>
      </c>
      <c r="AH1371" s="372">
        <v>0</v>
      </c>
    </row>
    <row r="1372" spans="1:34">
      <c r="A1372" s="372" t="s">
        <v>9300</v>
      </c>
      <c r="B1372" s="373" t="s">
        <v>9301</v>
      </c>
      <c r="C1372" s="372" t="s">
        <v>9302</v>
      </c>
      <c r="D1372" s="374">
        <v>1511110053458</v>
      </c>
      <c r="E1372" s="372" t="s">
        <v>9303</v>
      </c>
      <c r="F1372" s="372" t="s">
        <v>1592</v>
      </c>
      <c r="G1372" s="375" t="s">
        <v>1592</v>
      </c>
      <c r="H1372" s="375" t="s">
        <v>868</v>
      </c>
      <c r="I1372" s="375" t="s">
        <v>869</v>
      </c>
      <c r="J1372" s="375">
        <v>0</v>
      </c>
      <c r="K1372" s="375">
        <v>0</v>
      </c>
      <c r="L1372" s="375">
        <v>0</v>
      </c>
      <c r="M1372" s="375">
        <v>46233.163950000002</v>
      </c>
      <c r="N1372" s="372" t="s">
        <v>1033</v>
      </c>
      <c r="O1372" s="703">
        <v>20.767902298650835</v>
      </c>
      <c r="P1372" s="375" t="s">
        <v>623</v>
      </c>
      <c r="Q1372" s="375" t="s">
        <v>623</v>
      </c>
      <c r="R1372" s="695">
        <v>20231113</v>
      </c>
      <c r="S1372" s="375" t="s">
        <v>9304</v>
      </c>
      <c r="T1372" s="696" t="s">
        <v>772</v>
      </c>
      <c r="U1372" s="372" t="s">
        <v>9305</v>
      </c>
      <c r="V1372" s="722">
        <v>0</v>
      </c>
      <c r="W1372" s="722">
        <v>2.71</v>
      </c>
      <c r="X1372" s="722">
        <v>0</v>
      </c>
      <c r="Y1372" s="722">
        <v>0</v>
      </c>
      <c r="Z1372" s="382" t="s">
        <v>934</v>
      </c>
      <c r="AA1372" s="372">
        <v>493.68684280000002</v>
      </c>
      <c r="AB1372" s="372">
        <v>673.32006569999999</v>
      </c>
      <c r="AC1372" s="372">
        <v>1000.5083879</v>
      </c>
      <c r="AD1372" s="372">
        <v>1197.5658309999999</v>
      </c>
      <c r="AE1372" s="372">
        <v>0</v>
      </c>
      <c r="AF1372" s="372">
        <v>0</v>
      </c>
      <c r="AG1372" s="372">
        <v>0</v>
      </c>
      <c r="AH1372" s="372">
        <v>0</v>
      </c>
    </row>
    <row r="1373" spans="1:34">
      <c r="A1373" s="372" t="s">
        <v>9306</v>
      </c>
      <c r="B1373" s="373" t="s">
        <v>9307</v>
      </c>
      <c r="C1373" s="372" t="s">
        <v>9308</v>
      </c>
      <c r="D1373" s="374">
        <v>1201110388092</v>
      </c>
      <c r="E1373" s="372" t="s">
        <v>9309</v>
      </c>
      <c r="F1373" s="375" t="s">
        <v>786</v>
      </c>
      <c r="G1373" s="375" t="s">
        <v>786</v>
      </c>
      <c r="H1373" s="375" t="s">
        <v>868</v>
      </c>
      <c r="I1373" s="375" t="s">
        <v>869</v>
      </c>
      <c r="J1373" s="375">
        <v>15592.09013</v>
      </c>
      <c r="K1373" s="375">
        <v>5034.0009200000004</v>
      </c>
      <c r="L1373" s="375">
        <v>7151.9436900000001</v>
      </c>
      <c r="M1373" s="375">
        <v>58616.934670000002</v>
      </c>
      <c r="N1373" s="372">
        <v>1.0189999999999999</v>
      </c>
      <c r="O1373" s="703">
        <v>1.0016778340261105</v>
      </c>
      <c r="P1373" s="375" t="s">
        <v>623</v>
      </c>
      <c r="Q1373" s="372" t="s">
        <v>623</v>
      </c>
      <c r="R1373" s="695">
        <v>20220221</v>
      </c>
      <c r="S1373" s="372" t="s">
        <v>9310</v>
      </c>
      <c r="T1373" s="696">
        <v>0.20900000000000002</v>
      </c>
      <c r="U1373" s="372" t="s">
        <v>9311</v>
      </c>
      <c r="V1373" s="722">
        <v>0</v>
      </c>
      <c r="W1373" s="722">
        <v>1.99</v>
      </c>
      <c r="X1373" s="722">
        <v>0</v>
      </c>
      <c r="Y1373" s="722">
        <v>0</v>
      </c>
      <c r="Z1373" s="382" t="s">
        <v>934</v>
      </c>
      <c r="AA1373" s="372">
        <v>86.397426499999995</v>
      </c>
      <c r="AB1373" s="372">
        <v>119.7217429</v>
      </c>
      <c r="AC1373" s="372">
        <v>158.55322570000001</v>
      </c>
      <c r="AD1373" s="372">
        <v>155.9209013</v>
      </c>
      <c r="AE1373" s="372">
        <v>0</v>
      </c>
      <c r="AF1373" s="372">
        <v>0</v>
      </c>
      <c r="AG1373" s="372">
        <v>0</v>
      </c>
      <c r="AH1373" s="372">
        <v>0</v>
      </c>
    </row>
    <row r="1374" spans="1:34">
      <c r="A1374" s="372" t="s">
        <v>9312</v>
      </c>
      <c r="B1374" s="373" t="s">
        <v>9313</v>
      </c>
      <c r="C1374" s="372" t="s">
        <v>9314</v>
      </c>
      <c r="D1374" s="374">
        <v>1101113069534</v>
      </c>
      <c r="E1374" s="372" t="s">
        <v>9315</v>
      </c>
      <c r="F1374" s="375" t="s">
        <v>1334</v>
      </c>
      <c r="G1374" s="375" t="s">
        <v>1334</v>
      </c>
      <c r="H1374" s="375" t="s">
        <v>868</v>
      </c>
      <c r="I1374" s="375" t="s">
        <v>869</v>
      </c>
      <c r="J1374" s="375">
        <v>80119.449779999995</v>
      </c>
      <c r="K1374" s="375">
        <v>7909.4237899999998</v>
      </c>
      <c r="L1374" s="375">
        <v>9140.8033799999994</v>
      </c>
      <c r="M1374" s="375">
        <v>90277.966709999993</v>
      </c>
      <c r="N1374" s="372">
        <v>0.81799999999999995</v>
      </c>
      <c r="O1374" s="703">
        <v>18.615108439751918</v>
      </c>
      <c r="P1374" s="375" t="s">
        <v>623</v>
      </c>
      <c r="Q1374" s="372" t="s">
        <v>623</v>
      </c>
      <c r="R1374" s="695">
        <v>20200703</v>
      </c>
      <c r="S1374" s="372" t="s">
        <v>9316</v>
      </c>
      <c r="T1374" s="696">
        <v>0.20900000000000002</v>
      </c>
      <c r="U1374" s="372" t="s">
        <v>9317</v>
      </c>
      <c r="V1374" s="722">
        <v>0</v>
      </c>
      <c r="W1374" s="722">
        <v>1.42</v>
      </c>
      <c r="X1374" s="722">
        <v>0</v>
      </c>
      <c r="Y1374" s="722">
        <v>0</v>
      </c>
      <c r="Z1374" s="382" t="s">
        <v>934</v>
      </c>
      <c r="AA1374" s="372">
        <v>523.93203840000001</v>
      </c>
      <c r="AB1374" s="372">
        <v>574.18806099999995</v>
      </c>
      <c r="AC1374" s="372">
        <v>646.80375719999995</v>
      </c>
      <c r="AD1374" s="372">
        <v>801.19449780000002</v>
      </c>
      <c r="AE1374" s="372">
        <v>0</v>
      </c>
      <c r="AF1374" s="372">
        <v>0</v>
      </c>
      <c r="AG1374" s="372">
        <v>0</v>
      </c>
      <c r="AH1374" s="372">
        <v>0</v>
      </c>
    </row>
    <row r="1375" spans="1:34">
      <c r="A1375" s="372" t="s">
        <v>9318</v>
      </c>
      <c r="B1375" s="373" t="s">
        <v>9319</v>
      </c>
      <c r="C1375" s="372" t="s">
        <v>9320</v>
      </c>
      <c r="D1375" s="374">
        <v>1643110019980</v>
      </c>
      <c r="E1375" s="372" t="s">
        <v>9321</v>
      </c>
      <c r="F1375" s="372" t="s">
        <v>9322</v>
      </c>
      <c r="G1375" s="375" t="s">
        <v>9322</v>
      </c>
      <c r="H1375" s="375" t="s">
        <v>868</v>
      </c>
      <c r="I1375" s="375" t="s">
        <v>869</v>
      </c>
      <c r="J1375" s="375">
        <v>0</v>
      </c>
      <c r="K1375" s="375">
        <v>0</v>
      </c>
      <c r="L1375" s="375">
        <v>0</v>
      </c>
      <c r="M1375" s="375">
        <v>38527.920769999997</v>
      </c>
      <c r="N1375" s="372" t="s">
        <v>1033</v>
      </c>
      <c r="O1375" s="703">
        <v>12.892378791431424</v>
      </c>
      <c r="P1375" s="375" t="s">
        <v>623</v>
      </c>
      <c r="Q1375" s="372" t="s">
        <v>623</v>
      </c>
      <c r="R1375" s="695">
        <v>20230919</v>
      </c>
      <c r="S1375" s="372" t="s">
        <v>9323</v>
      </c>
      <c r="T1375" s="696" t="s">
        <v>772</v>
      </c>
      <c r="U1375" s="372" t="s">
        <v>9324</v>
      </c>
      <c r="V1375" s="722">
        <v>0</v>
      </c>
      <c r="W1375" s="722">
        <v>3.24</v>
      </c>
      <c r="X1375" s="722">
        <v>0</v>
      </c>
      <c r="Y1375" s="722">
        <v>0</v>
      </c>
      <c r="Z1375" s="382" t="s">
        <v>934</v>
      </c>
      <c r="AA1375" s="372">
        <v>231.66599099999999</v>
      </c>
      <c r="AB1375" s="372">
        <v>466.55891810000003</v>
      </c>
      <c r="AC1375" s="372">
        <v>449.4042445</v>
      </c>
      <c r="AD1375" s="372">
        <v>565.76333039999997</v>
      </c>
      <c r="AE1375" s="372">
        <v>0</v>
      </c>
      <c r="AF1375" s="372">
        <v>0</v>
      </c>
      <c r="AG1375" s="372">
        <v>0</v>
      </c>
      <c r="AH1375" s="372">
        <v>0</v>
      </c>
    </row>
    <row r="1376" spans="1:34">
      <c r="A1376" s="372" t="s">
        <v>9325</v>
      </c>
      <c r="B1376" s="373" t="s">
        <v>9326</v>
      </c>
      <c r="C1376" s="372" t="s">
        <v>9327</v>
      </c>
      <c r="D1376" s="374">
        <v>1101116042066</v>
      </c>
      <c r="E1376" s="372" t="s">
        <v>9328</v>
      </c>
      <c r="F1376" s="375" t="s">
        <v>1195</v>
      </c>
      <c r="G1376" s="375" t="s">
        <v>1196</v>
      </c>
      <c r="H1376" s="375" t="s">
        <v>1388</v>
      </c>
      <c r="I1376" s="375" t="s">
        <v>869</v>
      </c>
      <c r="J1376" s="375">
        <v>0</v>
      </c>
      <c r="K1376" s="375">
        <v>0</v>
      </c>
      <c r="L1376" s="375">
        <v>0</v>
      </c>
      <c r="M1376" s="375">
        <v>48614.683669999999</v>
      </c>
      <c r="N1376" s="372" t="s">
        <v>1033</v>
      </c>
      <c r="O1376" s="703">
        <v>22.126973342939536</v>
      </c>
      <c r="P1376" s="375" t="s">
        <v>623</v>
      </c>
      <c r="Q1376" s="375" t="s">
        <v>623</v>
      </c>
      <c r="R1376" s="695">
        <v>20221028</v>
      </c>
      <c r="S1376" s="375" t="s">
        <v>9329</v>
      </c>
      <c r="T1376" s="696" t="s">
        <v>772</v>
      </c>
      <c r="U1376" s="372" t="s">
        <v>9330</v>
      </c>
      <c r="V1376" s="722">
        <v>0</v>
      </c>
      <c r="W1376" s="722">
        <v>1.82</v>
      </c>
      <c r="X1376" s="722">
        <v>0</v>
      </c>
      <c r="Y1376" s="722">
        <v>0</v>
      </c>
      <c r="Z1376" s="382" t="s">
        <v>934</v>
      </c>
      <c r="AA1376" s="372">
        <v>455.77744100000001</v>
      </c>
      <c r="AB1376" s="372">
        <v>448.26694859999998</v>
      </c>
      <c r="AC1376" s="372">
        <v>460.9864834</v>
      </c>
      <c r="AD1376" s="372">
        <v>359.3363286</v>
      </c>
      <c r="AE1376" s="372">
        <v>430</v>
      </c>
      <c r="AF1376" s="372">
        <v>540</v>
      </c>
      <c r="AG1376" s="372">
        <v>0</v>
      </c>
      <c r="AH1376" s="372">
        <v>0</v>
      </c>
    </row>
    <row r="1377" spans="1:34">
      <c r="A1377" s="372" t="s">
        <v>9331</v>
      </c>
      <c r="B1377" s="373" t="s">
        <v>9332</v>
      </c>
      <c r="C1377" s="372" t="s">
        <v>9333</v>
      </c>
      <c r="D1377" s="374">
        <v>1701110003814</v>
      </c>
      <c r="E1377" s="372" t="s">
        <v>9334</v>
      </c>
      <c r="F1377" s="372" t="s">
        <v>1665</v>
      </c>
      <c r="G1377" s="375" t="s">
        <v>1666</v>
      </c>
      <c r="H1377" s="375" t="s">
        <v>853</v>
      </c>
      <c r="I1377" s="375" t="s">
        <v>755</v>
      </c>
      <c r="J1377" s="375">
        <v>67645.316940000004</v>
      </c>
      <c r="K1377" s="375">
        <v>-15147.32656</v>
      </c>
      <c r="L1377" s="375">
        <v>-29877.217110000001</v>
      </c>
      <c r="M1377" s="375">
        <v>197437.29214000001</v>
      </c>
      <c r="N1377" s="372">
        <v>0.49</v>
      </c>
      <c r="O1377" s="703">
        <v>423.34196451440579</v>
      </c>
      <c r="P1377" s="375" t="s">
        <v>623</v>
      </c>
      <c r="Q1377" s="375" t="s">
        <v>623</v>
      </c>
      <c r="R1377" s="695">
        <v>19881010</v>
      </c>
      <c r="S1377" s="372" t="s">
        <v>9335</v>
      </c>
      <c r="T1377" s="696" t="s">
        <v>772</v>
      </c>
      <c r="U1377" s="372" t="s">
        <v>9336</v>
      </c>
      <c r="V1377" s="722" t="s">
        <v>774</v>
      </c>
      <c r="W1377" s="722">
        <v>0.42</v>
      </c>
      <c r="X1377" s="722">
        <v>1.45</v>
      </c>
      <c r="Y1377" s="722" t="s">
        <v>774</v>
      </c>
      <c r="Z1377" s="382" t="s">
        <v>934</v>
      </c>
      <c r="AA1377" s="372">
        <v>911.09594909999998</v>
      </c>
      <c r="AB1377" s="372">
        <v>817.94091560000004</v>
      </c>
      <c r="AC1377" s="372">
        <v>758.99713350000002</v>
      </c>
      <c r="AD1377" s="372">
        <v>676.45316939999998</v>
      </c>
      <c r="AE1377" s="372">
        <v>0</v>
      </c>
      <c r="AF1377" s="372">
        <v>0</v>
      </c>
      <c r="AG1377" s="372">
        <v>0</v>
      </c>
      <c r="AH1377" s="372">
        <v>0</v>
      </c>
    </row>
    <row r="1378" spans="1:34">
      <c r="A1378" s="372" t="s">
        <v>9337</v>
      </c>
      <c r="B1378" s="373" t="s">
        <v>9338</v>
      </c>
      <c r="C1378" s="372" t="s">
        <v>9339</v>
      </c>
      <c r="D1378" s="374">
        <v>2001110115802</v>
      </c>
      <c r="E1378" s="372" t="s">
        <v>9340</v>
      </c>
      <c r="F1378" s="375" t="s">
        <v>786</v>
      </c>
      <c r="G1378" s="375" t="s">
        <v>787</v>
      </c>
      <c r="H1378" s="375" t="s">
        <v>868</v>
      </c>
      <c r="I1378" s="375" t="s">
        <v>869</v>
      </c>
      <c r="J1378" s="375">
        <v>5610.9129999999996</v>
      </c>
      <c r="K1378" s="375">
        <v>-6716.7610699999996</v>
      </c>
      <c r="L1378" s="375">
        <v>-9079.3891899999999</v>
      </c>
      <c r="M1378" s="375">
        <v>10519.978069999999</v>
      </c>
      <c r="N1378" s="372">
        <v>0.72799999999999998</v>
      </c>
      <c r="O1378" s="703">
        <v>8.0956079283544256</v>
      </c>
      <c r="P1378" s="375" t="s">
        <v>623</v>
      </c>
      <c r="Q1378" s="372" t="s">
        <v>623</v>
      </c>
      <c r="R1378" s="695">
        <v>20161207</v>
      </c>
      <c r="S1378" s="372" t="s">
        <v>9341</v>
      </c>
      <c r="T1378" s="696" t="s">
        <v>772</v>
      </c>
      <c r="U1378" s="372" t="s">
        <v>9342</v>
      </c>
      <c r="V1378" s="722">
        <v>0</v>
      </c>
      <c r="W1378" s="722">
        <v>8.3000000000000007</v>
      </c>
      <c r="X1378" s="722">
        <v>0</v>
      </c>
      <c r="Y1378" s="722">
        <v>0</v>
      </c>
      <c r="Z1378" s="382" t="s">
        <v>934</v>
      </c>
      <c r="AA1378" s="372">
        <v>85.160252299999996</v>
      </c>
      <c r="AB1378" s="372">
        <v>102.6684882</v>
      </c>
      <c r="AC1378" s="372">
        <v>86.622601399999994</v>
      </c>
      <c r="AD1378" s="372">
        <v>56.10913</v>
      </c>
      <c r="AE1378" s="372">
        <v>0</v>
      </c>
      <c r="AF1378" s="372">
        <v>0</v>
      </c>
      <c r="AG1378" s="372">
        <v>0</v>
      </c>
      <c r="AH1378" s="372">
        <v>0</v>
      </c>
    </row>
    <row r="1379" spans="1:34">
      <c r="A1379" s="372" t="s">
        <v>9343</v>
      </c>
      <c r="B1379" s="373" t="s">
        <v>9344</v>
      </c>
      <c r="C1379" s="372" t="s">
        <v>9345</v>
      </c>
      <c r="D1379" s="374">
        <v>1101114694679</v>
      </c>
      <c r="E1379" s="372" t="s">
        <v>9346</v>
      </c>
      <c r="F1379" s="375" t="s">
        <v>2147</v>
      </c>
      <c r="G1379" s="375" t="s">
        <v>4273</v>
      </c>
      <c r="H1379" s="375" t="s">
        <v>868</v>
      </c>
      <c r="I1379" s="375" t="s">
        <v>869</v>
      </c>
      <c r="J1379" s="375">
        <v>6589.2174699999996</v>
      </c>
      <c r="K1379" s="375">
        <v>-39367.250529999998</v>
      </c>
      <c r="L1379" s="375">
        <v>-62315.059220000003</v>
      </c>
      <c r="M1379" s="375">
        <v>58875.180050000003</v>
      </c>
      <c r="N1379" s="372">
        <v>0.60699999999999998</v>
      </c>
      <c r="O1379" s="703">
        <v>11.394664341697448</v>
      </c>
      <c r="P1379" s="375" t="s">
        <v>623</v>
      </c>
      <c r="Q1379" s="372" t="s">
        <v>623</v>
      </c>
      <c r="R1379" s="695">
        <v>20200914</v>
      </c>
      <c r="S1379" s="372" t="s">
        <v>9347</v>
      </c>
      <c r="T1379" s="696" t="s">
        <v>772</v>
      </c>
      <c r="U1379" s="372" t="s">
        <v>9348</v>
      </c>
      <c r="V1379" s="722" t="s">
        <v>774</v>
      </c>
      <c r="W1379" s="722">
        <v>2.4300000000000002</v>
      </c>
      <c r="X1379" s="722">
        <v>19.260000000000002</v>
      </c>
      <c r="Y1379" s="722" t="s">
        <v>774</v>
      </c>
      <c r="Z1379" s="382" t="s">
        <v>934</v>
      </c>
      <c r="AA1379" s="372">
        <v>0.2165455</v>
      </c>
      <c r="AB1379" s="372">
        <v>6.9326749999999997</v>
      </c>
      <c r="AC1379" s="372">
        <v>67.078761799999995</v>
      </c>
      <c r="AD1379" s="372">
        <v>65.892174699999998</v>
      </c>
      <c r="AE1379" s="372">
        <v>684</v>
      </c>
      <c r="AF1379" s="372">
        <v>988</v>
      </c>
      <c r="AG1379" s="372">
        <v>0</v>
      </c>
      <c r="AH1379" s="372">
        <v>0</v>
      </c>
    </row>
    <row r="1380" spans="1:34">
      <c r="A1380" s="372" t="s">
        <v>9349</v>
      </c>
      <c r="B1380" s="373" t="s">
        <v>9350</v>
      </c>
      <c r="C1380" s="372" t="s">
        <v>9351</v>
      </c>
      <c r="D1380" s="374">
        <v>1348110015546</v>
      </c>
      <c r="E1380" s="372" t="s">
        <v>9352</v>
      </c>
      <c r="F1380" s="375" t="s">
        <v>1286</v>
      </c>
      <c r="G1380" s="375" t="s">
        <v>1736</v>
      </c>
      <c r="H1380" s="375" t="s">
        <v>1388</v>
      </c>
      <c r="I1380" s="375" t="s">
        <v>869</v>
      </c>
      <c r="J1380" s="375">
        <v>56635.889289999999</v>
      </c>
      <c r="K1380" s="375">
        <v>2126.0266099999999</v>
      </c>
      <c r="L1380" s="375">
        <v>3306.6941700000002</v>
      </c>
      <c r="M1380" s="375">
        <v>68193.495999999999</v>
      </c>
      <c r="N1380" s="372">
        <v>0.92400000000000004</v>
      </c>
      <c r="O1380" s="703">
        <v>2.5748652881143674</v>
      </c>
      <c r="P1380" s="375" t="s">
        <v>623</v>
      </c>
      <c r="Q1380" s="372" t="s">
        <v>623</v>
      </c>
      <c r="R1380" s="695">
        <v>20000822</v>
      </c>
      <c r="S1380" s="372" t="s">
        <v>9353</v>
      </c>
      <c r="T1380" s="696">
        <v>0.20900000000000002</v>
      </c>
      <c r="U1380" s="372" t="s">
        <v>9354</v>
      </c>
      <c r="V1380" s="722">
        <v>26</v>
      </c>
      <c r="W1380" s="722">
        <v>1.46</v>
      </c>
      <c r="X1380" s="722">
        <v>1.94</v>
      </c>
      <c r="Y1380" s="722">
        <v>43.83</v>
      </c>
      <c r="Z1380" s="382" t="s">
        <v>934</v>
      </c>
      <c r="AA1380" s="372">
        <v>361.92298369999997</v>
      </c>
      <c r="AB1380" s="372">
        <v>452.11941209999998</v>
      </c>
      <c r="AC1380" s="372">
        <v>416.02729470000003</v>
      </c>
      <c r="AD1380" s="372">
        <v>566.3588929</v>
      </c>
      <c r="AE1380" s="372">
        <v>0</v>
      </c>
      <c r="AF1380" s="372">
        <v>0</v>
      </c>
      <c r="AG1380" s="372">
        <v>0</v>
      </c>
      <c r="AH1380" s="372">
        <v>0</v>
      </c>
    </row>
    <row r="1381" spans="1:34">
      <c r="A1381" s="372" t="s">
        <v>9355</v>
      </c>
      <c r="B1381" s="373" t="s">
        <v>9356</v>
      </c>
      <c r="C1381" s="372" t="s">
        <v>9357</v>
      </c>
      <c r="D1381" s="374">
        <v>1243110000812</v>
      </c>
      <c r="E1381" s="372" t="s">
        <v>9358</v>
      </c>
      <c r="F1381" s="375" t="s">
        <v>1334</v>
      </c>
      <c r="G1381" s="375" t="s">
        <v>1334</v>
      </c>
      <c r="H1381" s="375" t="s">
        <v>788</v>
      </c>
      <c r="I1381" s="375" t="s">
        <v>755</v>
      </c>
      <c r="J1381" s="375">
        <v>166778.82565000001</v>
      </c>
      <c r="K1381" s="375">
        <v>9126.7981600000003</v>
      </c>
      <c r="L1381" s="375">
        <v>7991.2090799999996</v>
      </c>
      <c r="M1381" s="375">
        <v>228211.31064000001</v>
      </c>
      <c r="N1381" s="372">
        <v>0.91</v>
      </c>
      <c r="O1381" s="703">
        <v>39.345779398170436</v>
      </c>
      <c r="P1381" s="375" t="s">
        <v>623</v>
      </c>
      <c r="Q1381" s="375" t="s">
        <v>623</v>
      </c>
      <c r="R1381" s="695">
        <v>19900615</v>
      </c>
      <c r="S1381" s="372" t="s">
        <v>9359</v>
      </c>
      <c r="T1381" s="696">
        <v>0.20900000000000002</v>
      </c>
      <c r="U1381" s="372" t="s">
        <v>16059</v>
      </c>
      <c r="V1381" s="722">
        <v>8.3800000000000008</v>
      </c>
      <c r="W1381" s="722">
        <v>0.49</v>
      </c>
      <c r="X1381" s="722">
        <v>0.62</v>
      </c>
      <c r="Y1381" s="722">
        <v>18.11</v>
      </c>
      <c r="Z1381" s="382" t="s">
        <v>934</v>
      </c>
      <c r="AA1381" s="372">
        <v>966.14310439999997</v>
      </c>
      <c r="AB1381" s="372">
        <v>1098.6606681000001</v>
      </c>
      <c r="AC1381" s="372">
        <v>1509.3071537000001</v>
      </c>
      <c r="AD1381" s="372">
        <v>1667.7882565</v>
      </c>
      <c r="AE1381" s="372">
        <v>0</v>
      </c>
      <c r="AF1381" s="372">
        <v>0</v>
      </c>
      <c r="AG1381" s="372">
        <v>0</v>
      </c>
      <c r="AH1381" s="372">
        <v>0</v>
      </c>
    </row>
    <row r="1382" spans="1:34">
      <c r="A1382" s="372" t="s">
        <v>9360</v>
      </c>
      <c r="B1382" s="373" t="s">
        <v>9361</v>
      </c>
      <c r="C1382" s="372" t="s">
        <v>9362</v>
      </c>
      <c r="D1382" s="374">
        <v>1243110039762</v>
      </c>
      <c r="E1382" s="372" t="s">
        <v>9363</v>
      </c>
      <c r="F1382" s="375" t="s">
        <v>2880</v>
      </c>
      <c r="G1382" s="375" t="s">
        <v>2880</v>
      </c>
      <c r="H1382" s="375" t="s">
        <v>1348</v>
      </c>
      <c r="I1382" s="375" t="s">
        <v>869</v>
      </c>
      <c r="J1382" s="375">
        <v>113358.98951</v>
      </c>
      <c r="K1382" s="375">
        <v>16377.319939999999</v>
      </c>
      <c r="L1382" s="375">
        <v>16768.691930000001</v>
      </c>
      <c r="M1382" s="375">
        <v>83943.620309999998</v>
      </c>
      <c r="N1382" s="372">
        <v>0.46400000000000002</v>
      </c>
      <c r="O1382" s="703">
        <v>6.2586744952494415</v>
      </c>
      <c r="P1382" s="375" t="s">
        <v>623</v>
      </c>
      <c r="Q1382" s="372" t="s">
        <v>623</v>
      </c>
      <c r="R1382" s="695">
        <v>20000728</v>
      </c>
      <c r="S1382" s="372" t="s">
        <v>9364</v>
      </c>
      <c r="T1382" s="696">
        <v>0.20900000000000002</v>
      </c>
      <c r="U1382" s="372" t="s">
        <v>9365</v>
      </c>
      <c r="V1382" s="722">
        <v>4.5999999999999996</v>
      </c>
      <c r="W1382" s="722">
        <v>1.19</v>
      </c>
      <c r="X1382" s="722">
        <v>0.97</v>
      </c>
      <c r="Y1382" s="722">
        <v>8.24</v>
      </c>
      <c r="Z1382" s="382">
        <v>-1.2262892603046138E-2</v>
      </c>
      <c r="AA1382" s="372">
        <v>853.88337430000001</v>
      </c>
      <c r="AB1382" s="372">
        <v>1017.1428268</v>
      </c>
      <c r="AC1382" s="372">
        <v>1107.917631</v>
      </c>
      <c r="AD1382" s="372">
        <v>1133.5898950999999</v>
      </c>
      <c r="AE1382" s="372">
        <v>1089</v>
      </c>
      <c r="AF1382" s="372">
        <v>1083</v>
      </c>
      <c r="AG1382" s="372">
        <v>1079</v>
      </c>
      <c r="AH1382" s="372">
        <v>1079</v>
      </c>
    </row>
    <row r="1383" spans="1:34">
      <c r="A1383" s="372" t="s">
        <v>9366</v>
      </c>
      <c r="B1383" s="373" t="s">
        <v>9367</v>
      </c>
      <c r="C1383" s="372" t="s">
        <v>9368</v>
      </c>
      <c r="D1383" s="374">
        <v>1347110000408</v>
      </c>
      <c r="E1383" s="372" t="s">
        <v>9369</v>
      </c>
      <c r="F1383" s="375" t="s">
        <v>3997</v>
      </c>
      <c r="G1383" s="375" t="s">
        <v>3997</v>
      </c>
      <c r="H1383" s="375" t="s">
        <v>3998</v>
      </c>
      <c r="I1383" s="375" t="s">
        <v>755</v>
      </c>
      <c r="J1383" s="375">
        <v>82568.024470000004</v>
      </c>
      <c r="K1383" s="375">
        <v>-2992.4801299999999</v>
      </c>
      <c r="L1383" s="375">
        <v>-6117.2661399999997</v>
      </c>
      <c r="M1383" s="375">
        <v>120222.57818</v>
      </c>
      <c r="N1383" s="372">
        <v>1.1220000000000001</v>
      </c>
      <c r="O1383" s="703">
        <v>73.678817328748991</v>
      </c>
      <c r="P1383" s="375" t="s">
        <v>623</v>
      </c>
      <c r="Q1383" s="372" t="s">
        <v>623</v>
      </c>
      <c r="R1383" s="695">
        <v>19960703</v>
      </c>
      <c r="S1383" s="372" t="s">
        <v>9370</v>
      </c>
      <c r="T1383" s="696" t="s">
        <v>772</v>
      </c>
      <c r="U1383" s="372" t="s">
        <v>9371</v>
      </c>
      <c r="V1383" s="722">
        <v>56.29</v>
      </c>
      <c r="W1383" s="722">
        <v>1.06</v>
      </c>
      <c r="X1383" s="722">
        <v>1.63</v>
      </c>
      <c r="Y1383" s="722" t="s">
        <v>774</v>
      </c>
      <c r="Z1383" s="382" t="s">
        <v>934</v>
      </c>
      <c r="AA1383" s="372">
        <v>981.55184919999999</v>
      </c>
      <c r="AB1383" s="372">
        <v>1206.1251153999999</v>
      </c>
      <c r="AC1383" s="372">
        <v>1054.4903886</v>
      </c>
      <c r="AD1383" s="372">
        <v>825.6802447</v>
      </c>
      <c r="AE1383" s="372">
        <v>0</v>
      </c>
      <c r="AF1383" s="372">
        <v>0</v>
      </c>
      <c r="AG1383" s="372">
        <v>0</v>
      </c>
      <c r="AH1383" s="372">
        <v>0</v>
      </c>
    </row>
    <row r="1384" spans="1:34">
      <c r="A1384" s="372" t="s">
        <v>9372</v>
      </c>
      <c r="B1384" s="373" t="s">
        <v>9373</v>
      </c>
      <c r="C1384" s="372" t="s">
        <v>9374</v>
      </c>
      <c r="D1384" s="374">
        <v>1101111867831</v>
      </c>
      <c r="E1384" s="372" t="s">
        <v>9375</v>
      </c>
      <c r="F1384" s="375" t="s">
        <v>1285</v>
      </c>
      <c r="G1384" s="375" t="s">
        <v>1285</v>
      </c>
      <c r="H1384" s="375" t="s">
        <v>1388</v>
      </c>
      <c r="I1384" s="375" t="s">
        <v>869</v>
      </c>
      <c r="J1384" s="375">
        <v>44294.520239999998</v>
      </c>
      <c r="K1384" s="375">
        <v>-11774.17555</v>
      </c>
      <c r="L1384" s="375">
        <v>-11212.20155</v>
      </c>
      <c r="M1384" s="375">
        <v>55223.833030000002</v>
      </c>
      <c r="N1384" s="372">
        <v>1.0409999999999999</v>
      </c>
      <c r="O1384" s="703">
        <v>20.09650434418511</v>
      </c>
      <c r="P1384" s="375" t="s">
        <v>623</v>
      </c>
      <c r="Q1384" s="372" t="s">
        <v>623</v>
      </c>
      <c r="R1384" s="695">
        <v>20131219</v>
      </c>
      <c r="S1384" s="375" t="s">
        <v>9376</v>
      </c>
      <c r="T1384" s="696" t="s">
        <v>772</v>
      </c>
      <c r="U1384" s="372" t="s">
        <v>9377</v>
      </c>
      <c r="V1384" s="722" t="s">
        <v>774</v>
      </c>
      <c r="W1384" s="722">
        <v>1.86</v>
      </c>
      <c r="X1384" s="722">
        <v>2.3199999999999998</v>
      </c>
      <c r="Y1384" s="722" t="s">
        <v>774</v>
      </c>
      <c r="Z1384" s="382" t="s">
        <v>934</v>
      </c>
      <c r="AA1384" s="372">
        <v>442.7859785</v>
      </c>
      <c r="AB1384" s="372">
        <v>716.23429309999995</v>
      </c>
      <c r="AC1384" s="372">
        <v>547.26444530000003</v>
      </c>
      <c r="AD1384" s="372">
        <v>442.94520240000003</v>
      </c>
      <c r="AE1384" s="372">
        <v>1266</v>
      </c>
      <c r="AF1384" s="372">
        <v>0</v>
      </c>
      <c r="AG1384" s="372">
        <v>0</v>
      </c>
      <c r="AH1384" s="372">
        <v>0</v>
      </c>
    </row>
    <row r="1385" spans="1:34">
      <c r="A1385" s="372" t="s">
        <v>9378</v>
      </c>
      <c r="B1385" s="373" t="s">
        <v>9379</v>
      </c>
      <c r="C1385" s="372" t="s">
        <v>9380</v>
      </c>
      <c r="D1385" s="374">
        <v>1101111335656</v>
      </c>
      <c r="E1385" s="372" t="s">
        <v>9381</v>
      </c>
      <c r="F1385" s="375" t="s">
        <v>1013</v>
      </c>
      <c r="G1385" s="375" t="s">
        <v>1225</v>
      </c>
      <c r="H1385" s="375" t="s">
        <v>1693</v>
      </c>
      <c r="I1385" s="375" t="s">
        <v>869</v>
      </c>
      <c r="J1385" s="375">
        <v>89363.311390000003</v>
      </c>
      <c r="K1385" s="375">
        <v>42439.379220000003</v>
      </c>
      <c r="L1385" s="375">
        <v>54069.023179999997</v>
      </c>
      <c r="M1385" s="375">
        <v>248737.36869999999</v>
      </c>
      <c r="N1385" s="372">
        <v>1.095</v>
      </c>
      <c r="O1385" s="703">
        <v>4.5255195541175368</v>
      </c>
      <c r="P1385" s="375" t="s">
        <v>623</v>
      </c>
      <c r="Q1385" s="372" t="s">
        <v>623</v>
      </c>
      <c r="R1385" s="695">
        <v>20010810</v>
      </c>
      <c r="S1385" s="372" t="s">
        <v>9382</v>
      </c>
      <c r="T1385" s="696">
        <v>0.23100000000000001</v>
      </c>
      <c r="U1385" s="372" t="s">
        <v>9383</v>
      </c>
      <c r="V1385" s="722">
        <v>2.21</v>
      </c>
      <c r="W1385" s="722">
        <v>0.39</v>
      </c>
      <c r="X1385" s="722">
        <v>1.1000000000000001</v>
      </c>
      <c r="Y1385" s="722">
        <v>2.9</v>
      </c>
      <c r="Z1385" s="382" t="s">
        <v>934</v>
      </c>
      <c r="AA1385" s="372">
        <v>475.43482979999999</v>
      </c>
      <c r="AB1385" s="372">
        <v>582.75218640000003</v>
      </c>
      <c r="AC1385" s="372">
        <v>590.56348969999999</v>
      </c>
      <c r="AD1385" s="372">
        <v>893.63311390000001</v>
      </c>
      <c r="AE1385" s="372">
        <v>0</v>
      </c>
      <c r="AF1385" s="372">
        <v>0</v>
      </c>
      <c r="AG1385" s="372">
        <v>0</v>
      </c>
      <c r="AH1385" s="372">
        <v>0</v>
      </c>
    </row>
    <row r="1386" spans="1:34">
      <c r="A1386" s="372" t="s">
        <v>9384</v>
      </c>
      <c r="B1386" s="373" t="s">
        <v>9385</v>
      </c>
      <c r="C1386" s="372" t="s">
        <v>9386</v>
      </c>
      <c r="D1386" s="374">
        <v>1311110332864</v>
      </c>
      <c r="E1386" s="372" t="s">
        <v>9387</v>
      </c>
      <c r="F1386" s="375" t="s">
        <v>982</v>
      </c>
      <c r="G1386" s="375" t="s">
        <v>982</v>
      </c>
      <c r="H1386" s="375" t="s">
        <v>1693</v>
      </c>
      <c r="I1386" s="375" t="s">
        <v>869</v>
      </c>
      <c r="J1386" s="375">
        <v>147172.54623000001</v>
      </c>
      <c r="K1386" s="375">
        <v>17379.683949999999</v>
      </c>
      <c r="L1386" s="375">
        <v>15895.214309999999</v>
      </c>
      <c r="M1386" s="375">
        <v>94239.902109999995</v>
      </c>
      <c r="N1386" s="372">
        <v>1.27</v>
      </c>
      <c r="O1386" s="703">
        <v>15.502668504744364</v>
      </c>
      <c r="P1386" s="375" t="s">
        <v>623</v>
      </c>
      <c r="Q1386" s="375" t="s">
        <v>623</v>
      </c>
      <c r="R1386" s="695">
        <v>20171205</v>
      </c>
      <c r="S1386" s="375" t="s">
        <v>9388</v>
      </c>
      <c r="T1386" s="696">
        <v>0.20900000000000002</v>
      </c>
      <c r="U1386" s="372" t="s">
        <v>9389</v>
      </c>
      <c r="V1386" s="722">
        <v>4.8</v>
      </c>
      <c r="W1386" s="722">
        <v>1.1000000000000001</v>
      </c>
      <c r="X1386" s="722">
        <v>0.72</v>
      </c>
      <c r="Y1386" s="722">
        <v>6.37</v>
      </c>
      <c r="Z1386" s="382" t="s">
        <v>934</v>
      </c>
      <c r="AA1386" s="372">
        <v>921.30559670000002</v>
      </c>
      <c r="AB1386" s="372">
        <v>1276.0760951</v>
      </c>
      <c r="AC1386" s="372">
        <v>1320.6970309999999</v>
      </c>
      <c r="AD1386" s="372">
        <v>1471.7254622999999</v>
      </c>
      <c r="AE1386" s="372">
        <v>1599</v>
      </c>
      <c r="AF1386" s="372">
        <v>1795</v>
      </c>
      <c r="AG1386" s="372">
        <v>0</v>
      </c>
      <c r="AH1386" s="372">
        <v>0</v>
      </c>
    </row>
    <row r="1387" spans="1:34">
      <c r="A1387" s="372" t="s">
        <v>9390</v>
      </c>
      <c r="B1387" s="373" t="s">
        <v>9391</v>
      </c>
      <c r="C1387" s="372" t="s">
        <v>9392</v>
      </c>
      <c r="D1387" s="374">
        <v>1101110220204</v>
      </c>
      <c r="E1387" s="372" t="s">
        <v>9393</v>
      </c>
      <c r="F1387" s="375" t="s">
        <v>9394</v>
      </c>
      <c r="G1387" s="375" t="s">
        <v>9394</v>
      </c>
      <c r="H1387" s="375" t="s">
        <v>1050</v>
      </c>
      <c r="I1387" s="375" t="s">
        <v>755</v>
      </c>
      <c r="J1387" s="375">
        <v>21395.923900000002</v>
      </c>
      <c r="K1387" s="375">
        <v>496.24140999999997</v>
      </c>
      <c r="L1387" s="375">
        <v>1168.64456</v>
      </c>
      <c r="M1387" s="375">
        <v>41783.599190000001</v>
      </c>
      <c r="N1387" s="372" t="s">
        <v>1033</v>
      </c>
      <c r="O1387" s="703">
        <v>3.3581559410443802</v>
      </c>
      <c r="P1387" s="375" t="s">
        <v>16142</v>
      </c>
      <c r="Q1387" s="372" t="s">
        <v>623</v>
      </c>
      <c r="R1387" s="695">
        <v>19900710</v>
      </c>
      <c r="S1387" s="375" t="s">
        <v>9395</v>
      </c>
      <c r="T1387" s="696">
        <v>0.20900000000000002</v>
      </c>
      <c r="U1387" s="372" t="s">
        <v>16060</v>
      </c>
      <c r="V1387" s="722">
        <v>85.12</v>
      </c>
      <c r="W1387" s="722">
        <v>2.58</v>
      </c>
      <c r="X1387" s="722">
        <v>3.27</v>
      </c>
      <c r="Y1387" s="722" t="s">
        <v>774</v>
      </c>
      <c r="Z1387" s="382" t="s">
        <v>934</v>
      </c>
      <c r="AA1387" s="372">
        <v>291.8545312</v>
      </c>
      <c r="AB1387" s="372">
        <v>181.49624119999999</v>
      </c>
      <c r="AC1387" s="372">
        <v>215.89027809999999</v>
      </c>
      <c r="AD1387" s="372">
        <v>213.959239</v>
      </c>
      <c r="AE1387" s="372">
        <v>0</v>
      </c>
      <c r="AF1387" s="372">
        <v>0</v>
      </c>
      <c r="AG1387" s="372">
        <v>0</v>
      </c>
      <c r="AH1387" s="372">
        <v>0</v>
      </c>
    </row>
    <row r="1388" spans="1:34">
      <c r="A1388" s="372" t="s">
        <v>9396</v>
      </c>
      <c r="B1388" s="373" t="s">
        <v>9397</v>
      </c>
      <c r="C1388" s="372" t="s">
        <v>9398</v>
      </c>
      <c r="D1388" s="374">
        <v>1101111042574</v>
      </c>
      <c r="E1388" s="372" t="s">
        <v>9399</v>
      </c>
      <c r="F1388" s="375" t="s">
        <v>1292</v>
      </c>
      <c r="G1388" s="375" t="s">
        <v>1293</v>
      </c>
      <c r="H1388" s="375" t="s">
        <v>868</v>
      </c>
      <c r="I1388" s="375" t="s">
        <v>869</v>
      </c>
      <c r="J1388" s="375">
        <v>358052.33974000002</v>
      </c>
      <c r="K1388" s="375">
        <v>11983.00887</v>
      </c>
      <c r="L1388" s="375">
        <v>8213.4592100000009</v>
      </c>
      <c r="M1388" s="375">
        <v>182611.18192999999</v>
      </c>
      <c r="N1388" s="372">
        <v>1.018</v>
      </c>
      <c r="O1388" s="703">
        <v>31.535526754589483</v>
      </c>
      <c r="P1388" s="375" t="s">
        <v>623</v>
      </c>
      <c r="Q1388" s="372" t="s">
        <v>623</v>
      </c>
      <c r="R1388" s="695">
        <v>20031112</v>
      </c>
      <c r="S1388" s="372" t="s">
        <v>9400</v>
      </c>
      <c r="T1388" s="696">
        <v>0.20900000000000002</v>
      </c>
      <c r="U1388" s="372" t="s">
        <v>9401</v>
      </c>
      <c r="V1388" s="722">
        <v>8.4600000000000009</v>
      </c>
      <c r="W1388" s="722">
        <v>0.62</v>
      </c>
      <c r="X1388" s="722">
        <v>0.32</v>
      </c>
      <c r="Y1388" s="722">
        <v>17.8</v>
      </c>
      <c r="Z1388" s="382" t="s">
        <v>934</v>
      </c>
      <c r="AA1388" s="372">
        <v>2634.8582323000001</v>
      </c>
      <c r="AB1388" s="372">
        <v>3178.6413637999999</v>
      </c>
      <c r="AC1388" s="372">
        <v>3744.3999597000002</v>
      </c>
      <c r="AD1388" s="372">
        <v>3580.5233973999998</v>
      </c>
      <c r="AE1388" s="372">
        <v>0</v>
      </c>
      <c r="AF1388" s="372">
        <v>0</v>
      </c>
      <c r="AG1388" s="372">
        <v>0</v>
      </c>
      <c r="AH1388" s="372">
        <v>0</v>
      </c>
    </row>
    <row r="1389" spans="1:34">
      <c r="A1389" s="372" t="s">
        <v>9402</v>
      </c>
      <c r="B1389" s="373" t="s">
        <v>9403</v>
      </c>
      <c r="C1389" s="372" t="s">
        <v>9404</v>
      </c>
      <c r="D1389" s="374">
        <v>1311110042950</v>
      </c>
      <c r="E1389" s="372" t="s">
        <v>9405</v>
      </c>
      <c r="F1389" s="375" t="s">
        <v>4879</v>
      </c>
      <c r="G1389" s="375" t="s">
        <v>4879</v>
      </c>
      <c r="H1389" s="375" t="s">
        <v>1327</v>
      </c>
      <c r="I1389" s="375" t="s">
        <v>755</v>
      </c>
      <c r="J1389" s="375">
        <v>1854547.6887999999</v>
      </c>
      <c r="K1389" s="375">
        <v>31480.472699999998</v>
      </c>
      <c r="L1389" s="375">
        <v>-22680.738440000001</v>
      </c>
      <c r="M1389" s="375">
        <v>241007.31778000001</v>
      </c>
      <c r="N1389" s="372">
        <v>1.23</v>
      </c>
      <c r="O1389" s="703">
        <v>691.73528925975734</v>
      </c>
      <c r="P1389" s="375" t="s">
        <v>623</v>
      </c>
      <c r="Q1389" s="372" t="s">
        <v>623</v>
      </c>
      <c r="R1389" s="695">
        <v>19991025</v>
      </c>
      <c r="S1389" s="372" t="s">
        <v>9406</v>
      </c>
      <c r="T1389" s="696" t="s">
        <v>772</v>
      </c>
      <c r="U1389" s="372" t="s">
        <v>9407</v>
      </c>
      <c r="V1389" s="722">
        <v>10.27</v>
      </c>
      <c r="W1389" s="722">
        <v>0.51</v>
      </c>
      <c r="X1389" s="722">
        <v>0.06</v>
      </c>
      <c r="Y1389" s="722" t="s">
        <v>774</v>
      </c>
      <c r="Z1389" s="382" t="s">
        <v>934</v>
      </c>
      <c r="AA1389" s="372">
        <v>13339.3711109</v>
      </c>
      <c r="AB1389" s="372">
        <v>15368.5609241</v>
      </c>
      <c r="AC1389" s="372">
        <v>19015.0680971</v>
      </c>
      <c r="AD1389" s="372">
        <v>18545.476888000001</v>
      </c>
      <c r="AE1389" s="372">
        <v>0</v>
      </c>
      <c r="AF1389" s="372">
        <v>0</v>
      </c>
      <c r="AG1389" s="372">
        <v>0</v>
      </c>
      <c r="AH1389" s="372">
        <v>0</v>
      </c>
    </row>
    <row r="1390" spans="1:34">
      <c r="A1390" s="372" t="s">
        <v>9408</v>
      </c>
      <c r="B1390" s="373" t="s">
        <v>9409</v>
      </c>
      <c r="C1390" s="372" t="s">
        <v>9410</v>
      </c>
      <c r="D1390" s="374">
        <v>1601110082513</v>
      </c>
      <c r="E1390" s="372" t="s">
        <v>9411</v>
      </c>
      <c r="F1390" s="375" t="s">
        <v>4918</v>
      </c>
      <c r="G1390" s="375" t="s">
        <v>4918</v>
      </c>
      <c r="H1390" s="375" t="s">
        <v>1388</v>
      </c>
      <c r="I1390" s="375" t="s">
        <v>869</v>
      </c>
      <c r="J1390" s="375">
        <v>232096.08504999999</v>
      </c>
      <c r="K1390" s="375">
        <v>14995.293009999999</v>
      </c>
      <c r="L1390" s="375">
        <v>9267.0851899999998</v>
      </c>
      <c r="M1390" s="375">
        <v>35400.35312</v>
      </c>
      <c r="N1390" s="372">
        <v>0.93300000000000005</v>
      </c>
      <c r="O1390" s="703">
        <v>124.58895162116623</v>
      </c>
      <c r="P1390" s="375" t="s">
        <v>623</v>
      </c>
      <c r="Q1390" s="372" t="s">
        <v>623</v>
      </c>
      <c r="R1390" s="695">
        <v>20050624</v>
      </c>
      <c r="S1390" s="372" t="s">
        <v>9412</v>
      </c>
      <c r="T1390" s="696">
        <v>0.20900000000000002</v>
      </c>
      <c r="U1390" s="372" t="s">
        <v>9413</v>
      </c>
      <c r="V1390" s="722">
        <v>8.2100000000000009</v>
      </c>
      <c r="W1390" s="722">
        <v>2.2599999999999998</v>
      </c>
      <c r="X1390" s="722">
        <v>0.4</v>
      </c>
      <c r="Y1390" s="722">
        <v>10.14</v>
      </c>
      <c r="Z1390" s="382" t="s">
        <v>934</v>
      </c>
      <c r="AA1390" s="372">
        <v>2067.2527414000001</v>
      </c>
      <c r="AB1390" s="372">
        <v>2008.9800593</v>
      </c>
      <c r="AC1390" s="372">
        <v>1982.2768466</v>
      </c>
      <c r="AD1390" s="372">
        <v>2320.9608505000001</v>
      </c>
      <c r="AE1390" s="372">
        <v>2540.67</v>
      </c>
      <c r="AF1390" s="372">
        <v>2888.5</v>
      </c>
      <c r="AG1390" s="372">
        <v>0</v>
      </c>
      <c r="AH1390" s="372">
        <v>0</v>
      </c>
    </row>
    <row r="1391" spans="1:34">
      <c r="A1391" s="372" t="s">
        <v>9414</v>
      </c>
      <c r="B1391" s="373" t="s">
        <v>9415</v>
      </c>
      <c r="C1391" s="372" t="s">
        <v>9416</v>
      </c>
      <c r="D1391" s="374">
        <v>1701110207177</v>
      </c>
      <c r="E1391" s="372" t="s">
        <v>9417</v>
      </c>
      <c r="F1391" s="375" t="s">
        <v>1985</v>
      </c>
      <c r="G1391" s="375" t="s">
        <v>1985</v>
      </c>
      <c r="H1391" s="375" t="s">
        <v>1388</v>
      </c>
      <c r="I1391" s="375" t="s">
        <v>869</v>
      </c>
      <c r="J1391" s="375">
        <v>25029.807560000001</v>
      </c>
      <c r="K1391" s="375">
        <v>-1062.3622700000001</v>
      </c>
      <c r="L1391" s="375">
        <v>-2485.15454</v>
      </c>
      <c r="M1391" s="375">
        <v>24209.717130000001</v>
      </c>
      <c r="N1391" s="372" t="s">
        <v>1033</v>
      </c>
      <c r="O1391" s="703">
        <v>14.881472916977032</v>
      </c>
      <c r="P1391" s="375" t="s">
        <v>16142</v>
      </c>
      <c r="Q1391" s="375" t="s">
        <v>16145</v>
      </c>
      <c r="R1391" s="695">
        <v>20180913</v>
      </c>
      <c r="S1391" s="375" t="s">
        <v>9418</v>
      </c>
      <c r="T1391" s="696" t="s">
        <v>772</v>
      </c>
      <c r="U1391" s="372" t="s">
        <v>9419</v>
      </c>
      <c r="V1391" s="722">
        <v>0</v>
      </c>
      <c r="W1391" s="722">
        <v>4.1399999999999997</v>
      </c>
      <c r="X1391" s="722">
        <v>0</v>
      </c>
      <c r="Y1391" s="722">
        <v>0</v>
      </c>
      <c r="Z1391" s="382" t="s">
        <v>934</v>
      </c>
      <c r="AA1391" s="372">
        <v>174.65053040000001</v>
      </c>
      <c r="AB1391" s="372">
        <v>115.5437064</v>
      </c>
      <c r="AC1391" s="372">
        <v>62.172220799999998</v>
      </c>
      <c r="AD1391" s="372">
        <v>250.2980756</v>
      </c>
      <c r="AE1391" s="372">
        <v>0</v>
      </c>
      <c r="AF1391" s="372">
        <v>0</v>
      </c>
      <c r="AG1391" s="372">
        <v>0</v>
      </c>
      <c r="AH1391" s="372">
        <v>0</v>
      </c>
    </row>
    <row r="1392" spans="1:34">
      <c r="A1392" s="372" t="s">
        <v>9420</v>
      </c>
      <c r="B1392" s="373" t="s">
        <v>9421</v>
      </c>
      <c r="C1392" s="372" t="s">
        <v>9422</v>
      </c>
      <c r="D1392" s="374">
        <v>1311110128338</v>
      </c>
      <c r="E1392" s="372" t="s">
        <v>9423</v>
      </c>
      <c r="F1392" s="375" t="s">
        <v>5742</v>
      </c>
      <c r="G1392" s="375" t="s">
        <v>5742</v>
      </c>
      <c r="H1392" s="375" t="s">
        <v>868</v>
      </c>
      <c r="I1392" s="375" t="s">
        <v>869</v>
      </c>
      <c r="J1392" s="375">
        <v>6390.9115599999996</v>
      </c>
      <c r="K1392" s="375">
        <v>-3093.8880199999999</v>
      </c>
      <c r="L1392" s="375">
        <v>-11253.726650000001</v>
      </c>
      <c r="M1392" s="375">
        <v>11013.595890000001</v>
      </c>
      <c r="N1392" s="372">
        <v>1.024</v>
      </c>
      <c r="O1392" s="703">
        <v>1.5298976676344667</v>
      </c>
      <c r="P1392" s="375" t="s">
        <v>623</v>
      </c>
      <c r="Q1392" s="372" t="s">
        <v>623</v>
      </c>
      <c r="R1392" s="695">
        <v>20200220</v>
      </c>
      <c r="S1392" s="372" t="s">
        <v>9424</v>
      </c>
      <c r="T1392" s="696" t="s">
        <v>772</v>
      </c>
      <c r="U1392" s="372" t="s">
        <v>9425</v>
      </c>
      <c r="V1392" s="722">
        <v>0</v>
      </c>
      <c r="W1392" s="722">
        <v>9.34</v>
      </c>
      <c r="X1392" s="722">
        <v>0</v>
      </c>
      <c r="Y1392" s="722">
        <v>0</v>
      </c>
      <c r="Z1392" s="382" t="s">
        <v>934</v>
      </c>
      <c r="AA1392" s="372">
        <v>14.044777399999999</v>
      </c>
      <c r="AB1392" s="372">
        <v>11.371693499999999</v>
      </c>
      <c r="AC1392" s="372">
        <v>63.6461027</v>
      </c>
      <c r="AD1392" s="372">
        <v>63.9091156</v>
      </c>
      <c r="AE1392" s="372">
        <v>0</v>
      </c>
      <c r="AF1392" s="372">
        <v>0</v>
      </c>
      <c r="AG1392" s="372">
        <v>0</v>
      </c>
      <c r="AH1392" s="372">
        <v>0</v>
      </c>
    </row>
    <row r="1393" spans="1:34">
      <c r="A1393" s="372" t="s">
        <v>9426</v>
      </c>
      <c r="B1393" s="373" t="s">
        <v>9427</v>
      </c>
      <c r="C1393" s="372" t="s">
        <v>9428</v>
      </c>
      <c r="D1393" s="374">
        <v>1101110220882</v>
      </c>
      <c r="E1393" s="372" t="s">
        <v>9429</v>
      </c>
      <c r="F1393" s="375" t="s">
        <v>9430</v>
      </c>
      <c r="G1393" s="375" t="s">
        <v>9431</v>
      </c>
      <c r="H1393" s="375" t="s">
        <v>3998</v>
      </c>
      <c r="I1393" s="375" t="s">
        <v>755</v>
      </c>
      <c r="J1393" s="375">
        <v>129760.04831</v>
      </c>
      <c r="K1393" s="375">
        <v>6485.8256799999999</v>
      </c>
      <c r="L1393" s="375">
        <v>11637.165919999999</v>
      </c>
      <c r="M1393" s="375">
        <v>81284.581090000007</v>
      </c>
      <c r="N1393" s="372">
        <v>0.94299999999999995</v>
      </c>
      <c r="O1393" s="703">
        <v>0.73024489505348444</v>
      </c>
      <c r="P1393" s="375" t="s">
        <v>623</v>
      </c>
      <c r="Q1393" s="375" t="s">
        <v>623</v>
      </c>
      <c r="R1393" s="695">
        <v>19881014</v>
      </c>
      <c r="S1393" s="375" t="s">
        <v>9432</v>
      </c>
      <c r="T1393" s="696">
        <v>0.20900000000000002</v>
      </c>
      <c r="U1393" s="372" t="s">
        <v>9433</v>
      </c>
      <c r="V1393" s="722">
        <v>0</v>
      </c>
      <c r="W1393" s="722">
        <v>1.18</v>
      </c>
      <c r="X1393" s="722">
        <v>0</v>
      </c>
      <c r="Y1393" s="722">
        <v>0</v>
      </c>
      <c r="Z1393" s="382" t="s">
        <v>934</v>
      </c>
      <c r="AA1393" s="372">
        <v>1171.3087574000001</v>
      </c>
      <c r="AB1393" s="372">
        <v>1063.9939605</v>
      </c>
      <c r="AC1393" s="372">
        <v>1208.7009410999999</v>
      </c>
      <c r="AD1393" s="372">
        <v>1297.6004831</v>
      </c>
      <c r="AE1393" s="372">
        <v>0</v>
      </c>
      <c r="AF1393" s="372">
        <v>0</v>
      </c>
      <c r="AG1393" s="372">
        <v>0</v>
      </c>
      <c r="AH1393" s="372">
        <v>0</v>
      </c>
    </row>
    <row r="1394" spans="1:34">
      <c r="A1394" s="372" t="s">
        <v>9434</v>
      </c>
      <c r="B1394" s="373" t="s">
        <v>9435</v>
      </c>
      <c r="C1394" s="372" t="s">
        <v>9436</v>
      </c>
      <c r="D1394" s="374">
        <v>1701110001131</v>
      </c>
      <c r="E1394" s="372" t="s">
        <v>9437</v>
      </c>
      <c r="F1394" s="375" t="s">
        <v>1867</v>
      </c>
      <c r="G1394" s="375" t="s">
        <v>1868</v>
      </c>
      <c r="H1394" s="375" t="s">
        <v>1397</v>
      </c>
      <c r="I1394" s="375" t="s">
        <v>755</v>
      </c>
      <c r="J1394" s="375">
        <v>908068.52696000005</v>
      </c>
      <c r="K1394" s="375">
        <v>25253.673269999999</v>
      </c>
      <c r="L1394" s="375">
        <v>24028.147710000001</v>
      </c>
      <c r="M1394" s="375">
        <v>369441.22561000002</v>
      </c>
      <c r="N1394" s="372">
        <v>0.86199999999999999</v>
      </c>
      <c r="O1394" s="703">
        <v>404.82330498488716</v>
      </c>
      <c r="P1394" s="375" t="s">
        <v>623</v>
      </c>
      <c r="Q1394" s="372" t="s">
        <v>623</v>
      </c>
      <c r="R1394" s="695">
        <v>19880929</v>
      </c>
      <c r="S1394" s="372" t="s">
        <v>9438</v>
      </c>
      <c r="T1394" s="696">
        <v>0.23100000000000001</v>
      </c>
      <c r="U1394" s="372" t="s">
        <v>9439</v>
      </c>
      <c r="V1394" s="722">
        <v>5.39</v>
      </c>
      <c r="W1394" s="722">
        <v>0.28000000000000003</v>
      </c>
      <c r="X1394" s="722">
        <v>0.12</v>
      </c>
      <c r="Y1394" s="722">
        <v>5.23</v>
      </c>
      <c r="Z1394" s="382">
        <v>-6.6691653768401915E-2</v>
      </c>
      <c r="AA1394" s="372">
        <v>4192.5929881000002</v>
      </c>
      <c r="AB1394" s="372">
        <v>4222.3139543999996</v>
      </c>
      <c r="AC1394" s="372">
        <v>6457.0674256000002</v>
      </c>
      <c r="AD1394" s="372">
        <v>9080.6852696000005</v>
      </c>
      <c r="AE1394" s="372">
        <v>8399</v>
      </c>
      <c r="AF1394" s="372">
        <v>7537</v>
      </c>
      <c r="AG1394" s="372">
        <v>6890</v>
      </c>
      <c r="AH1394" s="372">
        <v>6860</v>
      </c>
    </row>
    <row r="1395" spans="1:34">
      <c r="A1395" s="372" t="s">
        <v>9440</v>
      </c>
      <c r="B1395" s="373" t="s">
        <v>9441</v>
      </c>
      <c r="C1395" s="372" t="s">
        <v>9442</v>
      </c>
      <c r="D1395" s="374">
        <v>1101114297944</v>
      </c>
      <c r="E1395" s="372" t="s">
        <v>9443</v>
      </c>
      <c r="F1395" s="375" t="s">
        <v>1083</v>
      </c>
      <c r="G1395" s="375" t="s">
        <v>1546</v>
      </c>
      <c r="H1395" s="375" t="s">
        <v>1547</v>
      </c>
      <c r="I1395" s="375" t="s">
        <v>869</v>
      </c>
      <c r="J1395" s="375">
        <v>91434.324720000004</v>
      </c>
      <c r="K1395" s="375">
        <v>-2247.7651700000001</v>
      </c>
      <c r="L1395" s="375">
        <v>-4771.6927800000003</v>
      </c>
      <c r="M1395" s="375">
        <v>85853.377550000005</v>
      </c>
      <c r="N1395" s="372">
        <v>0.97599999999999998</v>
      </c>
      <c r="O1395" s="703">
        <v>29.534083370730556</v>
      </c>
      <c r="P1395" s="375" t="s">
        <v>623</v>
      </c>
      <c r="Q1395" s="375" t="s">
        <v>623</v>
      </c>
      <c r="R1395" s="695">
        <v>20211122</v>
      </c>
      <c r="S1395" s="375" t="s">
        <v>9444</v>
      </c>
      <c r="T1395" s="696" t="s">
        <v>772</v>
      </c>
      <c r="U1395" s="372" t="s">
        <v>9445</v>
      </c>
      <c r="V1395" s="722">
        <v>33.04</v>
      </c>
      <c r="W1395" s="722">
        <v>1.55</v>
      </c>
      <c r="X1395" s="722">
        <v>1.26</v>
      </c>
      <c r="Y1395" s="722" t="s">
        <v>774</v>
      </c>
      <c r="Z1395" s="382" t="s">
        <v>934</v>
      </c>
      <c r="AA1395" s="372">
        <v>372.76708739999998</v>
      </c>
      <c r="AB1395" s="372">
        <v>596.20243029999995</v>
      </c>
      <c r="AC1395" s="372">
        <v>630.86449909999999</v>
      </c>
      <c r="AD1395" s="372">
        <v>914.34324719999995</v>
      </c>
      <c r="AE1395" s="372">
        <v>0</v>
      </c>
      <c r="AF1395" s="372">
        <v>0</v>
      </c>
      <c r="AG1395" s="372">
        <v>0</v>
      </c>
      <c r="AH1395" s="372">
        <v>0</v>
      </c>
    </row>
    <row r="1396" spans="1:34">
      <c r="A1396" s="372" t="s">
        <v>9446</v>
      </c>
      <c r="B1396" s="373" t="s">
        <v>9447</v>
      </c>
      <c r="C1396" s="372" t="s">
        <v>9448</v>
      </c>
      <c r="D1396" s="374">
        <v>1101112498312</v>
      </c>
      <c r="E1396" s="372" t="s">
        <v>9449</v>
      </c>
      <c r="F1396" s="375" t="s">
        <v>1814</v>
      </c>
      <c r="G1396" s="375" t="s">
        <v>1815</v>
      </c>
      <c r="H1396" s="375" t="s">
        <v>1693</v>
      </c>
      <c r="I1396" s="375" t="s">
        <v>869</v>
      </c>
      <c r="J1396" s="375">
        <v>32603.845710000001</v>
      </c>
      <c r="K1396" s="375">
        <v>5181.0889399999996</v>
      </c>
      <c r="L1396" s="375">
        <v>5136.2066299999997</v>
      </c>
      <c r="M1396" s="375">
        <v>45989.525529999999</v>
      </c>
      <c r="N1396" s="372" t="s">
        <v>1033</v>
      </c>
      <c r="O1396" s="703">
        <v>6.582908947589976</v>
      </c>
      <c r="P1396" s="375" t="s">
        <v>623</v>
      </c>
      <c r="Q1396" s="372" t="s">
        <v>623</v>
      </c>
      <c r="R1396" s="695">
        <v>20230925</v>
      </c>
      <c r="S1396" s="372" t="s">
        <v>9450</v>
      </c>
      <c r="T1396" s="696">
        <v>0.20900000000000002</v>
      </c>
      <c r="U1396" s="372" t="s">
        <v>9451</v>
      </c>
      <c r="V1396" s="722">
        <v>14.94</v>
      </c>
      <c r="W1396" s="722">
        <v>1.88</v>
      </c>
      <c r="X1396" s="722">
        <v>2.29</v>
      </c>
      <c r="Y1396" s="722">
        <v>15.84</v>
      </c>
      <c r="Z1396" s="382" t="s">
        <v>934</v>
      </c>
      <c r="AA1396" s="372">
        <v>211.32531</v>
      </c>
      <c r="AB1396" s="372">
        <v>326.08351399999998</v>
      </c>
      <c r="AC1396" s="372">
        <v>436.29716710000002</v>
      </c>
      <c r="AD1396" s="372">
        <v>326.03845710000002</v>
      </c>
      <c r="AE1396" s="372">
        <v>0</v>
      </c>
      <c r="AF1396" s="372">
        <v>0</v>
      </c>
      <c r="AG1396" s="372">
        <v>0</v>
      </c>
      <c r="AH1396" s="372">
        <v>0</v>
      </c>
    </row>
    <row r="1397" spans="1:34">
      <c r="A1397" s="372" t="s">
        <v>9452</v>
      </c>
      <c r="B1397" s="373" t="s">
        <v>9453</v>
      </c>
      <c r="C1397" s="372" t="s">
        <v>9454</v>
      </c>
      <c r="D1397" s="374">
        <v>1615110001291</v>
      </c>
      <c r="E1397" s="372" t="s">
        <v>9455</v>
      </c>
      <c r="F1397" s="375" t="s">
        <v>1259</v>
      </c>
      <c r="G1397" s="375" t="s">
        <v>1259</v>
      </c>
      <c r="H1397" s="375" t="s">
        <v>868</v>
      </c>
      <c r="I1397" s="375" t="s">
        <v>869</v>
      </c>
      <c r="J1397" s="375">
        <v>104234.95041</v>
      </c>
      <c r="K1397" s="375">
        <v>5627.6977200000001</v>
      </c>
      <c r="L1397" s="375">
        <v>-35597.264060000001</v>
      </c>
      <c r="M1397" s="375">
        <v>16444.34734</v>
      </c>
      <c r="N1397" s="372">
        <v>0.92900000000000005</v>
      </c>
      <c r="O1397" s="703">
        <v>34.013458325414582</v>
      </c>
      <c r="P1397" s="375" t="s">
        <v>623</v>
      </c>
      <c r="Q1397" s="372" t="s">
        <v>623</v>
      </c>
      <c r="R1397" s="695">
        <v>20030207</v>
      </c>
      <c r="S1397" s="372" t="s">
        <v>9456</v>
      </c>
      <c r="T1397" s="696" t="s">
        <v>772</v>
      </c>
      <c r="U1397" s="372" t="s">
        <v>9457</v>
      </c>
      <c r="V1397" s="722">
        <v>16.25</v>
      </c>
      <c r="W1397" s="722">
        <v>6.83</v>
      </c>
      <c r="X1397" s="722">
        <v>1.1499999999999999</v>
      </c>
      <c r="Y1397" s="722" t="s">
        <v>774</v>
      </c>
      <c r="Z1397" s="382" t="s">
        <v>934</v>
      </c>
      <c r="AA1397" s="372">
        <v>1038.02657</v>
      </c>
      <c r="AB1397" s="372">
        <v>1009.6610627</v>
      </c>
      <c r="AC1397" s="372">
        <v>1027.1043901</v>
      </c>
      <c r="AD1397" s="372">
        <v>1042.3495041000001</v>
      </c>
      <c r="AE1397" s="372">
        <v>0</v>
      </c>
      <c r="AF1397" s="372">
        <v>0</v>
      </c>
      <c r="AG1397" s="372">
        <v>0</v>
      </c>
      <c r="AH1397" s="372">
        <v>0</v>
      </c>
    </row>
    <row r="1398" spans="1:34">
      <c r="A1398" s="372" t="s">
        <v>9458</v>
      </c>
      <c r="B1398" s="373" t="s">
        <v>9459</v>
      </c>
      <c r="C1398" s="372" t="s">
        <v>9460</v>
      </c>
      <c r="D1398" s="374">
        <v>1801110081389</v>
      </c>
      <c r="E1398" s="372" t="s">
        <v>9461</v>
      </c>
      <c r="F1398" s="372" t="s">
        <v>1144</v>
      </c>
      <c r="G1398" s="375" t="s">
        <v>3158</v>
      </c>
      <c r="H1398" s="375" t="s">
        <v>868</v>
      </c>
      <c r="I1398" s="375" t="s">
        <v>869</v>
      </c>
      <c r="J1398" s="375">
        <v>154347.17631000001</v>
      </c>
      <c r="K1398" s="375">
        <v>3734.4258500000001</v>
      </c>
      <c r="L1398" s="375">
        <v>9810.1879499999995</v>
      </c>
      <c r="M1398" s="375">
        <v>225677.80960000001</v>
      </c>
      <c r="N1398" s="372">
        <v>0.89600000000000002</v>
      </c>
      <c r="O1398" s="703">
        <v>0.27894716880523995</v>
      </c>
      <c r="P1398" s="375" t="s">
        <v>623</v>
      </c>
      <c r="Q1398" s="372" t="s">
        <v>623</v>
      </c>
      <c r="R1398" s="695">
        <v>20110708</v>
      </c>
      <c r="S1398" s="372" t="s">
        <v>9462</v>
      </c>
      <c r="T1398" s="696">
        <v>0.20900000000000002</v>
      </c>
      <c r="U1398" s="372" t="s">
        <v>9463</v>
      </c>
      <c r="V1398" s="722">
        <v>13.57</v>
      </c>
      <c r="W1398" s="722">
        <v>0.49</v>
      </c>
      <c r="X1398" s="722">
        <v>0.73</v>
      </c>
      <c r="Y1398" s="722">
        <v>13.38</v>
      </c>
      <c r="Z1398" s="382">
        <v>9.0657741470357989E-2</v>
      </c>
      <c r="AA1398" s="372">
        <v>1891.6252710000001</v>
      </c>
      <c r="AB1398" s="372">
        <v>1366.0476220999999</v>
      </c>
      <c r="AC1398" s="372">
        <v>1303.9602725</v>
      </c>
      <c r="AD1398" s="372">
        <v>1543.4717631000001</v>
      </c>
      <c r="AE1398" s="372">
        <v>1780</v>
      </c>
      <c r="AF1398" s="372">
        <v>1995</v>
      </c>
      <c r="AG1398" s="372">
        <v>2184</v>
      </c>
      <c r="AH1398" s="372">
        <v>0</v>
      </c>
    </row>
    <row r="1399" spans="1:34">
      <c r="A1399" s="372" t="s">
        <v>9464</v>
      </c>
      <c r="B1399" s="373" t="s">
        <v>9465</v>
      </c>
      <c r="C1399" s="372" t="s">
        <v>9466</v>
      </c>
      <c r="D1399" s="374">
        <v>1244110067216</v>
      </c>
      <c r="E1399" s="372" t="s">
        <v>9467</v>
      </c>
      <c r="F1399" s="375" t="s">
        <v>1195</v>
      </c>
      <c r="G1399" s="375" t="s">
        <v>1195</v>
      </c>
      <c r="H1399" s="375" t="s">
        <v>868</v>
      </c>
      <c r="I1399" s="375" t="s">
        <v>869</v>
      </c>
      <c r="J1399" s="375">
        <v>121826.86364</v>
      </c>
      <c r="K1399" s="375">
        <v>785.33726999999999</v>
      </c>
      <c r="L1399" s="375">
        <v>-1058.71549</v>
      </c>
      <c r="M1399" s="375">
        <v>54116.678119999997</v>
      </c>
      <c r="N1399" s="372" t="s">
        <v>1033</v>
      </c>
      <c r="O1399" s="703">
        <v>22.748491257497658</v>
      </c>
      <c r="P1399" s="375" t="s">
        <v>16142</v>
      </c>
      <c r="Q1399" s="375" t="s">
        <v>16145</v>
      </c>
      <c r="R1399" s="695">
        <v>20150626</v>
      </c>
      <c r="S1399" s="375" t="s">
        <v>9468</v>
      </c>
      <c r="T1399" s="696" t="s">
        <v>772</v>
      </c>
      <c r="U1399" s="372" t="s">
        <v>9469</v>
      </c>
      <c r="V1399" s="722">
        <v>57.04</v>
      </c>
      <c r="W1399" s="722">
        <v>1.96</v>
      </c>
      <c r="X1399" s="722">
        <v>0.85</v>
      </c>
      <c r="Y1399" s="722" t="s">
        <v>774</v>
      </c>
      <c r="Z1399" s="382" t="s">
        <v>934</v>
      </c>
      <c r="AA1399" s="372">
        <v>235.8321641</v>
      </c>
      <c r="AB1399" s="372">
        <v>376.07630660000001</v>
      </c>
      <c r="AC1399" s="372">
        <v>594.26814030000003</v>
      </c>
      <c r="AD1399" s="372">
        <v>1218.2686364000001</v>
      </c>
      <c r="AE1399" s="372">
        <v>0</v>
      </c>
      <c r="AF1399" s="372">
        <v>0</v>
      </c>
      <c r="AG1399" s="372">
        <v>0</v>
      </c>
      <c r="AH1399" s="372">
        <v>0</v>
      </c>
    </row>
    <row r="1400" spans="1:34">
      <c r="A1400" s="372" t="s">
        <v>9470</v>
      </c>
      <c r="B1400" s="373" t="s">
        <v>9471</v>
      </c>
      <c r="C1400" s="372" t="s">
        <v>9472</v>
      </c>
      <c r="D1400" s="374">
        <v>1311110367986</v>
      </c>
      <c r="E1400" s="372" t="s">
        <v>9473</v>
      </c>
      <c r="F1400" s="375" t="s">
        <v>1426</v>
      </c>
      <c r="G1400" s="375" t="s">
        <v>1426</v>
      </c>
      <c r="H1400" s="375" t="s">
        <v>868</v>
      </c>
      <c r="I1400" s="375" t="s">
        <v>869</v>
      </c>
      <c r="J1400" s="375">
        <v>32525.031490000001</v>
      </c>
      <c r="K1400" s="375">
        <v>-2482.1961900000001</v>
      </c>
      <c r="L1400" s="375">
        <v>-4479.6789399999998</v>
      </c>
      <c r="M1400" s="375">
        <v>69381.328680000006</v>
      </c>
      <c r="N1400" s="372">
        <v>1.4490000000000001</v>
      </c>
      <c r="O1400" s="703">
        <v>46.298916566700257</v>
      </c>
      <c r="P1400" s="375" t="s">
        <v>623</v>
      </c>
      <c r="Q1400" s="375" t="s">
        <v>623</v>
      </c>
      <c r="R1400" s="695">
        <v>20181015</v>
      </c>
      <c r="S1400" s="375" t="s">
        <v>9474</v>
      </c>
      <c r="T1400" s="696" t="s">
        <v>772</v>
      </c>
      <c r="U1400" s="372" t="s">
        <v>9475</v>
      </c>
      <c r="V1400" s="722" t="s">
        <v>774</v>
      </c>
      <c r="W1400" s="722">
        <v>1.72</v>
      </c>
      <c r="X1400" s="722">
        <v>3.64</v>
      </c>
      <c r="Y1400" s="722" t="s">
        <v>774</v>
      </c>
      <c r="Z1400" s="382">
        <v>0.17072763809101121</v>
      </c>
      <c r="AA1400" s="372">
        <v>469.91996399999999</v>
      </c>
      <c r="AB1400" s="372">
        <v>473.05873009999999</v>
      </c>
      <c r="AC1400" s="372">
        <v>467.76298860000003</v>
      </c>
      <c r="AD1400" s="372">
        <v>325.25031489999998</v>
      </c>
      <c r="AE1400" s="372">
        <v>455</v>
      </c>
      <c r="AF1400" s="372">
        <v>519</v>
      </c>
      <c r="AG1400" s="372">
        <v>611</v>
      </c>
      <c r="AH1400" s="372">
        <v>0</v>
      </c>
    </row>
    <row r="1401" spans="1:34">
      <c r="A1401" s="372" t="s">
        <v>9476</v>
      </c>
      <c r="B1401" s="373" t="s">
        <v>9477</v>
      </c>
      <c r="C1401" s="372" t="s">
        <v>9478</v>
      </c>
      <c r="D1401" s="374">
        <v>1801110015362</v>
      </c>
      <c r="E1401" s="372" t="s">
        <v>9479</v>
      </c>
      <c r="F1401" s="375" t="s">
        <v>2771</v>
      </c>
      <c r="G1401" s="375" t="s">
        <v>9480</v>
      </c>
      <c r="H1401" s="375" t="s">
        <v>817</v>
      </c>
      <c r="I1401" s="375" t="s">
        <v>755</v>
      </c>
      <c r="J1401" s="375">
        <v>830391.81827000005</v>
      </c>
      <c r="K1401" s="375">
        <v>47315.792560000002</v>
      </c>
      <c r="L1401" s="375">
        <v>35318.262289999999</v>
      </c>
      <c r="M1401" s="375">
        <v>226498.15536</v>
      </c>
      <c r="N1401" s="372">
        <v>0.70899999999999996</v>
      </c>
      <c r="O1401" s="703">
        <v>213.85148986773959</v>
      </c>
      <c r="P1401" s="375" t="s">
        <v>623</v>
      </c>
      <c r="Q1401" s="372" t="s">
        <v>623</v>
      </c>
      <c r="R1401" s="695">
        <v>19891113</v>
      </c>
      <c r="S1401" s="372" t="s">
        <v>9481</v>
      </c>
      <c r="T1401" s="696">
        <v>0.23100000000000001</v>
      </c>
      <c r="U1401" s="372" t="s">
        <v>9482</v>
      </c>
      <c r="V1401" s="722">
        <v>0</v>
      </c>
      <c r="W1401" s="722">
        <v>0.48</v>
      </c>
      <c r="X1401" s="722">
        <v>0</v>
      </c>
      <c r="Y1401" s="722">
        <v>0</v>
      </c>
      <c r="Z1401" s="382" t="s">
        <v>934</v>
      </c>
      <c r="AA1401" s="372">
        <v>4153.1351685</v>
      </c>
      <c r="AB1401" s="372">
        <v>6915.2519971000002</v>
      </c>
      <c r="AC1401" s="372">
        <v>7959.3963082</v>
      </c>
      <c r="AD1401" s="372">
        <v>8303.9181826999993</v>
      </c>
      <c r="AE1401" s="372">
        <v>0</v>
      </c>
      <c r="AF1401" s="372">
        <v>0</v>
      </c>
      <c r="AG1401" s="372">
        <v>0</v>
      </c>
      <c r="AH1401" s="372">
        <v>0</v>
      </c>
    </row>
    <row r="1402" spans="1:34">
      <c r="A1402" s="372" t="s">
        <v>9483</v>
      </c>
      <c r="B1402" s="373" t="s">
        <v>9484</v>
      </c>
      <c r="C1402" s="372" t="s">
        <v>9485</v>
      </c>
      <c r="D1402" s="374">
        <v>1101115045045</v>
      </c>
      <c r="E1402" s="372" t="s">
        <v>9486</v>
      </c>
      <c r="F1402" s="372" t="s">
        <v>3399</v>
      </c>
      <c r="G1402" s="375" t="s">
        <v>9487</v>
      </c>
      <c r="H1402" s="375" t="s">
        <v>3127</v>
      </c>
      <c r="I1402" s="375" t="s">
        <v>869</v>
      </c>
      <c r="J1402" s="375">
        <v>190692.80898999999</v>
      </c>
      <c r="K1402" s="375">
        <v>-17795.53645</v>
      </c>
      <c r="L1402" s="375">
        <v>-20529.443070000001</v>
      </c>
      <c r="M1402" s="375">
        <v>23080.91102</v>
      </c>
      <c r="N1402" s="372">
        <v>0.746</v>
      </c>
      <c r="O1402" s="703">
        <v>103.36613675506577</v>
      </c>
      <c r="P1402" s="375" t="s">
        <v>623</v>
      </c>
      <c r="Q1402" s="372" t="s">
        <v>623</v>
      </c>
      <c r="R1402" s="695">
        <v>20181004</v>
      </c>
      <c r="S1402" s="372">
        <v>0</v>
      </c>
      <c r="T1402" s="696" t="s">
        <v>772</v>
      </c>
      <c r="U1402" s="372" t="s">
        <v>9488</v>
      </c>
      <c r="V1402" s="722" t="s">
        <v>774</v>
      </c>
      <c r="W1402" s="722">
        <v>3.45</v>
      </c>
      <c r="X1402" s="722">
        <v>0.56000000000000005</v>
      </c>
      <c r="Y1402" s="722" t="s">
        <v>774</v>
      </c>
      <c r="Z1402" s="382" t="s">
        <v>934</v>
      </c>
      <c r="AA1402" s="372">
        <v>1171.5399748</v>
      </c>
      <c r="AB1402" s="372">
        <v>1911.9514896999999</v>
      </c>
      <c r="AC1402" s="372">
        <v>2172.0224352</v>
      </c>
      <c r="AD1402" s="372">
        <v>1906.9280899</v>
      </c>
      <c r="AE1402" s="372">
        <v>0</v>
      </c>
      <c r="AF1402" s="372">
        <v>0</v>
      </c>
      <c r="AG1402" s="372">
        <v>0</v>
      </c>
      <c r="AH1402" s="372">
        <v>0</v>
      </c>
    </row>
    <row r="1403" spans="1:34">
      <c r="A1403" s="372" t="s">
        <v>9489</v>
      </c>
      <c r="B1403" s="373" t="s">
        <v>9490</v>
      </c>
      <c r="C1403" s="372" t="s">
        <v>9491</v>
      </c>
      <c r="D1403" s="374">
        <v>1101110624969</v>
      </c>
      <c r="E1403" s="372" t="s">
        <v>9492</v>
      </c>
      <c r="F1403" s="375" t="s">
        <v>1607</v>
      </c>
      <c r="G1403" s="375" t="s">
        <v>1607</v>
      </c>
      <c r="H1403" s="375">
        <v>0</v>
      </c>
      <c r="I1403" s="375" t="s">
        <v>869</v>
      </c>
      <c r="J1403" s="375">
        <v>168759.67543999999</v>
      </c>
      <c r="K1403" s="375">
        <v>4381.3680199999999</v>
      </c>
      <c r="L1403" s="375">
        <v>6640.1730299999999</v>
      </c>
      <c r="M1403" s="375">
        <v>92608.584700000007</v>
      </c>
      <c r="N1403" s="372">
        <v>0.753</v>
      </c>
      <c r="O1403" s="703">
        <v>26.175353336281294</v>
      </c>
      <c r="P1403" s="375" t="s">
        <v>623</v>
      </c>
      <c r="Q1403" s="375" t="s">
        <v>623</v>
      </c>
      <c r="R1403" s="695">
        <v>20011009</v>
      </c>
      <c r="S1403" s="375" t="s">
        <v>9061</v>
      </c>
      <c r="T1403" s="696">
        <v>0.20900000000000002</v>
      </c>
      <c r="U1403" s="375" t="s">
        <v>9493</v>
      </c>
      <c r="V1403" s="722">
        <v>0</v>
      </c>
      <c r="W1403" s="722">
        <v>1.08</v>
      </c>
      <c r="X1403" s="722">
        <v>0</v>
      </c>
      <c r="Y1403" s="722">
        <v>0</v>
      </c>
      <c r="Z1403" s="382" t="s">
        <v>934</v>
      </c>
      <c r="AA1403" s="372">
        <v>1208.0142444999999</v>
      </c>
      <c r="AB1403" s="372">
        <v>1287.0299083</v>
      </c>
      <c r="AC1403" s="372">
        <v>1726.183182</v>
      </c>
      <c r="AD1403" s="372">
        <v>1687.5967544</v>
      </c>
      <c r="AE1403" s="372">
        <v>0</v>
      </c>
      <c r="AF1403" s="372">
        <v>0</v>
      </c>
      <c r="AG1403" s="372">
        <v>0</v>
      </c>
      <c r="AH1403" s="372">
        <v>0</v>
      </c>
    </row>
    <row r="1404" spans="1:34">
      <c r="A1404" s="372" t="s">
        <v>9494</v>
      </c>
      <c r="B1404" s="373" t="s">
        <v>9495</v>
      </c>
      <c r="C1404" s="372" t="s">
        <v>9496</v>
      </c>
      <c r="D1404" s="374">
        <v>1201110063785</v>
      </c>
      <c r="E1404" s="372" t="s">
        <v>9497</v>
      </c>
      <c r="F1404" s="375" t="s">
        <v>1285</v>
      </c>
      <c r="G1404" s="375" t="s">
        <v>1285</v>
      </c>
      <c r="H1404" s="375" t="s">
        <v>1388</v>
      </c>
      <c r="I1404" s="375" t="s">
        <v>869</v>
      </c>
      <c r="J1404" s="375">
        <v>0</v>
      </c>
      <c r="K1404" s="375">
        <v>0</v>
      </c>
      <c r="L1404" s="375">
        <v>0</v>
      </c>
      <c r="M1404" s="375">
        <v>48223.115449999998</v>
      </c>
      <c r="N1404" s="372" t="s">
        <v>1033</v>
      </c>
      <c r="O1404" s="703">
        <v>37.323388082266753</v>
      </c>
      <c r="P1404" s="375" t="s">
        <v>623</v>
      </c>
      <c r="Q1404" s="372" t="s">
        <v>623</v>
      </c>
      <c r="R1404" s="695">
        <v>20230217</v>
      </c>
      <c r="S1404" s="372" t="s">
        <v>9498</v>
      </c>
      <c r="T1404" s="696" t="s">
        <v>772</v>
      </c>
      <c r="U1404" s="372" t="s">
        <v>9499</v>
      </c>
      <c r="V1404" s="722">
        <v>0</v>
      </c>
      <c r="W1404" s="722">
        <v>2.2599999999999998</v>
      </c>
      <c r="X1404" s="722">
        <v>0</v>
      </c>
      <c r="Y1404" s="722">
        <v>0</v>
      </c>
      <c r="Z1404" s="382" t="s">
        <v>934</v>
      </c>
      <c r="AA1404" s="372">
        <v>580.97535489999996</v>
      </c>
      <c r="AB1404" s="372">
        <v>660.5895137</v>
      </c>
      <c r="AC1404" s="372">
        <v>643.7092973</v>
      </c>
      <c r="AD1404" s="372">
        <v>692.22343609999996</v>
      </c>
      <c r="AE1404" s="372">
        <v>0</v>
      </c>
      <c r="AF1404" s="372">
        <v>0</v>
      </c>
      <c r="AG1404" s="372">
        <v>0</v>
      </c>
      <c r="AH1404" s="372">
        <v>0</v>
      </c>
    </row>
    <row r="1405" spans="1:34">
      <c r="A1405" s="372" t="s">
        <v>9500</v>
      </c>
      <c r="B1405" s="373" t="s">
        <v>9501</v>
      </c>
      <c r="C1405" s="372" t="s">
        <v>9502</v>
      </c>
      <c r="D1405" s="374">
        <v>1351110045041</v>
      </c>
      <c r="E1405" s="372" t="s">
        <v>9503</v>
      </c>
      <c r="F1405" s="375" t="s">
        <v>2858</v>
      </c>
      <c r="G1405" s="375" t="s">
        <v>2858</v>
      </c>
      <c r="H1405" s="375" t="s">
        <v>1388</v>
      </c>
      <c r="I1405" s="375" t="s">
        <v>869</v>
      </c>
      <c r="J1405" s="375">
        <v>262811.61911000003</v>
      </c>
      <c r="K1405" s="375">
        <v>9986.4624999999996</v>
      </c>
      <c r="L1405" s="375">
        <v>18282.14472</v>
      </c>
      <c r="M1405" s="375">
        <v>204908.54876000001</v>
      </c>
      <c r="N1405" s="372">
        <v>0.71099999999999997</v>
      </c>
      <c r="O1405" s="703">
        <v>2.8499080830552468</v>
      </c>
      <c r="P1405" s="375" t="s">
        <v>623</v>
      </c>
      <c r="Q1405" s="375" t="s">
        <v>623</v>
      </c>
      <c r="R1405" s="695">
        <v>20071220</v>
      </c>
      <c r="S1405" s="375" t="s">
        <v>9504</v>
      </c>
      <c r="T1405" s="696">
        <v>0.20900000000000002</v>
      </c>
      <c r="U1405" s="372" t="s">
        <v>9505</v>
      </c>
      <c r="V1405" s="722">
        <v>7.99</v>
      </c>
      <c r="W1405" s="722">
        <v>0.53</v>
      </c>
      <c r="X1405" s="722">
        <v>0.41</v>
      </c>
      <c r="Y1405" s="722">
        <v>7.49</v>
      </c>
      <c r="Z1405" s="382" t="s">
        <v>934</v>
      </c>
      <c r="AA1405" s="372">
        <v>3156.1937514000001</v>
      </c>
      <c r="AB1405" s="372">
        <v>2885.4788423999998</v>
      </c>
      <c r="AC1405" s="372">
        <v>3167.8992242999998</v>
      </c>
      <c r="AD1405" s="372">
        <v>2628.1161910999999</v>
      </c>
      <c r="AE1405" s="372">
        <v>0</v>
      </c>
      <c r="AF1405" s="372">
        <v>0</v>
      </c>
      <c r="AG1405" s="372">
        <v>0</v>
      </c>
      <c r="AH1405" s="372">
        <v>0</v>
      </c>
    </row>
    <row r="1406" spans="1:34">
      <c r="A1406" s="372" t="s">
        <v>9506</v>
      </c>
      <c r="B1406" s="373" t="s">
        <v>9507</v>
      </c>
      <c r="C1406" s="372" t="s">
        <v>9508</v>
      </c>
      <c r="D1406" s="374">
        <v>1601110096473</v>
      </c>
      <c r="E1406" s="372" t="s">
        <v>9509</v>
      </c>
      <c r="F1406" s="375" t="s">
        <v>1286</v>
      </c>
      <c r="G1406" s="375" t="s">
        <v>1465</v>
      </c>
      <c r="H1406" s="375" t="s">
        <v>1388</v>
      </c>
      <c r="I1406" s="375" t="s">
        <v>869</v>
      </c>
      <c r="J1406" s="375">
        <v>50670.58135</v>
      </c>
      <c r="K1406" s="375">
        <v>-6280.8355799999999</v>
      </c>
      <c r="L1406" s="375">
        <v>-374.16516999999999</v>
      </c>
      <c r="M1406" s="375">
        <v>84009.589259999993</v>
      </c>
      <c r="N1406" s="372">
        <v>0.81699999999999995</v>
      </c>
      <c r="O1406" s="703">
        <v>27.069801291004232</v>
      </c>
      <c r="P1406" s="375" t="s">
        <v>623</v>
      </c>
      <c r="Q1406" s="375" t="s">
        <v>623</v>
      </c>
      <c r="R1406" s="695">
        <v>20150612</v>
      </c>
      <c r="S1406" s="372" t="s">
        <v>9510</v>
      </c>
      <c r="T1406" s="696" t="s">
        <v>772</v>
      </c>
      <c r="U1406" s="372" t="s">
        <v>9511</v>
      </c>
      <c r="V1406" s="722">
        <v>0</v>
      </c>
      <c r="W1406" s="722">
        <v>0.55000000000000004</v>
      </c>
      <c r="X1406" s="722">
        <v>0</v>
      </c>
      <c r="Y1406" s="722">
        <v>0</v>
      </c>
      <c r="Z1406" s="382" t="s">
        <v>934</v>
      </c>
      <c r="AA1406" s="372">
        <v>390.80596989999998</v>
      </c>
      <c r="AB1406" s="372">
        <v>506.03998180000002</v>
      </c>
      <c r="AC1406" s="372">
        <v>628.62344380000002</v>
      </c>
      <c r="AD1406" s="372">
        <v>506.70581349999998</v>
      </c>
      <c r="AE1406" s="372">
        <v>0</v>
      </c>
      <c r="AF1406" s="372">
        <v>0</v>
      </c>
      <c r="AG1406" s="372">
        <v>0</v>
      </c>
      <c r="AH1406" s="372">
        <v>0</v>
      </c>
    </row>
    <row r="1407" spans="1:34">
      <c r="A1407" s="372" t="s">
        <v>9512</v>
      </c>
      <c r="B1407" s="373" t="s">
        <v>9513</v>
      </c>
      <c r="C1407" s="372" t="s">
        <v>9514</v>
      </c>
      <c r="D1407" s="374">
        <v>1101110099609</v>
      </c>
      <c r="E1407" s="372" t="s">
        <v>9515</v>
      </c>
      <c r="F1407" s="372" t="s">
        <v>3455</v>
      </c>
      <c r="G1407" s="375" t="s">
        <v>3455</v>
      </c>
      <c r="H1407" s="375" t="s">
        <v>868</v>
      </c>
      <c r="I1407" s="375" t="s">
        <v>869</v>
      </c>
      <c r="J1407" s="375">
        <v>2146398.73961</v>
      </c>
      <c r="K1407" s="375">
        <v>82233.894530000005</v>
      </c>
      <c r="L1407" s="375">
        <v>106731.01162999999</v>
      </c>
      <c r="M1407" s="375">
        <v>744496.29275999998</v>
      </c>
      <c r="N1407" s="372">
        <v>0.75900000000000001</v>
      </c>
      <c r="O1407" s="703">
        <v>251.34246974156565</v>
      </c>
      <c r="P1407" s="375" t="s">
        <v>623</v>
      </c>
      <c r="Q1407" s="372" t="s">
        <v>623</v>
      </c>
      <c r="R1407" s="695">
        <v>19990512</v>
      </c>
      <c r="S1407" s="372" t="s">
        <v>9516</v>
      </c>
      <c r="T1407" s="696">
        <v>0.23100000000000001</v>
      </c>
      <c r="U1407" s="372" t="s">
        <v>9517</v>
      </c>
      <c r="V1407" s="722">
        <v>3.12</v>
      </c>
      <c r="W1407" s="722">
        <v>0.28000000000000003</v>
      </c>
      <c r="X1407" s="722">
        <v>0.05</v>
      </c>
      <c r="Y1407" s="722">
        <v>2.25</v>
      </c>
      <c r="Z1407" s="382" t="s">
        <v>934</v>
      </c>
      <c r="AA1407" s="372">
        <v>16616.500857300001</v>
      </c>
      <c r="AB1407" s="372">
        <v>18067.354390600001</v>
      </c>
      <c r="AC1407" s="372">
        <v>19792.613810399998</v>
      </c>
      <c r="AD1407" s="372">
        <v>21463.987396100001</v>
      </c>
      <c r="AE1407" s="372">
        <v>0</v>
      </c>
      <c r="AF1407" s="372">
        <v>0</v>
      </c>
      <c r="AG1407" s="372">
        <v>0</v>
      </c>
      <c r="AH1407" s="372">
        <v>0</v>
      </c>
    </row>
    <row r="1408" spans="1:34">
      <c r="A1408" s="372" t="s">
        <v>9518</v>
      </c>
      <c r="B1408" s="373" t="s">
        <v>9519</v>
      </c>
      <c r="C1408" s="372" t="s">
        <v>9520</v>
      </c>
      <c r="D1408" s="374">
        <v>1358110087297</v>
      </c>
      <c r="E1408" s="372" t="s">
        <v>9521</v>
      </c>
      <c r="F1408" s="375" t="s">
        <v>4226</v>
      </c>
      <c r="G1408" s="375" t="s">
        <v>4226</v>
      </c>
      <c r="H1408" s="375" t="s">
        <v>1388</v>
      </c>
      <c r="I1408" s="375" t="s">
        <v>869</v>
      </c>
      <c r="J1408" s="375">
        <v>108128.06703000001</v>
      </c>
      <c r="K1408" s="375">
        <v>9271.8771199999992</v>
      </c>
      <c r="L1408" s="375">
        <v>11532.608679999999</v>
      </c>
      <c r="M1408" s="375">
        <v>207416.76159000001</v>
      </c>
      <c r="N1408" s="372">
        <v>0.57899999999999996</v>
      </c>
      <c r="O1408" s="703">
        <v>7.2112933252580671</v>
      </c>
      <c r="P1408" s="375" t="s">
        <v>623</v>
      </c>
      <c r="Q1408" s="372" t="s">
        <v>623</v>
      </c>
      <c r="R1408" s="695">
        <v>20070820</v>
      </c>
      <c r="S1408" s="375" t="s">
        <v>9522</v>
      </c>
      <c r="T1408" s="696">
        <v>0.20900000000000002</v>
      </c>
      <c r="U1408" s="375" t="s">
        <v>9523</v>
      </c>
      <c r="V1408" s="722">
        <v>9.17</v>
      </c>
      <c r="W1408" s="722">
        <v>0.54</v>
      </c>
      <c r="X1408" s="722">
        <v>1.01</v>
      </c>
      <c r="Y1408" s="722">
        <v>9.91</v>
      </c>
      <c r="Z1408" s="382" t="s">
        <v>934</v>
      </c>
      <c r="AA1408" s="372">
        <v>744.61958990000005</v>
      </c>
      <c r="AB1408" s="372">
        <v>1003.8981894</v>
      </c>
      <c r="AC1408" s="372">
        <v>1348.9396681000001</v>
      </c>
      <c r="AD1408" s="372">
        <v>1081.2806703000001</v>
      </c>
      <c r="AE1408" s="372">
        <v>1815</v>
      </c>
      <c r="AF1408" s="372">
        <v>2306</v>
      </c>
      <c r="AG1408" s="372">
        <v>0</v>
      </c>
      <c r="AH1408" s="372">
        <v>0</v>
      </c>
    </row>
    <row r="1409" spans="1:34">
      <c r="A1409" s="372" t="s">
        <v>9524</v>
      </c>
      <c r="B1409" s="373" t="s">
        <v>9525</v>
      </c>
      <c r="C1409" s="372" t="s">
        <v>9526</v>
      </c>
      <c r="D1409" s="374">
        <v>1101110037427</v>
      </c>
      <c r="E1409" s="372" t="s">
        <v>9527</v>
      </c>
      <c r="F1409" s="375" t="s">
        <v>1104</v>
      </c>
      <c r="G1409" s="375" t="s">
        <v>1105</v>
      </c>
      <c r="H1409" s="375" t="s">
        <v>832</v>
      </c>
      <c r="I1409" s="375" t="s">
        <v>755</v>
      </c>
      <c r="J1409" s="375">
        <v>109337.76336</v>
      </c>
      <c r="K1409" s="375">
        <v>9024.5604399999993</v>
      </c>
      <c r="L1409" s="375">
        <v>8823.2990000000009</v>
      </c>
      <c r="M1409" s="375">
        <v>52621.954299999998</v>
      </c>
      <c r="N1409" s="372">
        <v>0.77200000000000002</v>
      </c>
      <c r="O1409" s="703">
        <v>16.921788809811027</v>
      </c>
      <c r="P1409" s="375" t="s">
        <v>623</v>
      </c>
      <c r="Q1409" s="372" t="s">
        <v>623</v>
      </c>
      <c r="R1409" s="695">
        <v>19780206</v>
      </c>
      <c r="S1409" s="375" t="s">
        <v>9528</v>
      </c>
      <c r="T1409" s="696">
        <v>0.20900000000000002</v>
      </c>
      <c r="U1409" s="372" t="s">
        <v>9529</v>
      </c>
      <c r="V1409" s="722">
        <v>0</v>
      </c>
      <c r="W1409" s="722">
        <v>1.96</v>
      </c>
      <c r="X1409" s="722">
        <v>0</v>
      </c>
      <c r="Y1409" s="722">
        <v>0</v>
      </c>
      <c r="Z1409" s="382" t="s">
        <v>934</v>
      </c>
      <c r="AA1409" s="372">
        <v>619.90281670000002</v>
      </c>
      <c r="AB1409" s="372">
        <v>678.09682459999999</v>
      </c>
      <c r="AC1409" s="372">
        <v>1038.7696851000001</v>
      </c>
      <c r="AD1409" s="372">
        <v>1093.3776336000001</v>
      </c>
      <c r="AE1409" s="372">
        <v>0</v>
      </c>
      <c r="AF1409" s="372">
        <v>0</v>
      </c>
      <c r="AG1409" s="372">
        <v>0</v>
      </c>
      <c r="AH1409" s="372">
        <v>0</v>
      </c>
    </row>
    <row r="1410" spans="1:34">
      <c r="A1410" s="372" t="s">
        <v>9530</v>
      </c>
      <c r="B1410" s="373" t="s">
        <v>9531</v>
      </c>
      <c r="C1410" s="372" t="s">
        <v>9532</v>
      </c>
      <c r="D1410" s="374">
        <v>1101110176986</v>
      </c>
      <c r="E1410" s="372" t="s">
        <v>9533</v>
      </c>
      <c r="F1410" s="375" t="s">
        <v>1714</v>
      </c>
      <c r="G1410" s="375" t="s">
        <v>1714</v>
      </c>
      <c r="H1410" s="375" t="s">
        <v>1348</v>
      </c>
      <c r="I1410" s="375" t="s">
        <v>869</v>
      </c>
      <c r="J1410" s="375">
        <v>218556.32626</v>
      </c>
      <c r="K1410" s="375">
        <v>12169.64695</v>
      </c>
      <c r="L1410" s="375">
        <v>13330.104590000001</v>
      </c>
      <c r="M1410" s="375">
        <v>117779.85014</v>
      </c>
      <c r="N1410" s="372">
        <v>0.92300000000000004</v>
      </c>
      <c r="O1410" s="703">
        <v>2.5500546693051542</v>
      </c>
      <c r="P1410" s="375" t="s">
        <v>623</v>
      </c>
      <c r="Q1410" s="375" t="s">
        <v>623</v>
      </c>
      <c r="R1410" s="695">
        <v>20001020</v>
      </c>
      <c r="S1410" s="375" t="s">
        <v>9534</v>
      </c>
      <c r="T1410" s="696">
        <v>0.20900000000000002</v>
      </c>
      <c r="U1410" s="372" t="s">
        <v>9535</v>
      </c>
      <c r="V1410" s="722">
        <v>8.92</v>
      </c>
      <c r="W1410" s="722">
        <v>1.07</v>
      </c>
      <c r="X1410" s="722">
        <v>0.57999999999999996</v>
      </c>
      <c r="Y1410" s="722">
        <v>12.89</v>
      </c>
      <c r="Z1410" s="382" t="s">
        <v>934</v>
      </c>
      <c r="AA1410" s="372">
        <v>1322.8241367000001</v>
      </c>
      <c r="AB1410" s="372">
        <v>1573.5786343</v>
      </c>
      <c r="AC1410" s="372">
        <v>1900.8949098000001</v>
      </c>
      <c r="AD1410" s="372">
        <v>2185.5632626000001</v>
      </c>
      <c r="AE1410" s="372">
        <v>0</v>
      </c>
      <c r="AF1410" s="372">
        <v>0</v>
      </c>
      <c r="AG1410" s="372">
        <v>0</v>
      </c>
      <c r="AH1410" s="372">
        <v>0</v>
      </c>
    </row>
    <row r="1411" spans="1:34">
      <c r="A1411" s="372" t="s">
        <v>9536</v>
      </c>
      <c r="B1411" s="373" t="s">
        <v>9537</v>
      </c>
      <c r="C1411" s="372" t="s">
        <v>9538</v>
      </c>
      <c r="D1411" s="374">
        <v>1350110029576</v>
      </c>
      <c r="E1411" s="372" t="s">
        <v>9539</v>
      </c>
      <c r="F1411" s="375" t="s">
        <v>1782</v>
      </c>
      <c r="G1411" s="375" t="s">
        <v>2261</v>
      </c>
      <c r="H1411" s="375" t="s">
        <v>868</v>
      </c>
      <c r="I1411" s="375" t="s">
        <v>869</v>
      </c>
      <c r="J1411" s="375">
        <v>72622.359559999997</v>
      </c>
      <c r="K1411" s="375">
        <v>9043.6519800000005</v>
      </c>
      <c r="L1411" s="375">
        <v>7174.1585599999999</v>
      </c>
      <c r="M1411" s="375">
        <v>72835.763399999996</v>
      </c>
      <c r="N1411" s="372">
        <v>1.04</v>
      </c>
      <c r="O1411" s="703">
        <v>38.942828976572095</v>
      </c>
      <c r="P1411" s="375" t="s">
        <v>623</v>
      </c>
      <c r="Q1411" s="375" t="s">
        <v>623</v>
      </c>
      <c r="R1411" s="695">
        <v>20210127</v>
      </c>
      <c r="S1411" s="375" t="s">
        <v>9540</v>
      </c>
      <c r="T1411" s="696">
        <v>0.20900000000000002</v>
      </c>
      <c r="U1411" s="372" t="s">
        <v>9541</v>
      </c>
      <c r="V1411" s="722">
        <v>9.2899999999999991</v>
      </c>
      <c r="W1411" s="722">
        <v>1.41</v>
      </c>
      <c r="X1411" s="722">
        <v>1.38</v>
      </c>
      <c r="Y1411" s="722">
        <v>17.850000000000001</v>
      </c>
      <c r="Z1411" s="382" t="s">
        <v>934</v>
      </c>
      <c r="AA1411" s="372">
        <v>463.92320330000001</v>
      </c>
      <c r="AB1411" s="372">
        <v>487.0298401</v>
      </c>
      <c r="AC1411" s="372">
        <v>643.32226649999996</v>
      </c>
      <c r="AD1411" s="372">
        <v>726.22359559999995</v>
      </c>
      <c r="AE1411" s="372">
        <v>972</v>
      </c>
      <c r="AF1411" s="372">
        <v>0</v>
      </c>
      <c r="AG1411" s="372">
        <v>0</v>
      </c>
      <c r="AH1411" s="372">
        <v>0</v>
      </c>
    </row>
    <row r="1412" spans="1:34">
      <c r="A1412" s="372" t="s">
        <v>9542</v>
      </c>
      <c r="B1412" s="373" t="s">
        <v>9543</v>
      </c>
      <c r="C1412" s="372" t="s">
        <v>9544</v>
      </c>
      <c r="D1412" s="374">
        <v>1101115448520</v>
      </c>
      <c r="E1412" s="372" t="s">
        <v>9545</v>
      </c>
      <c r="F1412" s="375" t="s">
        <v>7276</v>
      </c>
      <c r="G1412" s="375" t="s">
        <v>7276</v>
      </c>
      <c r="H1412" s="375" t="s">
        <v>868</v>
      </c>
      <c r="I1412" s="375" t="s">
        <v>869</v>
      </c>
      <c r="J1412" s="375">
        <v>37252.698969999998</v>
      </c>
      <c r="K1412" s="375">
        <v>-4787.40852</v>
      </c>
      <c r="L1412" s="375">
        <v>-25085.02752</v>
      </c>
      <c r="M1412" s="375">
        <v>30432.34374</v>
      </c>
      <c r="N1412" s="372">
        <v>1.151</v>
      </c>
      <c r="O1412" s="703">
        <v>30.681793642384729</v>
      </c>
      <c r="P1412" s="375" t="s">
        <v>623</v>
      </c>
      <c r="Q1412" s="372" t="s">
        <v>623</v>
      </c>
      <c r="R1412" s="695">
        <v>20140930</v>
      </c>
      <c r="S1412" s="372" t="s">
        <v>2092</v>
      </c>
      <c r="T1412" s="696" t="s">
        <v>772</v>
      </c>
      <c r="U1412" s="372" t="s">
        <v>9546</v>
      </c>
      <c r="V1412" s="722" t="s">
        <v>774</v>
      </c>
      <c r="W1412" s="722">
        <v>4.17</v>
      </c>
      <c r="X1412" s="722">
        <v>3.08</v>
      </c>
      <c r="Y1412" s="722" t="s">
        <v>774</v>
      </c>
      <c r="Z1412" s="382" t="s">
        <v>934</v>
      </c>
      <c r="AA1412" s="372">
        <v>207.27211879999999</v>
      </c>
      <c r="AB1412" s="372">
        <v>325.29392560000002</v>
      </c>
      <c r="AC1412" s="372">
        <v>265.75597420000003</v>
      </c>
      <c r="AD1412" s="372">
        <v>372.5269897</v>
      </c>
      <c r="AE1412" s="372">
        <v>0</v>
      </c>
      <c r="AF1412" s="372">
        <v>0</v>
      </c>
      <c r="AG1412" s="372">
        <v>0</v>
      </c>
      <c r="AH1412" s="372">
        <v>0</v>
      </c>
    </row>
    <row r="1413" spans="1:34">
      <c r="A1413" s="372" t="s">
        <v>9547</v>
      </c>
      <c r="B1413" s="373" t="s">
        <v>9548</v>
      </c>
      <c r="C1413" s="372" t="s">
        <v>9549</v>
      </c>
      <c r="D1413" s="374">
        <v>1341110000765</v>
      </c>
      <c r="E1413" s="372" t="s">
        <v>9550</v>
      </c>
      <c r="F1413" s="375" t="s">
        <v>1334</v>
      </c>
      <c r="G1413" s="375" t="s">
        <v>1334</v>
      </c>
      <c r="H1413" s="375" t="s">
        <v>868</v>
      </c>
      <c r="I1413" s="375" t="s">
        <v>869</v>
      </c>
      <c r="J1413" s="375">
        <v>97211.286210000006</v>
      </c>
      <c r="K1413" s="375">
        <v>23500.21153</v>
      </c>
      <c r="L1413" s="375">
        <v>28475.587510000001</v>
      </c>
      <c r="M1413" s="375">
        <v>200470.21249000001</v>
      </c>
      <c r="N1413" s="372">
        <v>0.60299999999999998</v>
      </c>
      <c r="O1413" s="703">
        <v>12.032587264013337</v>
      </c>
      <c r="P1413" s="375" t="s">
        <v>623</v>
      </c>
      <c r="Q1413" s="372" t="s">
        <v>623</v>
      </c>
      <c r="R1413" s="695">
        <v>20000714</v>
      </c>
      <c r="S1413" s="372" t="s">
        <v>9551</v>
      </c>
      <c r="T1413" s="696">
        <v>0.23100000000000001</v>
      </c>
      <c r="U1413" s="372" t="s">
        <v>9552</v>
      </c>
      <c r="V1413" s="722">
        <v>3.81</v>
      </c>
      <c r="W1413" s="722">
        <v>0.52</v>
      </c>
      <c r="X1413" s="722">
        <v>1.07</v>
      </c>
      <c r="Y1413" s="722">
        <v>4.8899999999999997</v>
      </c>
      <c r="Z1413" s="382" t="s">
        <v>934</v>
      </c>
      <c r="AA1413" s="372">
        <v>536.52808949999996</v>
      </c>
      <c r="AB1413" s="372">
        <v>546.66374870000004</v>
      </c>
      <c r="AC1413" s="372">
        <v>816.99539719999996</v>
      </c>
      <c r="AD1413" s="372">
        <v>972.11286210000003</v>
      </c>
      <c r="AE1413" s="372">
        <v>0</v>
      </c>
      <c r="AF1413" s="372">
        <v>0</v>
      </c>
      <c r="AG1413" s="372">
        <v>0</v>
      </c>
      <c r="AH1413" s="372">
        <v>0</v>
      </c>
    </row>
    <row r="1414" spans="1:34">
      <c r="A1414" s="372" t="s">
        <v>9553</v>
      </c>
      <c r="B1414" s="373" t="s">
        <v>9554</v>
      </c>
      <c r="C1414" s="372" t="s">
        <v>9555</v>
      </c>
      <c r="D1414" s="374">
        <v>1101110215578</v>
      </c>
      <c r="E1414" s="372" t="s">
        <v>9556</v>
      </c>
      <c r="F1414" s="375" t="s">
        <v>3941</v>
      </c>
      <c r="G1414" s="375" t="s">
        <v>3942</v>
      </c>
      <c r="H1414" s="375" t="s">
        <v>1327</v>
      </c>
      <c r="I1414" s="375" t="s">
        <v>755</v>
      </c>
      <c r="J1414" s="375">
        <v>0</v>
      </c>
      <c r="K1414" s="375">
        <v>0</v>
      </c>
      <c r="L1414" s="375">
        <v>0</v>
      </c>
      <c r="M1414" s="375">
        <v>78050.323900000003</v>
      </c>
      <c r="N1414" s="372">
        <v>0.96399999999999997</v>
      </c>
      <c r="O1414" s="703">
        <v>39.450078996993909</v>
      </c>
      <c r="P1414" s="375" t="s">
        <v>623</v>
      </c>
      <c r="Q1414" s="375" t="s">
        <v>623</v>
      </c>
      <c r="R1414" s="695">
        <v>19881126</v>
      </c>
      <c r="S1414" s="375" t="s">
        <v>9557</v>
      </c>
      <c r="T1414" s="696" t="s">
        <v>772</v>
      </c>
      <c r="U1414" s="372" t="s">
        <v>9558</v>
      </c>
      <c r="V1414" s="722">
        <v>0</v>
      </c>
      <c r="W1414" s="722">
        <v>1.36</v>
      </c>
      <c r="X1414" s="722">
        <v>0</v>
      </c>
      <c r="Y1414" s="722">
        <v>0</v>
      </c>
      <c r="Z1414" s="382" t="s">
        <v>934</v>
      </c>
      <c r="AA1414" s="372">
        <v>1490.49674</v>
      </c>
      <c r="AB1414" s="372">
        <v>1621.4295162999999</v>
      </c>
      <c r="AC1414" s="372">
        <v>1527.0147193</v>
      </c>
      <c r="AD1414" s="372">
        <v>1483.4880728000001</v>
      </c>
      <c r="AE1414" s="372">
        <v>0</v>
      </c>
      <c r="AF1414" s="372">
        <v>0</v>
      </c>
      <c r="AG1414" s="372">
        <v>0</v>
      </c>
      <c r="AH1414" s="372">
        <v>0</v>
      </c>
    </row>
    <row r="1415" spans="1:34">
      <c r="A1415" s="372" t="s">
        <v>9559</v>
      </c>
      <c r="B1415" s="373" t="s">
        <v>9560</v>
      </c>
      <c r="C1415" s="372" t="s">
        <v>9561</v>
      </c>
      <c r="D1415" s="374">
        <v>1101111982720</v>
      </c>
      <c r="E1415" s="372" t="s">
        <v>9562</v>
      </c>
      <c r="F1415" s="375" t="s">
        <v>1334</v>
      </c>
      <c r="G1415" s="375" t="s">
        <v>1334</v>
      </c>
      <c r="H1415" s="375" t="s">
        <v>868</v>
      </c>
      <c r="I1415" s="375" t="s">
        <v>869</v>
      </c>
      <c r="J1415" s="375">
        <v>56806.335189999998</v>
      </c>
      <c r="K1415" s="375">
        <v>-22656.494900000002</v>
      </c>
      <c r="L1415" s="375">
        <v>-32525.344359999999</v>
      </c>
      <c r="M1415" s="375">
        <v>59592.90681</v>
      </c>
      <c r="N1415" s="372">
        <v>0.91300000000000003</v>
      </c>
      <c r="O1415" s="703">
        <v>107.95514126008992</v>
      </c>
      <c r="P1415" s="375" t="s">
        <v>623</v>
      </c>
      <c r="Q1415" s="375" t="s">
        <v>623</v>
      </c>
      <c r="R1415" s="695">
        <v>20180712</v>
      </c>
      <c r="S1415" s="375" t="s">
        <v>9563</v>
      </c>
      <c r="T1415" s="696" t="s">
        <v>772</v>
      </c>
      <c r="U1415" s="375" t="s">
        <v>9564</v>
      </c>
      <c r="V1415" s="722" t="s">
        <v>774</v>
      </c>
      <c r="W1415" s="722">
        <v>1.27</v>
      </c>
      <c r="X1415" s="722">
        <v>1.38</v>
      </c>
      <c r="Y1415" s="722" t="s">
        <v>774</v>
      </c>
      <c r="Z1415" s="382" t="s">
        <v>934</v>
      </c>
      <c r="AA1415" s="372">
        <v>901.44211140000004</v>
      </c>
      <c r="AB1415" s="372">
        <v>642.82851840000001</v>
      </c>
      <c r="AC1415" s="372">
        <v>593.67111179999995</v>
      </c>
      <c r="AD1415" s="372">
        <v>568.06335190000004</v>
      </c>
      <c r="AE1415" s="372">
        <v>0</v>
      </c>
      <c r="AF1415" s="372">
        <v>0</v>
      </c>
      <c r="AG1415" s="372">
        <v>0</v>
      </c>
      <c r="AH1415" s="372">
        <v>0</v>
      </c>
    </row>
    <row r="1416" spans="1:34">
      <c r="A1416" s="372" t="s">
        <v>9565</v>
      </c>
      <c r="B1416" s="373" t="s">
        <v>9566</v>
      </c>
      <c r="C1416" s="372" t="s">
        <v>9567</v>
      </c>
      <c r="D1416" s="374">
        <v>1101111977937</v>
      </c>
      <c r="E1416" s="372" t="s">
        <v>9568</v>
      </c>
      <c r="F1416" s="375" t="s">
        <v>1814</v>
      </c>
      <c r="G1416" s="375" t="s">
        <v>2821</v>
      </c>
      <c r="H1416" s="375" t="s">
        <v>1693</v>
      </c>
      <c r="I1416" s="375" t="s">
        <v>869</v>
      </c>
      <c r="J1416" s="375">
        <v>19483.806079999998</v>
      </c>
      <c r="K1416" s="375">
        <v>-155.58273</v>
      </c>
      <c r="L1416" s="375">
        <v>-1119.16553</v>
      </c>
      <c r="M1416" s="375">
        <v>28459.170630000001</v>
      </c>
      <c r="N1416" s="372" t="s">
        <v>1033</v>
      </c>
      <c r="O1416" s="703">
        <v>23.192941711448569</v>
      </c>
      <c r="P1416" s="375" t="s">
        <v>623</v>
      </c>
      <c r="Q1416" s="375" t="s">
        <v>623</v>
      </c>
      <c r="R1416" s="695">
        <v>20230706</v>
      </c>
      <c r="S1416" s="375" t="s">
        <v>9569</v>
      </c>
      <c r="T1416" s="696" t="s">
        <v>772</v>
      </c>
      <c r="U1416" s="372" t="s">
        <v>9570</v>
      </c>
      <c r="V1416" s="722">
        <v>139.41999999999999</v>
      </c>
      <c r="W1416" s="722">
        <v>4.5999999999999996</v>
      </c>
      <c r="X1416" s="722">
        <v>6.33</v>
      </c>
      <c r="Y1416" s="722" t="s">
        <v>774</v>
      </c>
      <c r="Z1416" s="382" t="s">
        <v>934</v>
      </c>
      <c r="AA1416" s="372">
        <v>148.72632830000001</v>
      </c>
      <c r="AB1416" s="372">
        <v>140.38403890000001</v>
      </c>
      <c r="AC1416" s="372">
        <v>168.78208530000001</v>
      </c>
      <c r="AD1416" s="372">
        <v>194.83806079999999</v>
      </c>
      <c r="AE1416" s="372">
        <v>368</v>
      </c>
      <c r="AF1416" s="372">
        <v>582</v>
      </c>
      <c r="AG1416" s="372">
        <v>0</v>
      </c>
      <c r="AH1416" s="372">
        <v>0</v>
      </c>
    </row>
    <row r="1417" spans="1:34">
      <c r="A1417" s="372" t="s">
        <v>9571</v>
      </c>
      <c r="B1417" s="373" t="s">
        <v>9572</v>
      </c>
      <c r="C1417" s="372" t="s">
        <v>9573</v>
      </c>
      <c r="D1417" s="374">
        <v>1812110003421</v>
      </c>
      <c r="E1417" s="372" t="s">
        <v>9574</v>
      </c>
      <c r="F1417" s="375" t="s">
        <v>3020</v>
      </c>
      <c r="G1417" s="375" t="s">
        <v>3020</v>
      </c>
      <c r="H1417" s="375" t="s">
        <v>868</v>
      </c>
      <c r="I1417" s="375" t="s">
        <v>869</v>
      </c>
      <c r="J1417" s="375">
        <v>1371412.85185</v>
      </c>
      <c r="K1417" s="375">
        <v>62917.2719</v>
      </c>
      <c r="L1417" s="375">
        <v>25583.27363</v>
      </c>
      <c r="M1417" s="375">
        <v>358471.03648000001</v>
      </c>
      <c r="N1417" s="372">
        <v>1.107</v>
      </c>
      <c r="O1417" s="703">
        <v>552.56519859060461</v>
      </c>
      <c r="P1417" s="375" t="s">
        <v>623</v>
      </c>
      <c r="Q1417" s="375" t="s">
        <v>623</v>
      </c>
      <c r="R1417" s="695">
        <v>20131203</v>
      </c>
      <c r="S1417" s="375" t="s">
        <v>9575</v>
      </c>
      <c r="T1417" s="696">
        <v>0.23100000000000001</v>
      </c>
      <c r="U1417" s="375" t="s">
        <v>9576</v>
      </c>
      <c r="V1417" s="722">
        <v>6.31</v>
      </c>
      <c r="W1417" s="722">
        <v>0.55000000000000004</v>
      </c>
      <c r="X1417" s="722">
        <v>0.08</v>
      </c>
      <c r="Y1417" s="722">
        <v>20.52</v>
      </c>
      <c r="Z1417" s="382" t="s">
        <v>934</v>
      </c>
      <c r="AA1417" s="372">
        <v>9590.5023820000006</v>
      </c>
      <c r="AB1417" s="372">
        <v>10688.094236499999</v>
      </c>
      <c r="AC1417" s="372">
        <v>12300.0665156</v>
      </c>
      <c r="AD1417" s="372">
        <v>13714.1285185</v>
      </c>
      <c r="AE1417" s="372">
        <v>0</v>
      </c>
      <c r="AF1417" s="372">
        <v>0</v>
      </c>
      <c r="AG1417" s="372">
        <v>0</v>
      </c>
      <c r="AH1417" s="372">
        <v>0</v>
      </c>
    </row>
    <row r="1418" spans="1:34">
      <c r="A1418" s="372" t="s">
        <v>9577</v>
      </c>
      <c r="B1418" s="373" t="s">
        <v>9578</v>
      </c>
      <c r="C1418" s="372" t="s">
        <v>9579</v>
      </c>
      <c r="D1418" s="374">
        <v>1358110211565</v>
      </c>
      <c r="E1418" s="372" t="s">
        <v>9580</v>
      </c>
      <c r="F1418" s="375" t="s">
        <v>2450</v>
      </c>
      <c r="G1418" s="375" t="s">
        <v>2451</v>
      </c>
      <c r="H1418" s="375" t="s">
        <v>868</v>
      </c>
      <c r="I1418" s="375" t="s">
        <v>869</v>
      </c>
      <c r="J1418" s="375">
        <v>38507.80586</v>
      </c>
      <c r="K1418" s="375">
        <v>-10108.980369999999</v>
      </c>
      <c r="L1418" s="375">
        <v>-13217.878350000001</v>
      </c>
      <c r="M1418" s="375">
        <v>69840.197409999993</v>
      </c>
      <c r="N1418" s="372">
        <v>1.389</v>
      </c>
      <c r="O1418" s="703">
        <v>103.87473095601503</v>
      </c>
      <c r="P1418" s="375" t="s">
        <v>623</v>
      </c>
      <c r="Q1418" s="375" t="s">
        <v>623</v>
      </c>
      <c r="R1418" s="695">
        <v>20210225</v>
      </c>
      <c r="S1418" s="375" t="s">
        <v>4024</v>
      </c>
      <c r="T1418" s="696" t="s">
        <v>772</v>
      </c>
      <c r="U1418" s="372" t="s">
        <v>9581</v>
      </c>
      <c r="V1418" s="722" t="s">
        <v>774</v>
      </c>
      <c r="W1418" s="722">
        <v>1.83</v>
      </c>
      <c r="X1418" s="722">
        <v>3.4</v>
      </c>
      <c r="Y1418" s="722" t="s">
        <v>774</v>
      </c>
      <c r="Z1418" s="382" t="s">
        <v>934</v>
      </c>
      <c r="AA1418" s="372">
        <v>590.18468559999997</v>
      </c>
      <c r="AB1418" s="372">
        <v>293.55057240000002</v>
      </c>
      <c r="AC1418" s="372">
        <v>474.68577149999999</v>
      </c>
      <c r="AD1418" s="372">
        <v>385.07805860000002</v>
      </c>
      <c r="AE1418" s="372">
        <v>1192</v>
      </c>
      <c r="AF1418" s="372">
        <v>0</v>
      </c>
      <c r="AG1418" s="372">
        <v>0</v>
      </c>
      <c r="AH1418" s="372">
        <v>0</v>
      </c>
    </row>
    <row r="1419" spans="1:34">
      <c r="A1419" s="372" t="s">
        <v>9582</v>
      </c>
      <c r="B1419" s="373" t="s">
        <v>9583</v>
      </c>
      <c r="C1419" s="372" t="s">
        <v>9584</v>
      </c>
      <c r="D1419" s="374">
        <v>1101115677864</v>
      </c>
      <c r="E1419" s="372" t="s">
        <v>9585</v>
      </c>
      <c r="F1419" s="375" t="s">
        <v>1985</v>
      </c>
      <c r="G1419" s="375" t="s">
        <v>1985</v>
      </c>
      <c r="H1419" s="375" t="s">
        <v>868</v>
      </c>
      <c r="I1419" s="375" t="s">
        <v>869</v>
      </c>
      <c r="J1419" s="375">
        <v>44710.882819999999</v>
      </c>
      <c r="K1419" s="375">
        <v>1871.56187</v>
      </c>
      <c r="L1419" s="375">
        <v>2109.6719800000001</v>
      </c>
      <c r="M1419" s="375">
        <v>56086.107490000002</v>
      </c>
      <c r="N1419" s="372">
        <v>1.349</v>
      </c>
      <c r="O1419" s="703">
        <v>10.575028943168979</v>
      </c>
      <c r="P1419" s="375" t="s">
        <v>623</v>
      </c>
      <c r="Q1419" s="372" t="s">
        <v>623</v>
      </c>
      <c r="R1419" s="695">
        <v>20150616</v>
      </c>
      <c r="S1419" s="372" t="s">
        <v>9586</v>
      </c>
      <c r="T1419" s="696">
        <v>0.20900000000000002</v>
      </c>
      <c r="U1419" s="372" t="s">
        <v>9587</v>
      </c>
      <c r="V1419" s="722">
        <v>37.36</v>
      </c>
      <c r="W1419" s="722">
        <v>1.78</v>
      </c>
      <c r="X1419" s="722">
        <v>2.23</v>
      </c>
      <c r="Y1419" s="722">
        <v>37.78</v>
      </c>
      <c r="Z1419" s="382" t="s">
        <v>934</v>
      </c>
      <c r="AA1419" s="372">
        <v>344.6411402</v>
      </c>
      <c r="AB1419" s="372">
        <v>577.59768929999996</v>
      </c>
      <c r="AC1419" s="372">
        <v>419.26139180000001</v>
      </c>
      <c r="AD1419" s="372">
        <v>447.1088282</v>
      </c>
      <c r="AE1419" s="372">
        <v>827</v>
      </c>
      <c r="AF1419" s="372">
        <v>990</v>
      </c>
      <c r="AG1419" s="372">
        <v>0</v>
      </c>
      <c r="AH1419" s="372">
        <v>0</v>
      </c>
    </row>
    <row r="1420" spans="1:34">
      <c r="A1420" s="372" t="s">
        <v>9588</v>
      </c>
      <c r="B1420" s="373" t="s">
        <v>9589</v>
      </c>
      <c r="C1420" s="372" t="s">
        <v>16172</v>
      </c>
      <c r="D1420" s="374">
        <v>1801110037887</v>
      </c>
      <c r="E1420" s="372" t="s">
        <v>16173</v>
      </c>
      <c r="F1420" s="375" t="s">
        <v>1774</v>
      </c>
      <c r="G1420" s="375" t="s">
        <v>6561</v>
      </c>
      <c r="H1420" s="375" t="s">
        <v>868</v>
      </c>
      <c r="I1420" s="375" t="s">
        <v>869</v>
      </c>
      <c r="J1420" s="375">
        <v>143986.06602999999</v>
      </c>
      <c r="K1420" s="375">
        <v>7659.50263</v>
      </c>
      <c r="L1420" s="375">
        <v>9312.7660500000002</v>
      </c>
      <c r="M1420" s="375">
        <v>125900.34056</v>
      </c>
      <c r="N1420" s="372">
        <v>0.85499999999999998</v>
      </c>
      <c r="O1420" s="703">
        <v>8.7579589377075262</v>
      </c>
      <c r="P1420" s="375" t="s">
        <v>623</v>
      </c>
      <c r="Q1420" s="375" t="s">
        <v>623</v>
      </c>
      <c r="R1420" s="695">
        <v>20201126</v>
      </c>
      <c r="S1420" s="375" t="s">
        <v>9590</v>
      </c>
      <c r="T1420" s="696">
        <v>0.20900000000000002</v>
      </c>
      <c r="U1420" s="372" t="s">
        <v>9591</v>
      </c>
      <c r="V1420" s="722">
        <v>0</v>
      </c>
      <c r="W1420" s="722">
        <v>0.88</v>
      </c>
      <c r="X1420" s="722">
        <v>0</v>
      </c>
      <c r="Y1420" s="722">
        <v>0</v>
      </c>
      <c r="Z1420" s="382" t="s">
        <v>934</v>
      </c>
      <c r="AA1420" s="372">
        <v>1513.428279</v>
      </c>
      <c r="AB1420" s="372">
        <v>1472.3115746000001</v>
      </c>
      <c r="AC1420" s="372">
        <v>1321.5464093999999</v>
      </c>
      <c r="AD1420" s="372">
        <v>1439.8606603000001</v>
      </c>
      <c r="AE1420" s="372">
        <v>0</v>
      </c>
      <c r="AF1420" s="372">
        <v>0</v>
      </c>
      <c r="AG1420" s="372">
        <v>0</v>
      </c>
      <c r="AH1420" s="372">
        <v>0</v>
      </c>
    </row>
    <row r="1421" spans="1:34">
      <c r="A1421" s="372" t="s">
        <v>9592</v>
      </c>
      <c r="B1421" s="373" t="s">
        <v>9593</v>
      </c>
      <c r="C1421" s="372" t="s">
        <v>9594</v>
      </c>
      <c r="D1421" s="374">
        <v>1348110105438</v>
      </c>
      <c r="E1421" s="372" t="s">
        <v>9595</v>
      </c>
      <c r="F1421" s="375" t="s">
        <v>1195</v>
      </c>
      <c r="G1421" s="375" t="s">
        <v>1196</v>
      </c>
      <c r="H1421" s="375" t="s">
        <v>868</v>
      </c>
      <c r="I1421" s="375" t="s">
        <v>869</v>
      </c>
      <c r="J1421" s="375">
        <v>0</v>
      </c>
      <c r="K1421" s="375">
        <v>0</v>
      </c>
      <c r="L1421" s="375">
        <v>0</v>
      </c>
      <c r="M1421" s="375">
        <v>34580.994530000004</v>
      </c>
      <c r="N1421" s="372" t="s">
        <v>1033</v>
      </c>
      <c r="O1421" s="703">
        <v>15.69452510513562</v>
      </c>
      <c r="P1421" s="375" t="s">
        <v>623</v>
      </c>
      <c r="Q1421" s="372" t="s">
        <v>623</v>
      </c>
      <c r="R1421" s="695">
        <v>20231124</v>
      </c>
      <c r="S1421" s="372" t="s">
        <v>9596</v>
      </c>
      <c r="T1421" s="696" t="s">
        <v>772</v>
      </c>
      <c r="U1421" s="372" t="s">
        <v>9597</v>
      </c>
      <c r="V1421" s="722">
        <v>0</v>
      </c>
      <c r="W1421" s="722">
        <v>3.39</v>
      </c>
      <c r="X1421" s="722">
        <v>0</v>
      </c>
      <c r="Y1421" s="722">
        <v>0</v>
      </c>
      <c r="Z1421" s="382" t="s">
        <v>934</v>
      </c>
      <c r="AA1421" s="372">
        <v>117.15779999999999</v>
      </c>
      <c r="AB1421" s="372">
        <v>146.08246890000001</v>
      </c>
      <c r="AC1421" s="372">
        <v>165.50325309999999</v>
      </c>
      <c r="AD1421" s="372">
        <v>153.1311469</v>
      </c>
      <c r="AE1421" s="372">
        <v>0</v>
      </c>
      <c r="AF1421" s="372">
        <v>0</v>
      </c>
      <c r="AG1421" s="372">
        <v>0</v>
      </c>
      <c r="AH1421" s="372">
        <v>0</v>
      </c>
    </row>
    <row r="1422" spans="1:34">
      <c r="A1422" s="372" t="s">
        <v>9598</v>
      </c>
      <c r="B1422" s="373" t="s">
        <v>9599</v>
      </c>
      <c r="C1422" s="372" t="s">
        <v>9600</v>
      </c>
      <c r="D1422" s="374">
        <v>2112110005321</v>
      </c>
      <c r="E1422" s="372" t="s">
        <v>9601</v>
      </c>
      <c r="F1422" s="372" t="s">
        <v>9602</v>
      </c>
      <c r="G1422" s="375" t="s">
        <v>9602</v>
      </c>
      <c r="H1422" s="375" t="s">
        <v>868</v>
      </c>
      <c r="I1422" s="375" t="s">
        <v>869</v>
      </c>
      <c r="J1422" s="375">
        <v>279274.03761</v>
      </c>
      <c r="K1422" s="375">
        <v>4633.067</v>
      </c>
      <c r="L1422" s="375">
        <v>1617.9167</v>
      </c>
      <c r="M1422" s="375">
        <v>259778.68963000001</v>
      </c>
      <c r="N1422" s="372">
        <v>0.871</v>
      </c>
      <c r="O1422" s="703">
        <v>186.3568548107443</v>
      </c>
      <c r="P1422" s="375" t="s">
        <v>623</v>
      </c>
      <c r="Q1422" s="372" t="s">
        <v>623</v>
      </c>
      <c r="R1422" s="695">
        <v>20160727</v>
      </c>
      <c r="S1422" s="372" t="s">
        <v>9603</v>
      </c>
      <c r="T1422" s="696">
        <v>0.20900000000000002</v>
      </c>
      <c r="U1422" s="372" t="s">
        <v>9604</v>
      </c>
      <c r="V1422" s="722">
        <v>6.08</v>
      </c>
      <c r="W1422" s="722">
        <v>0.42</v>
      </c>
      <c r="X1422" s="722">
        <v>0.38</v>
      </c>
      <c r="Y1422" s="722">
        <v>68.3</v>
      </c>
      <c r="Z1422" s="382" t="s">
        <v>934</v>
      </c>
      <c r="AA1422" s="372">
        <v>2370.9441000000002</v>
      </c>
      <c r="AB1422" s="372">
        <v>2538.4225664000001</v>
      </c>
      <c r="AC1422" s="372">
        <v>2868.6496431999999</v>
      </c>
      <c r="AD1422" s="372">
        <v>2792.7403761</v>
      </c>
      <c r="AE1422" s="372">
        <v>0</v>
      </c>
      <c r="AF1422" s="372">
        <v>0</v>
      </c>
      <c r="AG1422" s="372">
        <v>0</v>
      </c>
      <c r="AH1422" s="372">
        <v>0</v>
      </c>
    </row>
    <row r="1423" spans="1:34">
      <c r="A1423" s="372" t="s">
        <v>9605</v>
      </c>
      <c r="B1423" s="373" t="s">
        <v>9606</v>
      </c>
      <c r="C1423" s="372" t="s">
        <v>9607</v>
      </c>
      <c r="D1423" s="374">
        <v>1101111960437</v>
      </c>
      <c r="E1423" s="372" t="s">
        <v>9608</v>
      </c>
      <c r="F1423" s="375" t="s">
        <v>622</v>
      </c>
      <c r="G1423" s="375" t="s">
        <v>622</v>
      </c>
      <c r="H1423" s="375" t="s">
        <v>1693</v>
      </c>
      <c r="I1423" s="375" t="s">
        <v>869</v>
      </c>
      <c r="J1423" s="375">
        <v>20386.641329999999</v>
      </c>
      <c r="K1423" s="375">
        <v>-2677.5997299999999</v>
      </c>
      <c r="L1423" s="375">
        <v>21213.901539999999</v>
      </c>
      <c r="M1423" s="375">
        <v>209137.61712000001</v>
      </c>
      <c r="N1423" s="372">
        <v>0.82699999999999996</v>
      </c>
      <c r="O1423" s="703">
        <v>5.8214329842509675E-2</v>
      </c>
      <c r="P1423" s="375" t="s">
        <v>623</v>
      </c>
      <c r="Q1423" s="372" t="s">
        <v>623</v>
      </c>
      <c r="R1423" s="695">
        <v>20080711</v>
      </c>
      <c r="S1423" s="372" t="s">
        <v>9609</v>
      </c>
      <c r="T1423" s="696">
        <v>0.23100000000000001</v>
      </c>
      <c r="U1423" s="372" t="s">
        <v>6675</v>
      </c>
      <c r="V1423" s="722" t="s">
        <v>774</v>
      </c>
      <c r="W1423" s="722">
        <v>0.32</v>
      </c>
      <c r="X1423" s="722">
        <v>3.46</v>
      </c>
      <c r="Y1423" s="722">
        <v>1.89</v>
      </c>
      <c r="Z1423" s="382" t="s">
        <v>934</v>
      </c>
      <c r="AA1423" s="372">
        <v>262.52208009999998</v>
      </c>
      <c r="AB1423" s="372">
        <v>308.66937589999998</v>
      </c>
      <c r="AC1423" s="372">
        <v>173.2540296</v>
      </c>
      <c r="AD1423" s="372">
        <v>203.8664133</v>
      </c>
      <c r="AE1423" s="372">
        <v>0</v>
      </c>
      <c r="AF1423" s="372">
        <v>0</v>
      </c>
      <c r="AG1423" s="372">
        <v>0</v>
      </c>
      <c r="AH1423" s="372">
        <v>0</v>
      </c>
    </row>
    <row r="1424" spans="1:34">
      <c r="A1424" s="372" t="s">
        <v>9610</v>
      </c>
      <c r="B1424" s="373" t="s">
        <v>9611</v>
      </c>
      <c r="C1424" s="372" t="s">
        <v>9612</v>
      </c>
      <c r="D1424" s="374">
        <v>1101110607618</v>
      </c>
      <c r="E1424" s="372" t="s">
        <v>9613</v>
      </c>
      <c r="F1424" s="372" t="s">
        <v>1867</v>
      </c>
      <c r="G1424" s="375" t="s">
        <v>1868</v>
      </c>
      <c r="H1424" s="375" t="s">
        <v>4894</v>
      </c>
      <c r="I1424" s="375" t="s">
        <v>869</v>
      </c>
      <c r="J1424" s="375">
        <v>1909591.99535</v>
      </c>
      <c r="K1424" s="375">
        <v>18146.940549999999</v>
      </c>
      <c r="L1424" s="375">
        <v>18648.684099999999</v>
      </c>
      <c r="M1424" s="375">
        <v>446170.18320999999</v>
      </c>
      <c r="N1424" s="372">
        <v>0.90300000000000002</v>
      </c>
      <c r="O1424" s="703">
        <v>362.22746743158251</v>
      </c>
      <c r="P1424" s="375" t="s">
        <v>623</v>
      </c>
      <c r="Q1424" s="372" t="s">
        <v>623</v>
      </c>
      <c r="R1424" s="695">
        <v>20010817</v>
      </c>
      <c r="S1424" s="372" t="s">
        <v>9614</v>
      </c>
      <c r="T1424" s="696">
        <v>0.20900000000000002</v>
      </c>
      <c r="U1424" s="372" t="s">
        <v>9615</v>
      </c>
      <c r="V1424" s="722">
        <v>0</v>
      </c>
      <c r="W1424" s="722">
        <v>0.24</v>
      </c>
      <c r="X1424" s="722">
        <v>0</v>
      </c>
      <c r="Y1424" s="722">
        <v>0</v>
      </c>
      <c r="Z1424" s="382" t="s">
        <v>934</v>
      </c>
      <c r="AA1424" s="372">
        <v>11016.127495799999</v>
      </c>
      <c r="AB1424" s="372">
        <v>13639.653856200001</v>
      </c>
      <c r="AC1424" s="372">
        <v>18930.776791100001</v>
      </c>
      <c r="AD1424" s="372">
        <v>19095.919953500001</v>
      </c>
      <c r="AE1424" s="372">
        <v>0</v>
      </c>
      <c r="AF1424" s="372">
        <v>0</v>
      </c>
      <c r="AG1424" s="372">
        <v>0</v>
      </c>
      <c r="AH1424" s="372">
        <v>0</v>
      </c>
    </row>
    <row r="1425" spans="1:34">
      <c r="A1425" s="372" t="s">
        <v>9616</v>
      </c>
      <c r="B1425" s="373" t="s">
        <v>9617</v>
      </c>
      <c r="C1425" s="372" t="s">
        <v>9618</v>
      </c>
      <c r="D1425" s="374">
        <v>1101113731563</v>
      </c>
      <c r="E1425" s="372" t="s">
        <v>9619</v>
      </c>
      <c r="F1425" s="375" t="s">
        <v>1404</v>
      </c>
      <c r="G1425" s="375" t="s">
        <v>9620</v>
      </c>
      <c r="H1425" s="375" t="s">
        <v>902</v>
      </c>
      <c r="I1425" s="375" t="s">
        <v>869</v>
      </c>
      <c r="J1425" s="375">
        <v>8650.7171500000004</v>
      </c>
      <c r="K1425" s="375">
        <v>2455.44931</v>
      </c>
      <c r="L1425" s="375">
        <v>2490.4085599999999</v>
      </c>
      <c r="M1425" s="375">
        <v>93981.271250000005</v>
      </c>
      <c r="N1425" s="372">
        <v>0.66600000000000004</v>
      </c>
      <c r="O1425" s="703">
        <v>46.884114704104704</v>
      </c>
      <c r="P1425" s="375" t="s">
        <v>623</v>
      </c>
      <c r="Q1425" s="375" t="s">
        <v>623</v>
      </c>
      <c r="R1425" s="695">
        <v>20181004</v>
      </c>
      <c r="S1425" s="372" t="s">
        <v>9621</v>
      </c>
      <c r="T1425" s="696">
        <v>0.20900000000000002</v>
      </c>
      <c r="U1425" s="372" t="s">
        <v>9622</v>
      </c>
      <c r="V1425" s="722">
        <v>0</v>
      </c>
      <c r="W1425" s="722">
        <v>1.1200000000000001</v>
      </c>
      <c r="X1425" s="722">
        <v>4.03</v>
      </c>
      <c r="Y1425" s="722">
        <v>55.46</v>
      </c>
      <c r="Z1425" s="382" t="s">
        <v>934</v>
      </c>
      <c r="AA1425" s="372">
        <v>153.44972509999999</v>
      </c>
      <c r="AB1425" s="372">
        <v>264.89312430000001</v>
      </c>
      <c r="AC1425" s="372">
        <v>176.0044661</v>
      </c>
      <c r="AD1425" s="372">
        <v>86.507171499999998</v>
      </c>
      <c r="AE1425" s="372">
        <v>0</v>
      </c>
      <c r="AF1425" s="372">
        <v>0</v>
      </c>
      <c r="AG1425" s="372">
        <v>0</v>
      </c>
      <c r="AH1425" s="372">
        <v>0</v>
      </c>
    </row>
    <row r="1426" spans="1:34">
      <c r="A1426" s="372" t="s">
        <v>9623</v>
      </c>
      <c r="B1426" s="373" t="s">
        <v>9624</v>
      </c>
      <c r="C1426" s="372" t="s">
        <v>9625</v>
      </c>
      <c r="D1426" s="374">
        <v>0</v>
      </c>
      <c r="E1426" s="372" t="s">
        <v>9626</v>
      </c>
      <c r="F1426" s="375" t="s">
        <v>1814</v>
      </c>
      <c r="G1426" s="375" t="s">
        <v>1815</v>
      </c>
      <c r="H1426" s="375">
        <v>0</v>
      </c>
      <c r="I1426" s="375" t="s">
        <v>869</v>
      </c>
      <c r="J1426" s="375">
        <v>0</v>
      </c>
      <c r="K1426" s="375">
        <v>0</v>
      </c>
      <c r="L1426" s="375">
        <v>0</v>
      </c>
      <c r="M1426" s="375">
        <v>0</v>
      </c>
      <c r="N1426" s="372">
        <v>0.67300000000000004</v>
      </c>
      <c r="O1426" s="703">
        <v>0</v>
      </c>
      <c r="P1426" s="375" t="s">
        <v>623</v>
      </c>
      <c r="Q1426" s="372" t="s">
        <v>623</v>
      </c>
      <c r="R1426" s="695">
        <v>20121217</v>
      </c>
      <c r="S1426" s="372" t="s">
        <v>9627</v>
      </c>
      <c r="T1426" s="696" t="s">
        <v>772</v>
      </c>
      <c r="U1426" s="372" t="s">
        <v>9628</v>
      </c>
      <c r="V1426" s="722">
        <v>0</v>
      </c>
      <c r="W1426" s="722">
        <v>0</v>
      </c>
      <c r="X1426" s="722">
        <v>0</v>
      </c>
      <c r="Y1426" s="722">
        <v>0</v>
      </c>
      <c r="Z1426" s="382" t="s">
        <v>774</v>
      </c>
      <c r="AA1426" s="372">
        <v>514.37680999999998</v>
      </c>
      <c r="AB1426" s="372">
        <v>575.42256999999995</v>
      </c>
      <c r="AC1426" s="372">
        <v>521.80373999999995</v>
      </c>
      <c r="AD1426" s="372">
        <v>0</v>
      </c>
      <c r="AE1426" s="372">
        <v>0</v>
      </c>
      <c r="AF1426" s="372">
        <v>0</v>
      </c>
      <c r="AG1426" s="372">
        <v>0</v>
      </c>
      <c r="AH1426" s="372">
        <v>0</v>
      </c>
    </row>
    <row r="1427" spans="1:34">
      <c r="A1427" s="372" t="s">
        <v>9629</v>
      </c>
      <c r="B1427" s="373" t="s">
        <v>9630</v>
      </c>
      <c r="C1427" s="372" t="s">
        <v>9631</v>
      </c>
      <c r="D1427" s="374">
        <v>1301110009365</v>
      </c>
      <c r="E1427" s="372" t="s">
        <v>9632</v>
      </c>
      <c r="F1427" s="375" t="s">
        <v>1977</v>
      </c>
      <c r="G1427" s="375" t="s">
        <v>7900</v>
      </c>
      <c r="H1427" s="375" t="s">
        <v>868</v>
      </c>
      <c r="I1427" s="375" t="s">
        <v>869</v>
      </c>
      <c r="J1427" s="375">
        <v>100068.18617</v>
      </c>
      <c r="K1427" s="375">
        <v>8055.8643700000002</v>
      </c>
      <c r="L1427" s="375">
        <v>8488.2676200000005</v>
      </c>
      <c r="M1427" s="375">
        <v>78474.696599999996</v>
      </c>
      <c r="N1427" s="372">
        <v>0.74299999999999999</v>
      </c>
      <c r="O1427" s="703">
        <v>4.6145401773271102</v>
      </c>
      <c r="P1427" s="375" t="s">
        <v>623</v>
      </c>
      <c r="Q1427" s="375" t="s">
        <v>623</v>
      </c>
      <c r="R1427" s="695">
        <v>19931222</v>
      </c>
      <c r="S1427" s="375" t="s">
        <v>5581</v>
      </c>
      <c r="T1427" s="696">
        <v>0.20900000000000002</v>
      </c>
      <c r="U1427" s="372" t="s">
        <v>9633</v>
      </c>
      <c r="V1427" s="722">
        <v>9.82</v>
      </c>
      <c r="W1427" s="722">
        <v>1.38</v>
      </c>
      <c r="X1427" s="722">
        <v>1.06</v>
      </c>
      <c r="Y1427" s="722">
        <v>17.3</v>
      </c>
      <c r="Z1427" s="382" t="s">
        <v>934</v>
      </c>
      <c r="AA1427" s="372">
        <v>1018.5371628</v>
      </c>
      <c r="AB1427" s="372">
        <v>903.44610299999999</v>
      </c>
      <c r="AC1427" s="372">
        <v>995.86810690000004</v>
      </c>
      <c r="AD1427" s="372">
        <v>1000.6818617</v>
      </c>
      <c r="AE1427" s="372">
        <v>0</v>
      </c>
      <c r="AF1427" s="372">
        <v>0</v>
      </c>
      <c r="AG1427" s="372">
        <v>0</v>
      </c>
      <c r="AH1427" s="372">
        <v>0</v>
      </c>
    </row>
    <row r="1428" spans="1:34">
      <c r="A1428" s="372" t="s">
        <v>9634</v>
      </c>
      <c r="B1428" s="373" t="s">
        <v>9635</v>
      </c>
      <c r="C1428" s="372" t="s">
        <v>9636</v>
      </c>
      <c r="D1428" s="374">
        <v>1101118073613</v>
      </c>
      <c r="E1428" s="372" t="s">
        <v>9637</v>
      </c>
      <c r="F1428" s="375" t="s">
        <v>5954</v>
      </c>
      <c r="G1428" s="375" t="s">
        <v>5954</v>
      </c>
      <c r="H1428" s="375" t="s">
        <v>1348</v>
      </c>
      <c r="I1428" s="375" t="s">
        <v>869</v>
      </c>
      <c r="J1428" s="375">
        <v>50814.045319999997</v>
      </c>
      <c r="K1428" s="375">
        <v>11169.700570000001</v>
      </c>
      <c r="L1428" s="375">
        <v>7642.4089899999999</v>
      </c>
      <c r="M1428" s="375">
        <v>59438.356780000002</v>
      </c>
      <c r="N1428" s="372" t="s">
        <v>1033</v>
      </c>
      <c r="O1428" s="703">
        <v>6.5456072231137572</v>
      </c>
      <c r="P1428" s="375" t="s">
        <v>623</v>
      </c>
      <c r="Q1428" s="375" t="s">
        <v>623</v>
      </c>
      <c r="R1428" s="695">
        <v>20220307</v>
      </c>
      <c r="S1428" s="375" t="s">
        <v>9638</v>
      </c>
      <c r="T1428" s="696">
        <v>0.20900000000000002</v>
      </c>
      <c r="U1428" s="372" t="s">
        <v>9639</v>
      </c>
      <c r="V1428" s="722">
        <v>8.35</v>
      </c>
      <c r="W1428" s="722">
        <v>1.74</v>
      </c>
      <c r="X1428" s="722">
        <v>2.0299999999999998</v>
      </c>
      <c r="Y1428" s="722">
        <v>19.38</v>
      </c>
      <c r="Z1428" s="382" t="s">
        <v>934</v>
      </c>
      <c r="AA1428" s="372">
        <v>188.4809119</v>
      </c>
      <c r="AB1428" s="372">
        <v>278.44355990000003</v>
      </c>
      <c r="AC1428" s="372">
        <v>383.34447390000003</v>
      </c>
      <c r="AD1428" s="372">
        <v>508.14045320000002</v>
      </c>
      <c r="AE1428" s="372">
        <v>640</v>
      </c>
      <c r="AF1428" s="372">
        <v>0</v>
      </c>
      <c r="AG1428" s="372">
        <v>0</v>
      </c>
      <c r="AH1428" s="372">
        <v>0</v>
      </c>
    </row>
    <row r="1429" spans="1:34">
      <c r="A1429" s="372" t="s">
        <v>9640</v>
      </c>
      <c r="B1429" s="373" t="s">
        <v>9641</v>
      </c>
      <c r="C1429" s="372" t="s">
        <v>9642</v>
      </c>
      <c r="D1429" s="374">
        <v>1101116332590</v>
      </c>
      <c r="E1429" s="372" t="s">
        <v>9643</v>
      </c>
      <c r="F1429" s="375" t="s">
        <v>2245</v>
      </c>
      <c r="G1429" s="375" t="s">
        <v>2245</v>
      </c>
      <c r="H1429" s="375" t="s">
        <v>1327</v>
      </c>
      <c r="I1429" s="375" t="s">
        <v>755</v>
      </c>
      <c r="J1429" s="375">
        <v>434728.79262999998</v>
      </c>
      <c r="K1429" s="375">
        <v>28440.130649999999</v>
      </c>
      <c r="L1429" s="375">
        <v>29482.410550000001</v>
      </c>
      <c r="M1429" s="375">
        <v>204815.18885999999</v>
      </c>
      <c r="N1429" s="372">
        <v>0.87</v>
      </c>
      <c r="O1429" s="703">
        <v>21.313658189284755</v>
      </c>
      <c r="P1429" s="375" t="s">
        <v>623</v>
      </c>
      <c r="Q1429" s="375" t="s">
        <v>623</v>
      </c>
      <c r="R1429" s="695">
        <v>20170411</v>
      </c>
      <c r="S1429" s="375" t="s">
        <v>9644</v>
      </c>
      <c r="T1429" s="696">
        <v>0.23100000000000001</v>
      </c>
      <c r="U1429" s="372" t="s">
        <v>9645</v>
      </c>
      <c r="V1429" s="722">
        <v>0</v>
      </c>
      <c r="W1429" s="722">
        <v>0.53</v>
      </c>
      <c r="X1429" s="722">
        <v>0</v>
      </c>
      <c r="Y1429" s="722">
        <v>0</v>
      </c>
      <c r="Z1429" s="382" t="s">
        <v>934</v>
      </c>
      <c r="AA1429" s="372">
        <v>3815.3863986000001</v>
      </c>
      <c r="AB1429" s="372">
        <v>3812.1221574000001</v>
      </c>
      <c r="AC1429" s="372">
        <v>4136.3846474000002</v>
      </c>
      <c r="AD1429" s="372">
        <v>4347.2879263000004</v>
      </c>
      <c r="AE1429" s="372">
        <v>0</v>
      </c>
      <c r="AF1429" s="372">
        <v>0</v>
      </c>
      <c r="AG1429" s="372">
        <v>0</v>
      </c>
      <c r="AH1429" s="372">
        <v>0</v>
      </c>
    </row>
    <row r="1430" spans="1:34">
      <c r="A1430" s="372" t="s">
        <v>9646</v>
      </c>
      <c r="B1430" s="373" t="s">
        <v>9647</v>
      </c>
      <c r="C1430" s="372" t="s">
        <v>9648</v>
      </c>
      <c r="D1430" s="374">
        <v>1101113544263</v>
      </c>
      <c r="E1430" s="372" t="s">
        <v>9649</v>
      </c>
      <c r="F1430" s="375" t="s">
        <v>860</v>
      </c>
      <c r="G1430" s="375" t="s">
        <v>4461</v>
      </c>
      <c r="H1430" s="375" t="s">
        <v>902</v>
      </c>
      <c r="I1430" s="375" t="s">
        <v>869</v>
      </c>
      <c r="J1430" s="375">
        <v>15858.969649999999</v>
      </c>
      <c r="K1430" s="375">
        <v>-4956.48441</v>
      </c>
      <c r="L1430" s="375">
        <v>-5175.8083100000003</v>
      </c>
      <c r="M1430" s="375">
        <v>72039.295180000001</v>
      </c>
      <c r="N1430" s="372">
        <v>1.052</v>
      </c>
      <c r="O1430" s="703">
        <v>2.0798817816787865</v>
      </c>
      <c r="P1430" s="375" t="s">
        <v>623</v>
      </c>
      <c r="Q1430" s="372" t="s">
        <v>623</v>
      </c>
      <c r="R1430" s="695">
        <v>20190523</v>
      </c>
      <c r="S1430" s="372" t="s">
        <v>9650</v>
      </c>
      <c r="T1430" s="696" t="s">
        <v>772</v>
      </c>
      <c r="U1430" s="372" t="s">
        <v>9651</v>
      </c>
      <c r="V1430" s="722">
        <v>0</v>
      </c>
      <c r="W1430" s="722">
        <v>1.45</v>
      </c>
      <c r="X1430" s="722">
        <v>0</v>
      </c>
      <c r="Y1430" s="722">
        <v>0</v>
      </c>
      <c r="Z1430" s="382" t="s">
        <v>934</v>
      </c>
      <c r="AA1430" s="372">
        <v>186.29367160000001</v>
      </c>
      <c r="AB1430" s="372">
        <v>274.44773470000001</v>
      </c>
      <c r="AC1430" s="372">
        <v>158.43840990000001</v>
      </c>
      <c r="AD1430" s="372">
        <v>158.5896965</v>
      </c>
      <c r="AE1430" s="372">
        <v>0</v>
      </c>
      <c r="AF1430" s="372">
        <v>0</v>
      </c>
      <c r="AG1430" s="372">
        <v>0</v>
      </c>
      <c r="AH1430" s="372">
        <v>0</v>
      </c>
    </row>
    <row r="1431" spans="1:34">
      <c r="A1431" s="372" t="s">
        <v>9652</v>
      </c>
      <c r="B1431" s="373" t="s">
        <v>9653</v>
      </c>
      <c r="C1431" s="372" t="s">
        <v>9654</v>
      </c>
      <c r="D1431" s="374">
        <v>1101114504901</v>
      </c>
      <c r="E1431" s="372" t="s">
        <v>9655</v>
      </c>
      <c r="F1431" s="372" t="s">
        <v>1854</v>
      </c>
      <c r="G1431" s="375" t="s">
        <v>1854</v>
      </c>
      <c r="H1431" s="375" t="s">
        <v>1388</v>
      </c>
      <c r="I1431" s="375" t="s">
        <v>869</v>
      </c>
      <c r="J1431" s="375">
        <v>99260.952850000001</v>
      </c>
      <c r="K1431" s="375">
        <v>1263.53395</v>
      </c>
      <c r="L1431" s="375">
        <v>2102.1151199999999</v>
      </c>
      <c r="M1431" s="375">
        <v>33543.938390000003</v>
      </c>
      <c r="N1431" s="372">
        <v>0.74299999999999999</v>
      </c>
      <c r="O1431" s="703">
        <v>5.3162929194102482</v>
      </c>
      <c r="P1431" s="375" t="s">
        <v>623</v>
      </c>
      <c r="Q1431" s="372" t="s">
        <v>623</v>
      </c>
      <c r="R1431" s="695">
        <v>20170803</v>
      </c>
      <c r="S1431" s="372" t="s">
        <v>9656</v>
      </c>
      <c r="T1431" s="696">
        <v>0.20900000000000002</v>
      </c>
      <c r="U1431" s="372" t="s">
        <v>9657</v>
      </c>
      <c r="V1431" s="722">
        <v>0</v>
      </c>
      <c r="W1431" s="722">
        <v>2.48</v>
      </c>
      <c r="X1431" s="722">
        <v>0</v>
      </c>
      <c r="Y1431" s="722">
        <v>0</v>
      </c>
      <c r="Z1431" s="382" t="s">
        <v>934</v>
      </c>
      <c r="AA1431" s="372">
        <v>927.34563300000002</v>
      </c>
      <c r="AB1431" s="372">
        <v>1004.8118666</v>
      </c>
      <c r="AC1431" s="372">
        <v>991.18758709999997</v>
      </c>
      <c r="AD1431" s="372">
        <v>992.60952850000001</v>
      </c>
      <c r="AE1431" s="372">
        <v>0</v>
      </c>
      <c r="AF1431" s="372">
        <v>0</v>
      </c>
      <c r="AG1431" s="372">
        <v>0</v>
      </c>
      <c r="AH1431" s="372">
        <v>0</v>
      </c>
    </row>
    <row r="1432" spans="1:34">
      <c r="A1432" s="372" t="s">
        <v>9658</v>
      </c>
      <c r="B1432" s="373" t="s">
        <v>9659</v>
      </c>
      <c r="C1432" s="372" t="s">
        <v>9660</v>
      </c>
      <c r="D1432" s="374">
        <v>1101110204498</v>
      </c>
      <c r="E1432" s="372" t="s">
        <v>9661</v>
      </c>
      <c r="F1432" s="375" t="s">
        <v>1673</v>
      </c>
      <c r="G1432" s="375" t="s">
        <v>1673</v>
      </c>
      <c r="H1432" s="375" t="s">
        <v>754</v>
      </c>
      <c r="I1432" s="375" t="s">
        <v>755</v>
      </c>
      <c r="J1432" s="375">
        <v>136937.71786999999</v>
      </c>
      <c r="K1432" s="375">
        <v>1907.8271199999999</v>
      </c>
      <c r="L1432" s="375">
        <v>-181.64225999999999</v>
      </c>
      <c r="M1432" s="375">
        <v>101958.44444000001</v>
      </c>
      <c r="N1432" s="372">
        <v>0.76200000000000001</v>
      </c>
      <c r="O1432" s="703">
        <v>1.223050025247131</v>
      </c>
      <c r="P1432" s="375" t="s">
        <v>623</v>
      </c>
      <c r="Q1432" s="372" t="s">
        <v>623</v>
      </c>
      <c r="R1432" s="695">
        <v>19951221</v>
      </c>
      <c r="S1432" s="372" t="s">
        <v>9662</v>
      </c>
      <c r="T1432" s="696" t="s">
        <v>772</v>
      </c>
      <c r="U1432" s="372" t="s">
        <v>16061</v>
      </c>
      <c r="V1432" s="722">
        <v>20.99</v>
      </c>
      <c r="W1432" s="722">
        <v>1</v>
      </c>
      <c r="X1432" s="722">
        <v>0.75</v>
      </c>
      <c r="Y1432" s="722" t="s">
        <v>774</v>
      </c>
      <c r="Z1432" s="382">
        <v>0.23692444895104758</v>
      </c>
      <c r="AA1432" s="372">
        <v>1073.9216547000001</v>
      </c>
      <c r="AB1432" s="372">
        <v>1015.2269926</v>
      </c>
      <c r="AC1432" s="372">
        <v>1205.1846373000001</v>
      </c>
      <c r="AD1432" s="372">
        <v>1369.3771787000001</v>
      </c>
      <c r="AE1432" s="372">
        <v>2097.5</v>
      </c>
      <c r="AF1432" s="372">
        <v>2563</v>
      </c>
      <c r="AG1432" s="372">
        <v>3205.5</v>
      </c>
      <c r="AH1432" s="372">
        <v>0</v>
      </c>
    </row>
    <row r="1433" spans="1:34">
      <c r="A1433" s="372" t="s">
        <v>9663</v>
      </c>
      <c r="B1433" s="373" t="s">
        <v>9664</v>
      </c>
      <c r="C1433" s="372" t="s">
        <v>9665</v>
      </c>
      <c r="D1433" s="374">
        <v>1101110032154</v>
      </c>
      <c r="E1433" s="372" t="s">
        <v>9666</v>
      </c>
      <c r="F1433" s="372" t="s">
        <v>1334</v>
      </c>
      <c r="G1433" s="375" t="s">
        <v>1334</v>
      </c>
      <c r="H1433" s="375" t="s">
        <v>788</v>
      </c>
      <c r="I1433" s="375" t="s">
        <v>755</v>
      </c>
      <c r="J1433" s="375">
        <v>135372.69052999999</v>
      </c>
      <c r="K1433" s="375">
        <v>-1989.14294</v>
      </c>
      <c r="L1433" s="375">
        <v>-6680.6110399999998</v>
      </c>
      <c r="M1433" s="375">
        <v>84949.573600000003</v>
      </c>
      <c r="N1433" s="372">
        <v>0.68100000000000005</v>
      </c>
      <c r="O1433" s="703">
        <v>30.116226188707067</v>
      </c>
      <c r="P1433" s="375" t="s">
        <v>623</v>
      </c>
      <c r="Q1433" s="375" t="s">
        <v>623</v>
      </c>
      <c r="R1433" s="695">
        <v>19751227</v>
      </c>
      <c r="S1433" s="375" t="s">
        <v>9667</v>
      </c>
      <c r="T1433" s="696" t="s">
        <v>772</v>
      </c>
      <c r="U1433" s="372" t="s">
        <v>9668</v>
      </c>
      <c r="V1433" s="722">
        <v>65.150000000000006</v>
      </c>
      <c r="W1433" s="722">
        <v>1.43</v>
      </c>
      <c r="X1433" s="722">
        <v>0.93</v>
      </c>
      <c r="Y1433" s="722" t="s">
        <v>774</v>
      </c>
      <c r="Z1433" s="382" t="s">
        <v>934</v>
      </c>
      <c r="AA1433" s="372">
        <v>1303.9472079</v>
      </c>
      <c r="AB1433" s="372">
        <v>1197.4556872999999</v>
      </c>
      <c r="AC1433" s="372">
        <v>1265.8340293000001</v>
      </c>
      <c r="AD1433" s="372">
        <v>1353.7269053</v>
      </c>
      <c r="AE1433" s="372">
        <v>0</v>
      </c>
      <c r="AF1433" s="372">
        <v>0</v>
      </c>
      <c r="AG1433" s="372">
        <v>0</v>
      </c>
      <c r="AH1433" s="372">
        <v>0</v>
      </c>
    </row>
    <row r="1434" spans="1:34">
      <c r="A1434" s="372" t="s">
        <v>9669</v>
      </c>
      <c r="B1434" s="373" t="s">
        <v>9670</v>
      </c>
      <c r="C1434" s="372" t="s">
        <v>9671</v>
      </c>
      <c r="D1434" s="374">
        <v>1101112063743</v>
      </c>
      <c r="E1434" s="372" t="s">
        <v>9672</v>
      </c>
      <c r="F1434" s="375" t="s">
        <v>1195</v>
      </c>
      <c r="G1434" s="375" t="s">
        <v>3144</v>
      </c>
      <c r="H1434" s="375" t="s">
        <v>1388</v>
      </c>
      <c r="I1434" s="375" t="s">
        <v>869</v>
      </c>
      <c r="J1434" s="375">
        <v>92133.337140000003</v>
      </c>
      <c r="K1434" s="375">
        <v>3060.2653</v>
      </c>
      <c r="L1434" s="375">
        <v>5371.8585800000001</v>
      </c>
      <c r="M1434" s="375">
        <v>58579.197780000002</v>
      </c>
      <c r="N1434" s="372">
        <v>1.228</v>
      </c>
      <c r="O1434" s="703">
        <v>40.006545969137946</v>
      </c>
      <c r="P1434" s="375" t="s">
        <v>623</v>
      </c>
      <c r="Q1434" s="375" t="s">
        <v>623</v>
      </c>
      <c r="R1434" s="695">
        <v>20161221</v>
      </c>
      <c r="S1434" s="375" t="s">
        <v>9673</v>
      </c>
      <c r="T1434" s="696">
        <v>0.20900000000000002</v>
      </c>
      <c r="U1434" s="372" t="s">
        <v>9674</v>
      </c>
      <c r="V1434" s="722">
        <v>34.06</v>
      </c>
      <c r="W1434" s="722">
        <v>2.1</v>
      </c>
      <c r="X1434" s="722">
        <v>1.3</v>
      </c>
      <c r="Y1434" s="722">
        <v>30.53</v>
      </c>
      <c r="Z1434" s="382" t="s">
        <v>934</v>
      </c>
      <c r="AA1434" s="372">
        <v>152.16576040000001</v>
      </c>
      <c r="AB1434" s="372">
        <v>42.605455599999999</v>
      </c>
      <c r="AC1434" s="372">
        <v>146.17273599999999</v>
      </c>
      <c r="AD1434" s="372">
        <v>921.33337140000003</v>
      </c>
      <c r="AE1434" s="372">
        <v>1802.1</v>
      </c>
      <c r="AF1434" s="372">
        <v>0</v>
      </c>
      <c r="AG1434" s="372">
        <v>0</v>
      </c>
      <c r="AH1434" s="372">
        <v>0</v>
      </c>
    </row>
    <row r="1435" spans="1:34">
      <c r="A1435" s="372" t="s">
        <v>9675</v>
      </c>
      <c r="B1435" s="373" t="s">
        <v>9676</v>
      </c>
      <c r="C1435" s="372" t="s">
        <v>9677</v>
      </c>
      <c r="D1435" s="374">
        <v>1101111166803</v>
      </c>
      <c r="E1435" s="372" t="s">
        <v>9678</v>
      </c>
      <c r="F1435" s="375" t="s">
        <v>3584</v>
      </c>
      <c r="G1435" s="375" t="s">
        <v>3584</v>
      </c>
      <c r="H1435" s="375" t="s">
        <v>1950</v>
      </c>
      <c r="I1435" s="375" t="s">
        <v>869</v>
      </c>
      <c r="J1435" s="375">
        <v>136861.27049</v>
      </c>
      <c r="K1435" s="375">
        <v>-2199.5912600000001</v>
      </c>
      <c r="L1435" s="375">
        <v>7516.0948600000002</v>
      </c>
      <c r="M1435" s="375">
        <v>77867.357019999996</v>
      </c>
      <c r="N1435" s="372">
        <v>1.2729999999999999</v>
      </c>
      <c r="O1435" s="703">
        <v>0.22822609437109764</v>
      </c>
      <c r="P1435" s="375" t="s">
        <v>623</v>
      </c>
      <c r="Q1435" s="375" t="s">
        <v>623</v>
      </c>
      <c r="R1435" s="695">
        <v>20060704</v>
      </c>
      <c r="S1435" s="375" t="s">
        <v>9679</v>
      </c>
      <c r="T1435" s="696">
        <v>0.20900000000000002</v>
      </c>
      <c r="U1435" s="372" t="s">
        <v>9680</v>
      </c>
      <c r="V1435" s="722" t="s">
        <v>774</v>
      </c>
      <c r="W1435" s="722">
        <v>1.3</v>
      </c>
      <c r="X1435" s="722">
        <v>0.73</v>
      </c>
      <c r="Y1435" s="722">
        <v>16.22</v>
      </c>
      <c r="Z1435" s="382" t="s">
        <v>934</v>
      </c>
      <c r="AA1435" s="372">
        <v>1196.0470836</v>
      </c>
      <c r="AB1435" s="372">
        <v>1385.9496326000001</v>
      </c>
      <c r="AC1435" s="372">
        <v>1401.7446934</v>
      </c>
      <c r="AD1435" s="372">
        <v>1368.6127048999999</v>
      </c>
      <c r="AE1435" s="372">
        <v>0</v>
      </c>
      <c r="AF1435" s="372">
        <v>0</v>
      </c>
      <c r="AG1435" s="372">
        <v>0</v>
      </c>
      <c r="AH1435" s="372">
        <v>0</v>
      </c>
    </row>
    <row r="1436" spans="1:34">
      <c r="A1436" s="372" t="s">
        <v>9681</v>
      </c>
      <c r="B1436" s="373" t="s">
        <v>9682</v>
      </c>
      <c r="C1436" s="372" t="s">
        <v>9683</v>
      </c>
      <c r="D1436" s="374">
        <v>1101112271510</v>
      </c>
      <c r="E1436" s="372" t="s">
        <v>9684</v>
      </c>
      <c r="F1436" s="375" t="s">
        <v>3210</v>
      </c>
      <c r="G1436" s="375" t="s">
        <v>3211</v>
      </c>
      <c r="H1436" s="375" t="s">
        <v>823</v>
      </c>
      <c r="I1436" s="375" t="s">
        <v>755</v>
      </c>
      <c r="J1436" s="375">
        <v>592959.67072000005</v>
      </c>
      <c r="K1436" s="375">
        <v>20525.09548</v>
      </c>
      <c r="L1436" s="375">
        <v>17577.63508</v>
      </c>
      <c r="M1436" s="375">
        <v>204090.15596999999</v>
      </c>
      <c r="N1436" s="372">
        <v>0.78500000000000003</v>
      </c>
      <c r="O1436" s="703">
        <v>164.9217407570093</v>
      </c>
      <c r="P1436" s="375" t="s">
        <v>623</v>
      </c>
      <c r="Q1436" s="372" t="s">
        <v>623</v>
      </c>
      <c r="R1436" s="695">
        <v>20101217</v>
      </c>
      <c r="S1436" s="372" t="s">
        <v>9685</v>
      </c>
      <c r="T1436" s="696">
        <v>0.20900000000000002</v>
      </c>
      <c r="U1436" s="372" t="s">
        <v>9686</v>
      </c>
      <c r="V1436" s="722">
        <v>0</v>
      </c>
      <c r="W1436" s="722">
        <v>0.49</v>
      </c>
      <c r="X1436" s="722">
        <v>0</v>
      </c>
      <c r="Y1436" s="722">
        <v>0</v>
      </c>
      <c r="Z1436" s="382" t="s">
        <v>934</v>
      </c>
      <c r="AA1436" s="372">
        <v>4536.3914463000001</v>
      </c>
      <c r="AB1436" s="372">
        <v>4680.0426398</v>
      </c>
      <c r="AC1436" s="372">
        <v>5357.8330593000001</v>
      </c>
      <c r="AD1436" s="372">
        <v>5929.5967072000003</v>
      </c>
      <c r="AE1436" s="372">
        <v>0</v>
      </c>
      <c r="AF1436" s="372">
        <v>0</v>
      </c>
      <c r="AG1436" s="372">
        <v>0</v>
      </c>
      <c r="AH1436" s="372">
        <v>0</v>
      </c>
    </row>
    <row r="1437" spans="1:34">
      <c r="A1437" s="372" t="s">
        <v>9687</v>
      </c>
      <c r="B1437" s="373" t="s">
        <v>9688</v>
      </c>
      <c r="C1437" s="372" t="s">
        <v>9689</v>
      </c>
      <c r="D1437" s="374">
        <v>1101114342228</v>
      </c>
      <c r="E1437" s="372" t="s">
        <v>9690</v>
      </c>
      <c r="F1437" s="375" t="s">
        <v>7206</v>
      </c>
      <c r="G1437" s="375" t="s">
        <v>7207</v>
      </c>
      <c r="H1437" s="375" t="s">
        <v>853</v>
      </c>
      <c r="I1437" s="375" t="s">
        <v>755</v>
      </c>
      <c r="J1437" s="375">
        <v>78712.91691</v>
      </c>
      <c r="K1437" s="375">
        <v>3054.8623499999999</v>
      </c>
      <c r="L1437" s="375">
        <v>3300.93993</v>
      </c>
      <c r="M1437" s="375">
        <v>25372.122530000001</v>
      </c>
      <c r="N1437" s="372">
        <v>0.78500000000000003</v>
      </c>
      <c r="O1437" s="703">
        <v>3.317951994502935</v>
      </c>
      <c r="P1437" s="375" t="s">
        <v>623</v>
      </c>
      <c r="Q1437" s="375" t="s">
        <v>623</v>
      </c>
      <c r="R1437" s="695">
        <v>20100601</v>
      </c>
      <c r="S1437" s="375" t="s">
        <v>2092</v>
      </c>
      <c r="T1437" s="696">
        <v>0.20900000000000002</v>
      </c>
      <c r="U1437" s="372" t="s">
        <v>9691</v>
      </c>
      <c r="V1437" s="722">
        <v>19.66</v>
      </c>
      <c r="W1437" s="722">
        <v>3.99</v>
      </c>
      <c r="X1437" s="722">
        <v>1.3</v>
      </c>
      <c r="Y1437" s="722">
        <v>29.07</v>
      </c>
      <c r="Z1437" s="382" t="s">
        <v>934</v>
      </c>
      <c r="AA1437" s="372">
        <v>724.98592510000003</v>
      </c>
      <c r="AB1437" s="372">
        <v>669.65810080000006</v>
      </c>
      <c r="AC1437" s="372">
        <v>660.46677150000005</v>
      </c>
      <c r="AD1437" s="372">
        <v>787.12916910000001</v>
      </c>
      <c r="AE1437" s="372">
        <v>0</v>
      </c>
      <c r="AF1437" s="372">
        <v>0</v>
      </c>
      <c r="AG1437" s="372">
        <v>0</v>
      </c>
      <c r="AH1437" s="372">
        <v>0</v>
      </c>
    </row>
    <row r="1438" spans="1:34">
      <c r="A1438" s="372" t="s">
        <v>9692</v>
      </c>
      <c r="B1438" s="373" t="s">
        <v>9693</v>
      </c>
      <c r="C1438" s="372" t="s">
        <v>9694</v>
      </c>
      <c r="D1438" s="374">
        <v>1311110405091</v>
      </c>
      <c r="E1438" s="372" t="s">
        <v>9695</v>
      </c>
      <c r="F1438" s="375" t="s">
        <v>1195</v>
      </c>
      <c r="G1438" s="375" t="s">
        <v>1196</v>
      </c>
      <c r="H1438" s="375" t="s">
        <v>1388</v>
      </c>
      <c r="I1438" s="375" t="s">
        <v>869</v>
      </c>
      <c r="J1438" s="375">
        <v>6026.9613499999996</v>
      </c>
      <c r="K1438" s="375">
        <v>-5779.73038</v>
      </c>
      <c r="L1438" s="375">
        <v>-182.19351</v>
      </c>
      <c r="M1438" s="375">
        <v>36712.517</v>
      </c>
      <c r="N1438" s="372">
        <v>1.133</v>
      </c>
      <c r="O1438" s="703">
        <v>1.4462187234775647</v>
      </c>
      <c r="P1438" s="375" t="s">
        <v>623</v>
      </c>
      <c r="Q1438" s="372" t="s">
        <v>623</v>
      </c>
      <c r="R1438" s="695">
        <v>20220624</v>
      </c>
      <c r="S1438" s="372" t="s">
        <v>9696</v>
      </c>
      <c r="T1438" s="696" t="s">
        <v>772</v>
      </c>
      <c r="U1438" s="372" t="s">
        <v>9697</v>
      </c>
      <c r="V1438" s="722" t="s">
        <v>774</v>
      </c>
      <c r="W1438" s="722">
        <v>2.08</v>
      </c>
      <c r="X1438" s="722">
        <v>12.38</v>
      </c>
      <c r="Y1438" s="722" t="s">
        <v>774</v>
      </c>
      <c r="Z1438" s="382" t="s">
        <v>934</v>
      </c>
      <c r="AA1438" s="372">
        <v>38.787549400000003</v>
      </c>
      <c r="AB1438" s="372">
        <v>96.820524300000002</v>
      </c>
      <c r="AC1438" s="372">
        <v>60.329060499999997</v>
      </c>
      <c r="AD1438" s="372">
        <v>60.269613499999998</v>
      </c>
      <c r="AE1438" s="372">
        <v>0</v>
      </c>
      <c r="AF1438" s="372">
        <v>0</v>
      </c>
      <c r="AG1438" s="372">
        <v>0</v>
      </c>
      <c r="AH1438" s="372">
        <v>0</v>
      </c>
    </row>
    <row r="1439" spans="1:34">
      <c r="A1439" s="372" t="s">
        <v>9698</v>
      </c>
      <c r="B1439" s="373" t="s">
        <v>9699</v>
      </c>
      <c r="C1439" s="372" t="s">
        <v>9700</v>
      </c>
      <c r="D1439" s="374">
        <v>1101112233560</v>
      </c>
      <c r="E1439" s="372" t="s">
        <v>9701</v>
      </c>
      <c r="F1439" s="375" t="s">
        <v>1104</v>
      </c>
      <c r="G1439" s="375" t="s">
        <v>1105</v>
      </c>
      <c r="H1439" s="375" t="s">
        <v>868</v>
      </c>
      <c r="I1439" s="375" t="s">
        <v>869</v>
      </c>
      <c r="J1439" s="375">
        <v>88916.001180000007</v>
      </c>
      <c r="K1439" s="375">
        <v>2740.14662</v>
      </c>
      <c r="L1439" s="375">
        <v>6181.6627600000002</v>
      </c>
      <c r="M1439" s="375">
        <v>158492.39543</v>
      </c>
      <c r="N1439" s="372">
        <v>0.83199999999999996</v>
      </c>
      <c r="O1439" s="703">
        <v>11.724963876484761</v>
      </c>
      <c r="P1439" s="375" t="s">
        <v>623</v>
      </c>
      <c r="Q1439" s="372" t="s">
        <v>623</v>
      </c>
      <c r="R1439" s="695">
        <v>20171207</v>
      </c>
      <c r="S1439" s="372" t="s">
        <v>9702</v>
      </c>
      <c r="T1439" s="696">
        <v>0.20900000000000002</v>
      </c>
      <c r="U1439" s="372" t="s">
        <v>9703</v>
      </c>
      <c r="V1439" s="722">
        <v>15.15</v>
      </c>
      <c r="W1439" s="722">
        <v>0.66</v>
      </c>
      <c r="X1439" s="722">
        <v>1.25</v>
      </c>
      <c r="Y1439" s="722">
        <v>15.96</v>
      </c>
      <c r="Z1439" s="382" t="s">
        <v>934</v>
      </c>
      <c r="AA1439" s="372">
        <v>1241.9755130000001</v>
      </c>
      <c r="AB1439" s="372">
        <v>1138.3540943999999</v>
      </c>
      <c r="AC1439" s="372">
        <v>693.61422430000005</v>
      </c>
      <c r="AD1439" s="372">
        <v>889.16001180000001</v>
      </c>
      <c r="AE1439" s="372">
        <v>1120</v>
      </c>
      <c r="AF1439" s="372">
        <v>1317</v>
      </c>
      <c r="AG1439" s="372">
        <v>0</v>
      </c>
      <c r="AH1439" s="372">
        <v>0</v>
      </c>
    </row>
    <row r="1440" spans="1:34">
      <c r="A1440" s="372" t="s">
        <v>9704</v>
      </c>
      <c r="B1440" s="373" t="s">
        <v>9705</v>
      </c>
      <c r="C1440" s="372" t="s">
        <v>9706</v>
      </c>
      <c r="D1440" s="374">
        <v>1101111143950</v>
      </c>
      <c r="E1440" s="372" t="s">
        <v>9707</v>
      </c>
      <c r="F1440" s="375" t="s">
        <v>1814</v>
      </c>
      <c r="G1440" s="375" t="s">
        <v>2821</v>
      </c>
      <c r="H1440" s="375" t="s">
        <v>1693</v>
      </c>
      <c r="I1440" s="375" t="s">
        <v>869</v>
      </c>
      <c r="J1440" s="375">
        <v>53543.737970000002</v>
      </c>
      <c r="K1440" s="375">
        <v>4162.9310299999997</v>
      </c>
      <c r="L1440" s="375">
        <v>4558.8016600000001</v>
      </c>
      <c r="M1440" s="375">
        <v>50551.044280000002</v>
      </c>
      <c r="N1440" s="372">
        <v>0.86199999999999999</v>
      </c>
      <c r="O1440" s="703">
        <v>3.8895835171729649</v>
      </c>
      <c r="P1440" s="375" t="s">
        <v>623</v>
      </c>
      <c r="Q1440" s="372" t="s">
        <v>623</v>
      </c>
      <c r="R1440" s="695">
        <v>20080604</v>
      </c>
      <c r="S1440" s="372" t="s">
        <v>9708</v>
      </c>
      <c r="T1440" s="696">
        <v>0.20900000000000002</v>
      </c>
      <c r="U1440" s="372" t="s">
        <v>9709</v>
      </c>
      <c r="V1440" s="722">
        <v>0</v>
      </c>
      <c r="W1440" s="722">
        <v>1.58</v>
      </c>
      <c r="X1440" s="722">
        <v>0</v>
      </c>
      <c r="Y1440" s="722">
        <v>0</v>
      </c>
      <c r="Z1440" s="382" t="s">
        <v>934</v>
      </c>
      <c r="AA1440" s="372">
        <v>443.25949630000002</v>
      </c>
      <c r="AB1440" s="372">
        <v>543.63053720000005</v>
      </c>
      <c r="AC1440" s="372">
        <v>589.35626479999996</v>
      </c>
      <c r="AD1440" s="372">
        <v>535.43737969999995</v>
      </c>
      <c r="AE1440" s="372">
        <v>0</v>
      </c>
      <c r="AF1440" s="372">
        <v>0</v>
      </c>
      <c r="AG1440" s="372">
        <v>0</v>
      </c>
      <c r="AH1440" s="372">
        <v>0</v>
      </c>
    </row>
    <row r="1441" spans="1:34">
      <c r="A1441" s="372" t="s">
        <v>9710</v>
      </c>
      <c r="B1441" s="373" t="s">
        <v>9711</v>
      </c>
      <c r="C1441" s="372" t="s">
        <v>9712</v>
      </c>
      <c r="D1441" s="374">
        <v>1615110096292</v>
      </c>
      <c r="E1441" s="372" t="s">
        <v>9713</v>
      </c>
      <c r="F1441" s="375" t="s">
        <v>1285</v>
      </c>
      <c r="G1441" s="375" t="s">
        <v>1285</v>
      </c>
      <c r="H1441" s="375" t="s">
        <v>1388</v>
      </c>
      <c r="I1441" s="375" t="s">
        <v>869</v>
      </c>
      <c r="J1441" s="375">
        <v>204633.20112000001</v>
      </c>
      <c r="K1441" s="375">
        <v>15769.934520000001</v>
      </c>
      <c r="L1441" s="375">
        <v>16544.858769999999</v>
      </c>
      <c r="M1441" s="375">
        <v>122689.49933999999</v>
      </c>
      <c r="N1441" s="372">
        <v>1.0329999999999999</v>
      </c>
      <c r="O1441" s="703">
        <v>17.973514721565937</v>
      </c>
      <c r="P1441" s="375" t="s">
        <v>623</v>
      </c>
      <c r="Q1441" s="375" t="s">
        <v>623</v>
      </c>
      <c r="R1441" s="695">
        <v>20121115</v>
      </c>
      <c r="S1441" s="375" t="s">
        <v>9714</v>
      </c>
      <c r="T1441" s="696">
        <v>0.20900000000000002</v>
      </c>
      <c r="U1441" s="372" t="s">
        <v>9715</v>
      </c>
      <c r="V1441" s="722">
        <v>5.78</v>
      </c>
      <c r="W1441" s="722">
        <v>0.92</v>
      </c>
      <c r="X1441" s="722">
        <v>0.55000000000000004</v>
      </c>
      <c r="Y1441" s="722">
        <v>8.14</v>
      </c>
      <c r="Z1441" s="382" t="s">
        <v>934</v>
      </c>
      <c r="AA1441" s="372">
        <v>1458.0063626000001</v>
      </c>
      <c r="AB1441" s="372">
        <v>1791.1117879000001</v>
      </c>
      <c r="AC1441" s="372">
        <v>2353.8135556000002</v>
      </c>
      <c r="AD1441" s="372">
        <v>2046.3320111999999</v>
      </c>
      <c r="AE1441" s="372">
        <v>2630</v>
      </c>
      <c r="AF1441" s="372">
        <v>0</v>
      </c>
      <c r="AG1441" s="372">
        <v>0</v>
      </c>
      <c r="AH1441" s="372">
        <v>0</v>
      </c>
    </row>
    <row r="1442" spans="1:34">
      <c r="A1442" s="372" t="s">
        <v>9716</v>
      </c>
      <c r="B1442" s="373" t="s">
        <v>9717</v>
      </c>
      <c r="C1442" s="372" t="s">
        <v>9718</v>
      </c>
      <c r="D1442" s="374">
        <v>1615110052450</v>
      </c>
      <c r="E1442" s="372" t="s">
        <v>9719</v>
      </c>
      <c r="F1442" s="372" t="s">
        <v>1195</v>
      </c>
      <c r="G1442" s="375" t="s">
        <v>1196</v>
      </c>
      <c r="H1442" s="375" t="s">
        <v>1388</v>
      </c>
      <c r="I1442" s="375" t="s">
        <v>869</v>
      </c>
      <c r="J1442" s="375">
        <v>57152.091930000002</v>
      </c>
      <c r="K1442" s="375">
        <v>4309.2043299999996</v>
      </c>
      <c r="L1442" s="375">
        <v>8191.0328</v>
      </c>
      <c r="M1442" s="375">
        <v>138504.39457999999</v>
      </c>
      <c r="N1442" s="372">
        <v>0.98099999999999998</v>
      </c>
      <c r="O1442" s="703">
        <v>23.007350559005758</v>
      </c>
      <c r="P1442" s="375" t="s">
        <v>623</v>
      </c>
      <c r="Q1442" s="372" t="s">
        <v>623</v>
      </c>
      <c r="R1442" s="695">
        <v>20171220</v>
      </c>
      <c r="S1442" s="372" t="s">
        <v>9720</v>
      </c>
      <c r="T1442" s="696">
        <v>0.20900000000000002</v>
      </c>
      <c r="U1442" s="372" t="s">
        <v>9721</v>
      </c>
      <c r="V1442" s="722">
        <v>19.46</v>
      </c>
      <c r="W1442" s="722">
        <v>0.73</v>
      </c>
      <c r="X1442" s="722">
        <v>1.82</v>
      </c>
      <c r="Y1442" s="722">
        <v>14.42</v>
      </c>
      <c r="Z1442" s="382" t="s">
        <v>934</v>
      </c>
      <c r="AA1442" s="372">
        <v>1261.7272671000001</v>
      </c>
      <c r="AB1442" s="372">
        <v>1250.6766376999999</v>
      </c>
      <c r="AC1442" s="372">
        <v>727.3974968</v>
      </c>
      <c r="AD1442" s="372">
        <v>571.52091929999995</v>
      </c>
      <c r="AE1442" s="372">
        <v>1230</v>
      </c>
      <c r="AF1442" s="372">
        <v>0</v>
      </c>
      <c r="AG1442" s="372">
        <v>0</v>
      </c>
      <c r="AH1442" s="372">
        <v>0</v>
      </c>
    </row>
    <row r="1443" spans="1:34">
      <c r="A1443" s="372" t="s">
        <v>9722</v>
      </c>
      <c r="B1443" s="373" t="s">
        <v>9723</v>
      </c>
      <c r="C1443" s="372" t="s">
        <v>9724</v>
      </c>
      <c r="D1443" s="374">
        <v>1101112405721</v>
      </c>
      <c r="E1443" s="372" t="s">
        <v>9725</v>
      </c>
      <c r="F1443" s="375" t="s">
        <v>1195</v>
      </c>
      <c r="G1443" s="375" t="s">
        <v>3144</v>
      </c>
      <c r="H1443" s="375" t="s">
        <v>1388</v>
      </c>
      <c r="I1443" s="375" t="s">
        <v>869</v>
      </c>
      <c r="J1443" s="375">
        <v>28014.03715</v>
      </c>
      <c r="K1443" s="375">
        <v>-1682.7422099999999</v>
      </c>
      <c r="L1443" s="375">
        <v>371.29315000000003</v>
      </c>
      <c r="M1443" s="375">
        <v>165765.66902</v>
      </c>
      <c r="N1443" s="372">
        <v>0.83299999999999996</v>
      </c>
      <c r="O1443" s="703">
        <v>1.1405135313448411</v>
      </c>
      <c r="P1443" s="375" t="s">
        <v>623</v>
      </c>
      <c r="Q1443" s="372" t="s">
        <v>623</v>
      </c>
      <c r="R1443" s="695">
        <v>20120504</v>
      </c>
      <c r="S1443" s="372" t="s">
        <v>9726</v>
      </c>
      <c r="T1443" s="696">
        <v>0.20900000000000002</v>
      </c>
      <c r="U1443" s="372" t="s">
        <v>9727</v>
      </c>
      <c r="V1443" s="722" t="s">
        <v>774</v>
      </c>
      <c r="W1443" s="722">
        <v>0.61</v>
      </c>
      <c r="X1443" s="722">
        <v>3.82</v>
      </c>
      <c r="Y1443" s="722">
        <v>65.75</v>
      </c>
      <c r="Z1443" s="382" t="s">
        <v>934</v>
      </c>
      <c r="AA1443" s="372">
        <v>925.83831610000004</v>
      </c>
      <c r="AB1443" s="372">
        <v>798.68088599999999</v>
      </c>
      <c r="AC1443" s="372">
        <v>709.75044009999999</v>
      </c>
      <c r="AD1443" s="372">
        <v>280.14037150000001</v>
      </c>
      <c r="AE1443" s="372">
        <v>660</v>
      </c>
      <c r="AF1443" s="372">
        <v>0</v>
      </c>
      <c r="AG1443" s="372">
        <v>0</v>
      </c>
      <c r="AH1443" s="372">
        <v>0</v>
      </c>
    </row>
    <row r="1444" spans="1:34">
      <c r="A1444" s="372" t="s">
        <v>9728</v>
      </c>
      <c r="B1444" s="373" t="s">
        <v>9729</v>
      </c>
      <c r="C1444" s="372" t="s">
        <v>9730</v>
      </c>
      <c r="D1444" s="374">
        <v>1101110128680</v>
      </c>
      <c r="E1444" s="372" t="s">
        <v>9731</v>
      </c>
      <c r="F1444" s="375" t="s">
        <v>1923</v>
      </c>
      <c r="G1444" s="375" t="s">
        <v>9732</v>
      </c>
      <c r="H1444" s="375" t="s">
        <v>868</v>
      </c>
      <c r="I1444" s="375" t="s">
        <v>869</v>
      </c>
      <c r="J1444" s="375">
        <v>173774.16701999999</v>
      </c>
      <c r="K1444" s="375">
        <v>-18809.878219999999</v>
      </c>
      <c r="L1444" s="375">
        <v>-18433.905890000002</v>
      </c>
      <c r="M1444" s="375">
        <v>48667.047839999999</v>
      </c>
      <c r="N1444" s="372">
        <v>1.052</v>
      </c>
      <c r="O1444" s="703">
        <v>0.32841787363327701</v>
      </c>
      <c r="P1444" s="375" t="s">
        <v>623</v>
      </c>
      <c r="Q1444" s="375" t="s">
        <v>623</v>
      </c>
      <c r="R1444" s="695">
        <v>20111108</v>
      </c>
      <c r="S1444" s="375" t="s">
        <v>9733</v>
      </c>
      <c r="T1444" s="696" t="s">
        <v>772</v>
      </c>
      <c r="U1444" s="372" t="s">
        <v>9734</v>
      </c>
      <c r="V1444" s="722" t="s">
        <v>774</v>
      </c>
      <c r="W1444" s="722">
        <v>2.11</v>
      </c>
      <c r="X1444" s="722">
        <v>0.63</v>
      </c>
      <c r="Y1444" s="722" t="s">
        <v>774</v>
      </c>
      <c r="Z1444" s="382" t="s">
        <v>934</v>
      </c>
      <c r="AA1444" s="372">
        <v>1040.3581612999999</v>
      </c>
      <c r="AB1444" s="372">
        <v>763.58148830000005</v>
      </c>
      <c r="AC1444" s="372">
        <v>1150.1546013</v>
      </c>
      <c r="AD1444" s="372">
        <v>1737.7416702</v>
      </c>
      <c r="AE1444" s="372">
        <v>0</v>
      </c>
      <c r="AF1444" s="372">
        <v>0</v>
      </c>
      <c r="AG1444" s="372">
        <v>0</v>
      </c>
      <c r="AH1444" s="372">
        <v>0</v>
      </c>
    </row>
    <row r="1445" spans="1:34">
      <c r="A1445" s="372" t="s">
        <v>9735</v>
      </c>
      <c r="B1445" s="373" t="s">
        <v>9736</v>
      </c>
      <c r="C1445" s="372" t="s">
        <v>9737</v>
      </c>
      <c r="D1445" s="374">
        <v>1345110001377</v>
      </c>
      <c r="E1445" s="372" t="s">
        <v>9738</v>
      </c>
      <c r="F1445" s="372" t="s">
        <v>9430</v>
      </c>
      <c r="G1445" s="375" t="s">
        <v>9430</v>
      </c>
      <c r="H1445" s="375" t="s">
        <v>868</v>
      </c>
      <c r="I1445" s="375" t="s">
        <v>869</v>
      </c>
      <c r="J1445" s="375">
        <v>80712.561700000006</v>
      </c>
      <c r="K1445" s="375">
        <v>-7440.3827300000003</v>
      </c>
      <c r="L1445" s="375">
        <v>-21563.980250000001</v>
      </c>
      <c r="M1445" s="375">
        <v>137741.72</v>
      </c>
      <c r="N1445" s="372">
        <v>0.85199999999999998</v>
      </c>
      <c r="O1445" s="703">
        <v>6.4913294399989869</v>
      </c>
      <c r="P1445" s="375" t="s">
        <v>16142</v>
      </c>
      <c r="Q1445" s="372" t="s">
        <v>16145</v>
      </c>
      <c r="R1445" s="695">
        <v>20041020</v>
      </c>
      <c r="S1445" s="372" t="s">
        <v>9739</v>
      </c>
      <c r="T1445" s="696" t="s">
        <v>772</v>
      </c>
      <c r="U1445" s="372" t="s">
        <v>9740</v>
      </c>
      <c r="V1445" s="722" t="s">
        <v>774</v>
      </c>
      <c r="W1445" s="722">
        <v>0.76</v>
      </c>
      <c r="X1445" s="722">
        <v>1.19</v>
      </c>
      <c r="Y1445" s="722" t="s">
        <v>774</v>
      </c>
      <c r="Z1445" s="382" t="s">
        <v>934</v>
      </c>
      <c r="AA1445" s="372">
        <v>1000.6102572999999</v>
      </c>
      <c r="AB1445" s="372">
        <v>954.50777779999999</v>
      </c>
      <c r="AC1445" s="372">
        <v>1124.995126</v>
      </c>
      <c r="AD1445" s="372">
        <v>807.12561700000003</v>
      </c>
      <c r="AE1445" s="372">
        <v>0</v>
      </c>
      <c r="AF1445" s="372">
        <v>0</v>
      </c>
      <c r="AG1445" s="372">
        <v>0</v>
      </c>
      <c r="AH1445" s="372">
        <v>0</v>
      </c>
    </row>
    <row r="1446" spans="1:34">
      <c r="A1446" s="372" t="s">
        <v>9741</v>
      </c>
      <c r="B1446" s="373" t="s">
        <v>9742</v>
      </c>
      <c r="C1446" s="372" t="s">
        <v>9743</v>
      </c>
      <c r="D1446" s="374">
        <v>1601110042533</v>
      </c>
      <c r="E1446" s="372" t="s">
        <v>9744</v>
      </c>
      <c r="F1446" s="375" t="s">
        <v>786</v>
      </c>
      <c r="G1446" s="375" t="s">
        <v>787</v>
      </c>
      <c r="H1446" s="375" t="s">
        <v>868</v>
      </c>
      <c r="I1446" s="375" t="s">
        <v>869</v>
      </c>
      <c r="J1446" s="375">
        <v>41867.966</v>
      </c>
      <c r="K1446" s="375">
        <v>6993.6925700000002</v>
      </c>
      <c r="L1446" s="375">
        <v>7479.0495099999998</v>
      </c>
      <c r="M1446" s="375">
        <v>99804.215410000004</v>
      </c>
      <c r="N1446" s="372">
        <v>0.66800000000000004</v>
      </c>
      <c r="O1446" s="703">
        <v>10.547800530635836</v>
      </c>
      <c r="P1446" s="375" t="s">
        <v>623</v>
      </c>
      <c r="Q1446" s="372" t="s">
        <v>623</v>
      </c>
      <c r="R1446" s="695">
        <v>20031029</v>
      </c>
      <c r="S1446" s="372" t="s">
        <v>9745</v>
      </c>
      <c r="T1446" s="696">
        <v>0.20900000000000002</v>
      </c>
      <c r="U1446" s="372" t="s">
        <v>9746</v>
      </c>
      <c r="V1446" s="722">
        <v>0</v>
      </c>
      <c r="W1446" s="722">
        <v>1.07</v>
      </c>
      <c r="X1446" s="722">
        <v>0</v>
      </c>
      <c r="Y1446" s="722">
        <v>0</v>
      </c>
      <c r="Z1446" s="382" t="s">
        <v>934</v>
      </c>
      <c r="AA1446" s="372">
        <v>363.17531919999999</v>
      </c>
      <c r="AB1446" s="372">
        <v>409.13902569999999</v>
      </c>
      <c r="AC1446" s="372">
        <v>392.99158619999997</v>
      </c>
      <c r="AD1446" s="372">
        <v>418.67966000000001</v>
      </c>
      <c r="AE1446" s="372">
        <v>0</v>
      </c>
      <c r="AF1446" s="372">
        <v>0</v>
      </c>
      <c r="AG1446" s="372">
        <v>0</v>
      </c>
      <c r="AH1446" s="372">
        <v>0</v>
      </c>
    </row>
    <row r="1447" spans="1:34">
      <c r="A1447" s="372" t="s">
        <v>9747</v>
      </c>
      <c r="B1447" s="373" t="s">
        <v>9748</v>
      </c>
      <c r="C1447" s="372" t="s">
        <v>9749</v>
      </c>
      <c r="D1447" s="374">
        <v>1101111848394</v>
      </c>
      <c r="E1447" s="372" t="s">
        <v>9750</v>
      </c>
      <c r="F1447" s="375" t="s">
        <v>2542</v>
      </c>
      <c r="G1447" s="375" t="s">
        <v>2542</v>
      </c>
      <c r="H1447" s="375" t="s">
        <v>823</v>
      </c>
      <c r="I1447" s="375" t="s">
        <v>755</v>
      </c>
      <c r="J1447" s="375">
        <v>40637.609669999998</v>
      </c>
      <c r="K1447" s="375">
        <v>3042.8719599999999</v>
      </c>
      <c r="L1447" s="375">
        <v>6336.7508099999995</v>
      </c>
      <c r="M1447" s="375">
        <v>112622.66408</v>
      </c>
      <c r="N1447" s="372">
        <v>0.55000000000000004</v>
      </c>
      <c r="O1447" s="703">
        <v>4.1594833750283732E-3</v>
      </c>
      <c r="P1447" s="375" t="s">
        <v>623</v>
      </c>
      <c r="Q1447" s="375" t="s">
        <v>623</v>
      </c>
      <c r="R1447" s="695">
        <v>20040720</v>
      </c>
      <c r="S1447" s="375" t="s">
        <v>9751</v>
      </c>
      <c r="T1447" s="696">
        <v>0.20900000000000002</v>
      </c>
      <c r="U1447" s="372" t="s">
        <v>9752</v>
      </c>
      <c r="V1447" s="722">
        <v>21.35</v>
      </c>
      <c r="W1447" s="722">
        <v>0.66</v>
      </c>
      <c r="X1447" s="722">
        <v>2.38</v>
      </c>
      <c r="Y1447" s="722">
        <v>18.14</v>
      </c>
      <c r="Z1447" s="382" t="s">
        <v>934</v>
      </c>
      <c r="AA1447" s="372">
        <v>364.01942700000001</v>
      </c>
      <c r="AB1447" s="372">
        <v>348.22430270000001</v>
      </c>
      <c r="AC1447" s="372">
        <v>425.68934869999998</v>
      </c>
      <c r="AD1447" s="372">
        <v>406.37609670000001</v>
      </c>
      <c r="AE1447" s="372">
        <v>528</v>
      </c>
      <c r="AF1447" s="372">
        <v>0</v>
      </c>
      <c r="AG1447" s="372">
        <v>0</v>
      </c>
      <c r="AH1447" s="372">
        <v>0</v>
      </c>
    </row>
    <row r="1448" spans="1:34">
      <c r="A1448" s="372" t="s">
        <v>9753</v>
      </c>
      <c r="B1448" s="373" t="s">
        <v>9754</v>
      </c>
      <c r="C1448" s="372" t="s">
        <v>9755</v>
      </c>
      <c r="D1448" s="374">
        <v>1101111991680</v>
      </c>
      <c r="E1448" s="372" t="s">
        <v>9756</v>
      </c>
      <c r="F1448" s="375" t="s">
        <v>1814</v>
      </c>
      <c r="G1448" s="375" t="s">
        <v>2821</v>
      </c>
      <c r="H1448" s="375" t="s">
        <v>1693</v>
      </c>
      <c r="I1448" s="375" t="s">
        <v>869</v>
      </c>
      <c r="J1448" s="375">
        <v>42663.565490000001</v>
      </c>
      <c r="K1448" s="375">
        <v>3814.9747900000002</v>
      </c>
      <c r="L1448" s="375">
        <v>4396.0154000000002</v>
      </c>
      <c r="M1448" s="375">
        <v>34994.086289999999</v>
      </c>
      <c r="N1448" s="372">
        <v>0.754</v>
      </c>
      <c r="O1448" s="703">
        <v>2.1863396710672447</v>
      </c>
      <c r="P1448" s="375" t="s">
        <v>623</v>
      </c>
      <c r="Q1448" s="372" t="s">
        <v>623</v>
      </c>
      <c r="R1448" s="695">
        <v>20131018</v>
      </c>
      <c r="S1448" s="372" t="s">
        <v>9757</v>
      </c>
      <c r="T1448" s="696">
        <v>0.20900000000000002</v>
      </c>
      <c r="U1448" s="372" t="s">
        <v>9758</v>
      </c>
      <c r="V1448" s="722">
        <v>13.82</v>
      </c>
      <c r="W1448" s="722">
        <v>3.08</v>
      </c>
      <c r="X1448" s="722">
        <v>2.59</v>
      </c>
      <c r="Y1448" s="722">
        <v>25.17</v>
      </c>
      <c r="Z1448" s="382" t="s">
        <v>934</v>
      </c>
      <c r="AA1448" s="372">
        <v>364.0588803</v>
      </c>
      <c r="AB1448" s="372">
        <v>421.74716139999998</v>
      </c>
      <c r="AC1448" s="372">
        <v>441.23812659999999</v>
      </c>
      <c r="AD1448" s="372">
        <v>426.63565490000002</v>
      </c>
      <c r="AE1448" s="372">
        <v>560</v>
      </c>
      <c r="AF1448" s="372">
        <v>0</v>
      </c>
      <c r="AG1448" s="372">
        <v>0</v>
      </c>
      <c r="AH1448" s="372">
        <v>0</v>
      </c>
    </row>
    <row r="1449" spans="1:34">
      <c r="A1449" s="372" t="s">
        <v>9759</v>
      </c>
      <c r="B1449" s="373" t="s">
        <v>9760</v>
      </c>
      <c r="C1449" s="372" t="s">
        <v>9761</v>
      </c>
      <c r="D1449" s="374">
        <v>1201110083303</v>
      </c>
      <c r="E1449" s="372" t="s">
        <v>9762</v>
      </c>
      <c r="F1449" s="375" t="s">
        <v>1381</v>
      </c>
      <c r="G1449" s="375" t="s">
        <v>1381</v>
      </c>
      <c r="H1449" s="375" t="s">
        <v>1693</v>
      </c>
      <c r="I1449" s="375" t="s">
        <v>869</v>
      </c>
      <c r="J1449" s="375">
        <v>103285.8118</v>
      </c>
      <c r="K1449" s="375">
        <v>6343.56376</v>
      </c>
      <c r="L1449" s="375">
        <v>28226.22219</v>
      </c>
      <c r="M1449" s="375">
        <v>95845.375029999996</v>
      </c>
      <c r="N1449" s="372">
        <v>0.95</v>
      </c>
      <c r="O1449" s="703">
        <v>2.6194533579366008</v>
      </c>
      <c r="P1449" s="375" t="s">
        <v>623</v>
      </c>
      <c r="Q1449" s="372" t="s">
        <v>623</v>
      </c>
      <c r="R1449" s="695">
        <v>20020404</v>
      </c>
      <c r="S1449" s="372" t="s">
        <v>9763</v>
      </c>
      <c r="T1449" s="696">
        <v>0.23100000000000001</v>
      </c>
      <c r="U1449" s="372" t="s">
        <v>9764</v>
      </c>
      <c r="V1449" s="722">
        <v>14.87</v>
      </c>
      <c r="W1449" s="722">
        <v>1.02</v>
      </c>
      <c r="X1449" s="722">
        <v>0.95</v>
      </c>
      <c r="Y1449" s="722">
        <v>4.13</v>
      </c>
      <c r="Z1449" s="382" t="s">
        <v>934</v>
      </c>
      <c r="AA1449" s="372">
        <v>689.77862649999997</v>
      </c>
      <c r="AB1449" s="372">
        <v>904.79359539999996</v>
      </c>
      <c r="AC1449" s="372">
        <v>958.45829749999996</v>
      </c>
      <c r="AD1449" s="372">
        <v>1032.8581180000001</v>
      </c>
      <c r="AE1449" s="372">
        <v>0</v>
      </c>
      <c r="AF1449" s="372">
        <v>0</v>
      </c>
      <c r="AG1449" s="372">
        <v>0</v>
      </c>
      <c r="AH1449" s="372">
        <v>0</v>
      </c>
    </row>
    <row r="1450" spans="1:34">
      <c r="A1450" s="372" t="s">
        <v>9765</v>
      </c>
      <c r="B1450" s="373" t="s">
        <v>9766</v>
      </c>
      <c r="C1450" s="372" t="s">
        <v>9767</v>
      </c>
      <c r="D1450" s="374">
        <v>1101110522494</v>
      </c>
      <c r="E1450" s="372" t="s">
        <v>9768</v>
      </c>
      <c r="F1450" s="375" t="s">
        <v>3627</v>
      </c>
      <c r="G1450" s="375" t="s">
        <v>3628</v>
      </c>
      <c r="H1450" s="375" t="s">
        <v>1388</v>
      </c>
      <c r="I1450" s="375" t="s">
        <v>869</v>
      </c>
      <c r="J1450" s="375">
        <v>327107.49076000002</v>
      </c>
      <c r="K1450" s="375">
        <v>4795.5316999999995</v>
      </c>
      <c r="L1450" s="375">
        <v>8176.72606</v>
      </c>
      <c r="M1450" s="375">
        <v>338627.13062000001</v>
      </c>
      <c r="N1450" s="372">
        <v>0.72099999999999997</v>
      </c>
      <c r="O1450" s="703">
        <v>69.838981490374408</v>
      </c>
      <c r="P1450" s="375" t="s">
        <v>623</v>
      </c>
      <c r="Q1450" s="375" t="s">
        <v>623</v>
      </c>
      <c r="R1450" s="695">
        <v>20010706</v>
      </c>
      <c r="S1450" s="375" t="s">
        <v>9769</v>
      </c>
      <c r="T1450" s="696">
        <v>0.20900000000000002</v>
      </c>
      <c r="U1450" s="372" t="s">
        <v>9770</v>
      </c>
      <c r="V1450" s="722">
        <v>12.08</v>
      </c>
      <c r="W1450" s="722">
        <v>0.3</v>
      </c>
      <c r="X1450" s="722">
        <v>0.31</v>
      </c>
      <c r="Y1450" s="722">
        <v>12.87</v>
      </c>
      <c r="Z1450" s="382" t="s">
        <v>934</v>
      </c>
      <c r="AA1450" s="372">
        <v>1865.3036307</v>
      </c>
      <c r="AB1450" s="372">
        <v>2129.0774354999999</v>
      </c>
      <c r="AC1450" s="372">
        <v>4285.5303678</v>
      </c>
      <c r="AD1450" s="372">
        <v>3271.0749076000002</v>
      </c>
      <c r="AE1450" s="372">
        <v>0</v>
      </c>
      <c r="AF1450" s="372">
        <v>0</v>
      </c>
      <c r="AG1450" s="372">
        <v>0</v>
      </c>
      <c r="AH1450" s="372">
        <v>0</v>
      </c>
    </row>
    <row r="1451" spans="1:34">
      <c r="A1451" s="372" t="s">
        <v>9771</v>
      </c>
      <c r="B1451" s="373" t="s">
        <v>9772</v>
      </c>
      <c r="C1451" s="372" t="s">
        <v>9773</v>
      </c>
      <c r="D1451" s="374">
        <v>1243110000573</v>
      </c>
      <c r="E1451" s="372" t="s">
        <v>9774</v>
      </c>
      <c r="F1451" s="372" t="s">
        <v>1985</v>
      </c>
      <c r="G1451" s="375" t="s">
        <v>1985</v>
      </c>
      <c r="H1451" s="375" t="s">
        <v>868</v>
      </c>
      <c r="I1451" s="375" t="s">
        <v>869</v>
      </c>
      <c r="J1451" s="375">
        <v>218410.55849</v>
      </c>
      <c r="K1451" s="375">
        <v>-16022.37995</v>
      </c>
      <c r="L1451" s="375">
        <v>-19827.461299999999</v>
      </c>
      <c r="M1451" s="375">
        <v>98682.663069999995</v>
      </c>
      <c r="N1451" s="372">
        <v>0.90700000000000003</v>
      </c>
      <c r="O1451" s="703">
        <v>67.089584076465883</v>
      </c>
      <c r="P1451" s="375" t="s">
        <v>623</v>
      </c>
      <c r="Q1451" s="375" t="s">
        <v>623</v>
      </c>
      <c r="R1451" s="695">
        <v>19971226</v>
      </c>
      <c r="S1451" s="372" t="s">
        <v>9775</v>
      </c>
      <c r="T1451" s="696" t="s">
        <v>772</v>
      </c>
      <c r="U1451" s="372" t="s">
        <v>9776</v>
      </c>
      <c r="V1451" s="722" t="s">
        <v>774</v>
      </c>
      <c r="W1451" s="722">
        <v>1.37</v>
      </c>
      <c r="X1451" s="722">
        <v>0.63</v>
      </c>
      <c r="Y1451" s="722" t="s">
        <v>774</v>
      </c>
      <c r="Z1451" s="382" t="s">
        <v>934</v>
      </c>
      <c r="AA1451" s="372">
        <v>1149.6159832000001</v>
      </c>
      <c r="AB1451" s="372">
        <v>1129.4668818</v>
      </c>
      <c r="AC1451" s="372">
        <v>2140.5064966999998</v>
      </c>
      <c r="AD1451" s="372">
        <v>2184.1055848999999</v>
      </c>
      <c r="AE1451" s="372">
        <v>0</v>
      </c>
      <c r="AF1451" s="372">
        <v>0</v>
      </c>
      <c r="AG1451" s="372">
        <v>0</v>
      </c>
      <c r="AH1451" s="372">
        <v>0</v>
      </c>
    </row>
    <row r="1452" spans="1:34">
      <c r="A1452" s="372" t="s">
        <v>9777</v>
      </c>
      <c r="B1452" s="373" t="s">
        <v>9778</v>
      </c>
      <c r="C1452" s="372" t="s">
        <v>9779</v>
      </c>
      <c r="D1452" s="374">
        <v>1348110015885</v>
      </c>
      <c r="E1452" s="372" t="s">
        <v>9780</v>
      </c>
      <c r="F1452" s="375" t="s">
        <v>1881</v>
      </c>
      <c r="G1452" s="375" t="s">
        <v>1882</v>
      </c>
      <c r="H1452" s="375" t="s">
        <v>868</v>
      </c>
      <c r="I1452" s="375" t="s">
        <v>869</v>
      </c>
      <c r="J1452" s="375">
        <v>160350.47898000001</v>
      </c>
      <c r="K1452" s="375">
        <v>7363.7034899999999</v>
      </c>
      <c r="L1452" s="375">
        <v>16073.82048</v>
      </c>
      <c r="M1452" s="375">
        <v>237374.06077000001</v>
      </c>
      <c r="N1452" s="372">
        <v>1.149</v>
      </c>
      <c r="O1452" s="703">
        <v>13.843528870253547</v>
      </c>
      <c r="P1452" s="375" t="s">
        <v>623</v>
      </c>
      <c r="Q1452" s="372" t="s">
        <v>623</v>
      </c>
      <c r="R1452" s="695">
        <v>20151229</v>
      </c>
      <c r="S1452" s="372" t="s">
        <v>9781</v>
      </c>
      <c r="T1452" s="696">
        <v>0.20900000000000002</v>
      </c>
      <c r="U1452" s="372" t="s">
        <v>16062</v>
      </c>
      <c r="V1452" s="722">
        <v>14.84</v>
      </c>
      <c r="W1452" s="722">
        <v>0.65</v>
      </c>
      <c r="X1452" s="722">
        <v>0.61</v>
      </c>
      <c r="Y1452" s="722">
        <v>22.6</v>
      </c>
      <c r="Z1452" s="382" t="s">
        <v>934</v>
      </c>
      <c r="AA1452" s="372">
        <v>720.66281709999998</v>
      </c>
      <c r="AB1452" s="372">
        <v>975.37203980000004</v>
      </c>
      <c r="AC1452" s="372">
        <v>1767.4112643999999</v>
      </c>
      <c r="AD1452" s="372">
        <v>1603.5047898</v>
      </c>
      <c r="AE1452" s="372">
        <v>0</v>
      </c>
      <c r="AF1452" s="372">
        <v>0</v>
      </c>
      <c r="AG1452" s="372">
        <v>0</v>
      </c>
      <c r="AH1452" s="372">
        <v>0</v>
      </c>
    </row>
    <row r="1453" spans="1:34">
      <c r="A1453" s="372" t="s">
        <v>9782</v>
      </c>
      <c r="B1453" s="373" t="s">
        <v>9783</v>
      </c>
      <c r="C1453" s="372" t="s">
        <v>9784</v>
      </c>
      <c r="D1453" s="374">
        <v>1101115617076</v>
      </c>
      <c r="E1453" s="372" t="s">
        <v>9785</v>
      </c>
      <c r="F1453" s="375" t="s">
        <v>1381</v>
      </c>
      <c r="G1453" s="375" t="s">
        <v>1381</v>
      </c>
      <c r="H1453" s="375" t="s">
        <v>868</v>
      </c>
      <c r="I1453" s="375" t="s">
        <v>869</v>
      </c>
      <c r="J1453" s="375">
        <v>175608.08874000001</v>
      </c>
      <c r="K1453" s="375">
        <v>-5966.3391300000003</v>
      </c>
      <c r="L1453" s="375">
        <v>-16549.34793</v>
      </c>
      <c r="M1453" s="375">
        <v>93485.599199999997</v>
      </c>
      <c r="N1453" s="372">
        <v>1.4339999999999999</v>
      </c>
      <c r="O1453" s="703">
        <v>65.622334299550346</v>
      </c>
      <c r="P1453" s="375" t="s">
        <v>623</v>
      </c>
      <c r="Q1453" s="372" t="s">
        <v>623</v>
      </c>
      <c r="R1453" s="695">
        <v>20150325</v>
      </c>
      <c r="S1453" s="372" t="s">
        <v>9786</v>
      </c>
      <c r="T1453" s="696" t="s">
        <v>772</v>
      </c>
      <c r="U1453" s="372" t="s">
        <v>9787</v>
      </c>
      <c r="V1453" s="722">
        <v>31.72</v>
      </c>
      <c r="W1453" s="722">
        <v>1.2</v>
      </c>
      <c r="X1453" s="722">
        <v>0.52</v>
      </c>
      <c r="Y1453" s="722" t="s">
        <v>774</v>
      </c>
      <c r="Z1453" s="382" t="s">
        <v>934</v>
      </c>
      <c r="AA1453" s="372">
        <v>1634.686342</v>
      </c>
      <c r="AB1453" s="372">
        <v>2118.3063903000002</v>
      </c>
      <c r="AC1453" s="372">
        <v>1765.4064202</v>
      </c>
      <c r="AD1453" s="372">
        <v>1756.0808873999999</v>
      </c>
      <c r="AE1453" s="372">
        <v>0</v>
      </c>
      <c r="AF1453" s="372">
        <v>0</v>
      </c>
      <c r="AG1453" s="372">
        <v>0</v>
      </c>
      <c r="AH1453" s="372">
        <v>0</v>
      </c>
    </row>
    <row r="1454" spans="1:34">
      <c r="A1454" s="372" t="s">
        <v>9788</v>
      </c>
      <c r="B1454" s="373" t="s">
        <v>9789</v>
      </c>
      <c r="C1454" s="372" t="s">
        <v>9790</v>
      </c>
      <c r="D1454" s="374">
        <v>1101115638741</v>
      </c>
      <c r="E1454" s="372" t="s">
        <v>9791</v>
      </c>
      <c r="F1454" s="375" t="s">
        <v>5742</v>
      </c>
      <c r="G1454" s="375" t="s">
        <v>5742</v>
      </c>
      <c r="H1454" s="375" t="s">
        <v>1693</v>
      </c>
      <c r="I1454" s="375" t="s">
        <v>869</v>
      </c>
      <c r="J1454" s="375">
        <v>14261.192279999999</v>
      </c>
      <c r="K1454" s="375">
        <v>220.77430000000001</v>
      </c>
      <c r="L1454" s="375">
        <v>1517.3741299999999</v>
      </c>
      <c r="M1454" s="375">
        <v>31023.837360000001</v>
      </c>
      <c r="N1454" s="372">
        <v>0.99</v>
      </c>
      <c r="O1454" s="703">
        <v>0.19225914876766059</v>
      </c>
      <c r="P1454" s="375" t="s">
        <v>623</v>
      </c>
      <c r="Q1454" s="372" t="s">
        <v>623</v>
      </c>
      <c r="R1454" s="695">
        <v>20150422</v>
      </c>
      <c r="S1454" s="372" t="s">
        <v>9792</v>
      </c>
      <c r="T1454" s="696">
        <v>0.20900000000000002</v>
      </c>
      <c r="U1454" s="372" t="s">
        <v>9793</v>
      </c>
      <c r="V1454" s="722">
        <v>165.24</v>
      </c>
      <c r="W1454" s="722">
        <v>3.05</v>
      </c>
      <c r="X1454" s="722">
        <v>6.7</v>
      </c>
      <c r="Y1454" s="722">
        <v>68.84</v>
      </c>
      <c r="Z1454" s="382" t="s">
        <v>934</v>
      </c>
      <c r="AA1454" s="372">
        <v>48.425985099999998</v>
      </c>
      <c r="AB1454" s="372">
        <v>76.199027000000001</v>
      </c>
      <c r="AC1454" s="372">
        <v>118.6306804</v>
      </c>
      <c r="AD1454" s="372">
        <v>142.6119228</v>
      </c>
      <c r="AE1454" s="372">
        <v>0</v>
      </c>
      <c r="AF1454" s="372">
        <v>0</v>
      </c>
      <c r="AG1454" s="372">
        <v>0</v>
      </c>
      <c r="AH1454" s="372">
        <v>0</v>
      </c>
    </row>
    <row r="1455" spans="1:34">
      <c r="A1455" s="372" t="s">
        <v>9794</v>
      </c>
      <c r="B1455" s="373" t="s">
        <v>9795</v>
      </c>
      <c r="C1455" s="372" t="s">
        <v>9796</v>
      </c>
      <c r="D1455" s="374">
        <v>1101111577604</v>
      </c>
      <c r="E1455" s="372" t="s">
        <v>9797</v>
      </c>
      <c r="F1455" s="372" t="s">
        <v>1814</v>
      </c>
      <c r="G1455" s="375" t="s">
        <v>1815</v>
      </c>
      <c r="H1455" s="375" t="s">
        <v>1693</v>
      </c>
      <c r="I1455" s="375" t="s">
        <v>869</v>
      </c>
      <c r="J1455" s="375">
        <v>26769.235390000002</v>
      </c>
      <c r="K1455" s="375">
        <v>-5616.4849899999999</v>
      </c>
      <c r="L1455" s="375">
        <v>-54262.327120000002</v>
      </c>
      <c r="M1455" s="375">
        <v>130550.94719000001</v>
      </c>
      <c r="N1455" s="372">
        <v>0.85399999999999998</v>
      </c>
      <c r="O1455" s="703">
        <v>15.837975175848317</v>
      </c>
      <c r="P1455" s="375" t="s">
        <v>623</v>
      </c>
      <c r="Q1455" s="375" t="s">
        <v>623</v>
      </c>
      <c r="R1455" s="695">
        <v>20020614</v>
      </c>
      <c r="S1455" s="375" t="s">
        <v>9798</v>
      </c>
      <c r="T1455" s="696" t="s">
        <v>772</v>
      </c>
      <c r="U1455" s="372" t="s">
        <v>9799</v>
      </c>
      <c r="V1455" s="722" t="s">
        <v>774</v>
      </c>
      <c r="W1455" s="722">
        <v>0.87</v>
      </c>
      <c r="X1455" s="722">
        <v>3.93</v>
      </c>
      <c r="Y1455" s="722" t="s">
        <v>774</v>
      </c>
      <c r="Z1455" s="382" t="s">
        <v>934</v>
      </c>
      <c r="AA1455" s="372">
        <v>95.189483100000004</v>
      </c>
      <c r="AB1455" s="372">
        <v>100.83529009999999</v>
      </c>
      <c r="AC1455" s="372">
        <v>86.943325799999997</v>
      </c>
      <c r="AD1455" s="372">
        <v>267.6923539</v>
      </c>
      <c r="AE1455" s="372">
        <v>0</v>
      </c>
      <c r="AF1455" s="372">
        <v>0</v>
      </c>
      <c r="AG1455" s="372">
        <v>0</v>
      </c>
      <c r="AH1455" s="372">
        <v>0</v>
      </c>
    </row>
    <row r="1456" spans="1:34">
      <c r="A1456" s="372" t="s">
        <v>9800</v>
      </c>
      <c r="B1456" s="373" t="s">
        <v>9801</v>
      </c>
      <c r="C1456" s="372" t="s">
        <v>9802</v>
      </c>
      <c r="D1456" s="374">
        <v>1101112520644</v>
      </c>
      <c r="E1456" s="372" t="s">
        <v>9803</v>
      </c>
      <c r="F1456" s="375" t="s">
        <v>1665</v>
      </c>
      <c r="G1456" s="375" t="s">
        <v>1666</v>
      </c>
      <c r="H1456" s="375" t="s">
        <v>853</v>
      </c>
      <c r="I1456" s="375" t="s">
        <v>755</v>
      </c>
      <c r="J1456" s="375">
        <v>123786.8633</v>
      </c>
      <c r="K1456" s="375">
        <v>11043.74581</v>
      </c>
      <c r="L1456" s="375">
        <v>17258.783080000001</v>
      </c>
      <c r="M1456" s="375">
        <v>474358.81689999998</v>
      </c>
      <c r="N1456" s="372">
        <v>0.98199999999999998</v>
      </c>
      <c r="O1456" s="703">
        <v>19.984756666821895</v>
      </c>
      <c r="P1456" s="375" t="s">
        <v>623</v>
      </c>
      <c r="Q1456" s="372" t="s">
        <v>623</v>
      </c>
      <c r="R1456" s="695">
        <v>20020725</v>
      </c>
      <c r="S1456" s="372" t="s">
        <v>9804</v>
      </c>
      <c r="T1456" s="696">
        <v>0.20900000000000002</v>
      </c>
      <c r="U1456" s="372" t="s">
        <v>9805</v>
      </c>
      <c r="V1456" s="722">
        <v>0</v>
      </c>
      <c r="W1456" s="722">
        <v>0.2</v>
      </c>
      <c r="X1456" s="722">
        <v>0</v>
      </c>
      <c r="Y1456" s="722">
        <v>0</v>
      </c>
      <c r="Z1456" s="382" t="s">
        <v>934</v>
      </c>
      <c r="AA1456" s="372">
        <v>1347.2306155000001</v>
      </c>
      <c r="AB1456" s="372">
        <v>1221.7323574</v>
      </c>
      <c r="AC1456" s="372">
        <v>1193.5027514000001</v>
      </c>
      <c r="AD1456" s="372">
        <v>1237.868633</v>
      </c>
      <c r="AE1456" s="372">
        <v>0</v>
      </c>
      <c r="AF1456" s="372">
        <v>0</v>
      </c>
      <c r="AG1456" s="372">
        <v>0</v>
      </c>
      <c r="AH1456" s="372">
        <v>0</v>
      </c>
    </row>
    <row r="1457" spans="1:34">
      <c r="A1457" s="372" t="s">
        <v>9806</v>
      </c>
      <c r="B1457" s="373" t="s">
        <v>9807</v>
      </c>
      <c r="C1457" s="372" t="s">
        <v>9808</v>
      </c>
      <c r="D1457" s="374">
        <v>1801110186907</v>
      </c>
      <c r="E1457" s="372" t="s">
        <v>9809</v>
      </c>
      <c r="F1457" s="375" t="s">
        <v>1144</v>
      </c>
      <c r="G1457" s="375" t="s">
        <v>3158</v>
      </c>
      <c r="H1457" s="375" t="s">
        <v>868</v>
      </c>
      <c r="I1457" s="375" t="s">
        <v>869</v>
      </c>
      <c r="J1457" s="375">
        <v>78944.495370000004</v>
      </c>
      <c r="K1457" s="375">
        <v>5365.1903000000002</v>
      </c>
      <c r="L1457" s="375">
        <v>91465.262860000003</v>
      </c>
      <c r="M1457" s="375">
        <v>162256.34768000001</v>
      </c>
      <c r="N1457" s="372">
        <v>0.69799999999999995</v>
      </c>
      <c r="O1457" s="703">
        <v>22.653248867899826</v>
      </c>
      <c r="P1457" s="375" t="s">
        <v>623</v>
      </c>
      <c r="Q1457" s="372" t="s">
        <v>623</v>
      </c>
      <c r="R1457" s="695">
        <v>20070522</v>
      </c>
      <c r="S1457" s="372" t="s">
        <v>9810</v>
      </c>
      <c r="T1457" s="696">
        <v>0.23100000000000001</v>
      </c>
      <c r="U1457" s="372" t="s">
        <v>9811</v>
      </c>
      <c r="V1457" s="722">
        <v>15.25</v>
      </c>
      <c r="W1457" s="722">
        <v>0.68</v>
      </c>
      <c r="X1457" s="722">
        <v>1.46</v>
      </c>
      <c r="Y1457" s="722">
        <v>1.61</v>
      </c>
      <c r="Z1457" s="382" t="s">
        <v>934</v>
      </c>
      <c r="AA1457" s="372">
        <v>542.84074710000004</v>
      </c>
      <c r="AB1457" s="372">
        <v>565.1791571</v>
      </c>
      <c r="AC1457" s="372">
        <v>986.37116560000004</v>
      </c>
      <c r="AD1457" s="372">
        <v>789.44495370000004</v>
      </c>
      <c r="AE1457" s="372">
        <v>983</v>
      </c>
      <c r="AF1457" s="372">
        <v>1183</v>
      </c>
      <c r="AG1457" s="372">
        <v>0</v>
      </c>
      <c r="AH1457" s="372">
        <v>0</v>
      </c>
    </row>
    <row r="1458" spans="1:34">
      <c r="A1458" s="372" t="s">
        <v>9812</v>
      </c>
      <c r="B1458" s="373" t="s">
        <v>9813</v>
      </c>
      <c r="C1458" s="372" t="s">
        <v>9814</v>
      </c>
      <c r="D1458" s="374">
        <v>1101110155451</v>
      </c>
      <c r="E1458" s="372" t="s">
        <v>9815</v>
      </c>
      <c r="F1458" s="375" t="s">
        <v>1395</v>
      </c>
      <c r="G1458" s="375" t="s">
        <v>1396</v>
      </c>
      <c r="H1458" s="375" t="s">
        <v>1397</v>
      </c>
      <c r="I1458" s="375" t="s">
        <v>755</v>
      </c>
      <c r="J1458" s="375">
        <v>3371117.7899199999</v>
      </c>
      <c r="K1458" s="375">
        <v>-45110.972549999999</v>
      </c>
      <c r="L1458" s="375">
        <v>-1578869.21548</v>
      </c>
      <c r="M1458" s="375">
        <v>-561743.85603000002</v>
      </c>
      <c r="N1458" s="372">
        <v>0.83699999999999997</v>
      </c>
      <c r="O1458" s="703">
        <v>3183.2970827627678</v>
      </c>
      <c r="P1458" s="375" t="s">
        <v>16142</v>
      </c>
      <c r="Q1458" s="375" t="s">
        <v>16145</v>
      </c>
      <c r="R1458" s="695">
        <v>19891113</v>
      </c>
      <c r="S1458" s="375" t="s">
        <v>9816</v>
      </c>
      <c r="T1458" s="696" t="s">
        <v>772</v>
      </c>
      <c r="U1458" s="372" t="s">
        <v>9817</v>
      </c>
      <c r="V1458" s="722" t="s">
        <v>774</v>
      </c>
      <c r="W1458" s="722" t="s">
        <v>774</v>
      </c>
      <c r="X1458" s="722">
        <v>0.03</v>
      </c>
      <c r="Y1458" s="722" t="s">
        <v>774</v>
      </c>
      <c r="Z1458" s="382">
        <v>-1.025095952131827E-2</v>
      </c>
      <c r="AA1458" s="372">
        <v>22815.116610500001</v>
      </c>
      <c r="AB1458" s="372">
        <v>27517.106332899999</v>
      </c>
      <c r="AC1458" s="372">
        <v>26050.967321799999</v>
      </c>
      <c r="AD1458" s="372">
        <v>33711.177899200004</v>
      </c>
      <c r="AE1458" s="372">
        <v>34310</v>
      </c>
      <c r="AF1458" s="372">
        <v>28483</v>
      </c>
      <c r="AG1458" s="372">
        <v>32350</v>
      </c>
      <c r="AH1458" s="372">
        <v>34660</v>
      </c>
    </row>
    <row r="1459" spans="1:34">
      <c r="A1459" s="372" t="s">
        <v>9818</v>
      </c>
      <c r="B1459" s="373" t="s">
        <v>9819</v>
      </c>
      <c r="C1459" s="372" t="s">
        <v>9820</v>
      </c>
      <c r="D1459" s="374">
        <v>1760110019792</v>
      </c>
      <c r="E1459" s="372" t="s">
        <v>9821</v>
      </c>
      <c r="F1459" s="372" t="s">
        <v>5674</v>
      </c>
      <c r="G1459" s="375" t="s">
        <v>5674</v>
      </c>
      <c r="H1459" s="375" t="s">
        <v>868</v>
      </c>
      <c r="I1459" s="375" t="s">
        <v>869</v>
      </c>
      <c r="J1459" s="375">
        <v>86777.674610000002</v>
      </c>
      <c r="K1459" s="375">
        <v>1993.7011500000001</v>
      </c>
      <c r="L1459" s="375">
        <v>3300.25254</v>
      </c>
      <c r="M1459" s="375">
        <v>70284.330690000003</v>
      </c>
      <c r="N1459" s="372">
        <v>1.3720000000000001</v>
      </c>
      <c r="O1459" s="703">
        <v>18.380707523596474</v>
      </c>
      <c r="P1459" s="375" t="s">
        <v>623</v>
      </c>
      <c r="Q1459" s="372" t="s">
        <v>623</v>
      </c>
      <c r="R1459" s="695">
        <v>20220324</v>
      </c>
      <c r="S1459" s="372" t="s">
        <v>9822</v>
      </c>
      <c r="T1459" s="696">
        <v>0.20900000000000002</v>
      </c>
      <c r="U1459" s="372" t="s">
        <v>9823</v>
      </c>
      <c r="V1459" s="722">
        <v>0</v>
      </c>
      <c r="W1459" s="722">
        <v>1.54</v>
      </c>
      <c r="X1459" s="722">
        <v>0</v>
      </c>
      <c r="Y1459" s="722">
        <v>0</v>
      </c>
      <c r="Z1459" s="382" t="s">
        <v>934</v>
      </c>
      <c r="AA1459" s="372">
        <v>826.94740190000005</v>
      </c>
      <c r="AB1459" s="372">
        <v>1047.9648086</v>
      </c>
      <c r="AC1459" s="372">
        <v>876.38724979999995</v>
      </c>
      <c r="AD1459" s="372">
        <v>867.77674609999997</v>
      </c>
      <c r="AE1459" s="372">
        <v>0</v>
      </c>
      <c r="AF1459" s="372">
        <v>0</v>
      </c>
      <c r="AG1459" s="372">
        <v>0</v>
      </c>
      <c r="AH1459" s="372">
        <v>0</v>
      </c>
    </row>
    <row r="1460" spans="1:34">
      <c r="A1460" s="372" t="s">
        <v>9824</v>
      </c>
      <c r="B1460" s="373" t="s">
        <v>9825</v>
      </c>
      <c r="C1460" s="372" t="s">
        <v>9826</v>
      </c>
      <c r="D1460" s="374">
        <v>2850110287959</v>
      </c>
      <c r="E1460" s="372" t="s">
        <v>9827</v>
      </c>
      <c r="F1460" s="375" t="s">
        <v>786</v>
      </c>
      <c r="G1460" s="375" t="s">
        <v>787</v>
      </c>
      <c r="H1460" s="375" t="s">
        <v>868</v>
      </c>
      <c r="I1460" s="375" t="s">
        <v>869</v>
      </c>
      <c r="J1460" s="375">
        <v>131.654</v>
      </c>
      <c r="K1460" s="375">
        <v>-29783.867699999999</v>
      </c>
      <c r="L1460" s="375">
        <v>-28342.103920000001</v>
      </c>
      <c r="M1460" s="375">
        <v>63195.703240000003</v>
      </c>
      <c r="N1460" s="372">
        <v>1.32</v>
      </c>
      <c r="O1460" s="703">
        <v>6.251061632845972</v>
      </c>
      <c r="P1460" s="375" t="s">
        <v>623</v>
      </c>
      <c r="Q1460" s="372" t="s">
        <v>623</v>
      </c>
      <c r="R1460" s="695">
        <v>20181224</v>
      </c>
      <c r="S1460" s="372" t="s">
        <v>9828</v>
      </c>
      <c r="T1460" s="696" t="s">
        <v>772</v>
      </c>
      <c r="U1460" s="372" t="s">
        <v>9829</v>
      </c>
      <c r="V1460" s="722" t="s">
        <v>774</v>
      </c>
      <c r="W1460" s="722">
        <v>2.06</v>
      </c>
      <c r="X1460" s="722">
        <v>945.86</v>
      </c>
      <c r="Y1460" s="722" t="s">
        <v>774</v>
      </c>
      <c r="Z1460" s="382" t="s">
        <v>934</v>
      </c>
      <c r="AA1460" s="372">
        <v>20.362919999999999</v>
      </c>
      <c r="AB1460" s="372">
        <v>0.73543000000000003</v>
      </c>
      <c r="AC1460" s="372">
        <v>2.1566200000000002</v>
      </c>
      <c r="AD1460" s="372">
        <v>1.31654</v>
      </c>
      <c r="AE1460" s="372">
        <v>0</v>
      </c>
      <c r="AF1460" s="372">
        <v>0</v>
      </c>
      <c r="AG1460" s="372">
        <v>0</v>
      </c>
      <c r="AH1460" s="372">
        <v>0</v>
      </c>
    </row>
    <row r="1461" spans="1:34">
      <c r="A1461" s="372" t="s">
        <v>9830</v>
      </c>
      <c r="B1461" s="373" t="s">
        <v>9831</v>
      </c>
      <c r="C1461" s="372" t="s">
        <v>9832</v>
      </c>
      <c r="D1461" s="374">
        <v>1101112215261</v>
      </c>
      <c r="E1461" s="372" t="s">
        <v>9833</v>
      </c>
      <c r="F1461" s="375" t="s">
        <v>2077</v>
      </c>
      <c r="G1461" s="375" t="s">
        <v>4743</v>
      </c>
      <c r="H1461" s="375" t="s">
        <v>868</v>
      </c>
      <c r="I1461" s="375" t="s">
        <v>869</v>
      </c>
      <c r="J1461" s="375">
        <v>97897.440570000006</v>
      </c>
      <c r="K1461" s="375">
        <v>12757.0412</v>
      </c>
      <c r="L1461" s="375">
        <v>12960.8441</v>
      </c>
      <c r="M1461" s="375">
        <v>95533.182650000002</v>
      </c>
      <c r="N1461" s="372">
        <v>0.72299999999999998</v>
      </c>
      <c r="O1461" s="703">
        <v>22.696101724933609</v>
      </c>
      <c r="P1461" s="375" t="s">
        <v>623</v>
      </c>
      <c r="Q1461" s="375" t="s">
        <v>623</v>
      </c>
      <c r="R1461" s="695">
        <v>20180528</v>
      </c>
      <c r="S1461" s="375" t="s">
        <v>9834</v>
      </c>
      <c r="T1461" s="696">
        <v>0.20900000000000002</v>
      </c>
      <c r="U1461" s="372" t="s">
        <v>9835</v>
      </c>
      <c r="V1461" s="722">
        <v>6.28</v>
      </c>
      <c r="W1461" s="722">
        <v>0.98</v>
      </c>
      <c r="X1461" s="722">
        <v>1.04</v>
      </c>
      <c r="Y1461" s="722">
        <v>8.16</v>
      </c>
      <c r="Z1461" s="382" t="s">
        <v>934</v>
      </c>
      <c r="AA1461" s="372">
        <v>616.88005050000004</v>
      </c>
      <c r="AB1461" s="372">
        <v>742.90405220000002</v>
      </c>
      <c r="AC1461" s="372">
        <v>826.04106560000002</v>
      </c>
      <c r="AD1461" s="372">
        <v>978.97440570000003</v>
      </c>
      <c r="AE1461" s="372">
        <v>0</v>
      </c>
      <c r="AF1461" s="372">
        <v>0</v>
      </c>
      <c r="AG1461" s="372">
        <v>0</v>
      </c>
      <c r="AH1461" s="372">
        <v>0</v>
      </c>
    </row>
    <row r="1462" spans="1:34">
      <c r="A1462" s="372" t="s">
        <v>9836</v>
      </c>
      <c r="B1462" s="373" t="s">
        <v>9837</v>
      </c>
      <c r="C1462" s="372" t="s">
        <v>9838</v>
      </c>
      <c r="D1462" s="374">
        <v>1601110166341</v>
      </c>
      <c r="E1462" s="372" t="s">
        <v>9839</v>
      </c>
      <c r="F1462" s="375" t="s">
        <v>2207</v>
      </c>
      <c r="G1462" s="375" t="s">
        <v>6238</v>
      </c>
      <c r="H1462" s="375" t="s">
        <v>868</v>
      </c>
      <c r="I1462" s="375" t="s">
        <v>869</v>
      </c>
      <c r="J1462" s="375">
        <v>49561.291839999998</v>
      </c>
      <c r="K1462" s="375">
        <v>2424.5709000000002</v>
      </c>
      <c r="L1462" s="375">
        <v>6397.7056000000002</v>
      </c>
      <c r="M1462" s="375">
        <v>115189.54534</v>
      </c>
      <c r="N1462" s="372">
        <v>0.89500000000000002</v>
      </c>
      <c r="O1462" s="703">
        <v>13.42466805391021</v>
      </c>
      <c r="P1462" s="375" t="s">
        <v>623</v>
      </c>
      <c r="Q1462" s="372" t="s">
        <v>623</v>
      </c>
      <c r="R1462" s="695">
        <v>20201030</v>
      </c>
      <c r="S1462" s="372" t="s">
        <v>9840</v>
      </c>
      <c r="T1462" s="696">
        <v>0.20900000000000002</v>
      </c>
      <c r="U1462" s="375" t="s">
        <v>9841</v>
      </c>
      <c r="V1462" s="722">
        <v>30.12</v>
      </c>
      <c r="W1462" s="722">
        <v>0.9</v>
      </c>
      <c r="X1462" s="722">
        <v>2.12</v>
      </c>
      <c r="Y1462" s="722">
        <v>16.579999999999998</v>
      </c>
      <c r="Z1462" s="382" t="s">
        <v>934</v>
      </c>
      <c r="AA1462" s="372">
        <v>556.1717605</v>
      </c>
      <c r="AB1462" s="372">
        <v>683.07379189999995</v>
      </c>
      <c r="AC1462" s="372">
        <v>726.05947189999995</v>
      </c>
      <c r="AD1462" s="372">
        <v>495.61291840000001</v>
      </c>
      <c r="AE1462" s="372">
        <v>0</v>
      </c>
      <c r="AF1462" s="372">
        <v>0</v>
      </c>
      <c r="AG1462" s="372">
        <v>0</v>
      </c>
      <c r="AH1462" s="372">
        <v>0</v>
      </c>
    </row>
    <row r="1463" spans="1:34">
      <c r="A1463" s="372" t="s">
        <v>9842</v>
      </c>
      <c r="B1463" s="373" t="s">
        <v>9843</v>
      </c>
      <c r="C1463" s="372" t="s">
        <v>9844</v>
      </c>
      <c r="D1463" s="374">
        <v>1101115796789</v>
      </c>
      <c r="E1463" s="372" t="s">
        <v>9845</v>
      </c>
      <c r="F1463" s="375" t="s">
        <v>2450</v>
      </c>
      <c r="G1463" s="375" t="s">
        <v>2450</v>
      </c>
      <c r="H1463" s="375" t="s">
        <v>868</v>
      </c>
      <c r="I1463" s="375" t="s">
        <v>869</v>
      </c>
      <c r="J1463" s="375">
        <v>11214.79034</v>
      </c>
      <c r="K1463" s="375">
        <v>-12280.587530000001</v>
      </c>
      <c r="L1463" s="375">
        <v>-5091.3456200000001</v>
      </c>
      <c r="M1463" s="375">
        <v>20848.306949999998</v>
      </c>
      <c r="N1463" s="372" t="s">
        <v>1033</v>
      </c>
      <c r="O1463" s="703">
        <v>12.966999671519721</v>
      </c>
      <c r="P1463" s="375" t="s">
        <v>16142</v>
      </c>
      <c r="Q1463" s="375" t="s">
        <v>16145</v>
      </c>
      <c r="R1463" s="695">
        <v>20151006</v>
      </c>
      <c r="S1463" s="375" t="s">
        <v>9846</v>
      </c>
      <c r="T1463" s="696" t="s">
        <v>772</v>
      </c>
      <c r="U1463" s="372" t="s">
        <v>9847</v>
      </c>
      <c r="V1463" s="722" t="s">
        <v>774</v>
      </c>
      <c r="W1463" s="722">
        <v>4.82</v>
      </c>
      <c r="X1463" s="722">
        <v>8.3800000000000008</v>
      </c>
      <c r="Y1463" s="722" t="s">
        <v>774</v>
      </c>
      <c r="Z1463" s="382" t="s">
        <v>934</v>
      </c>
      <c r="AA1463" s="372">
        <v>193.4372908</v>
      </c>
      <c r="AB1463" s="372">
        <v>296.0278409</v>
      </c>
      <c r="AC1463" s="372">
        <v>276.80229420000001</v>
      </c>
      <c r="AD1463" s="372">
        <v>112.1479034</v>
      </c>
      <c r="AE1463" s="372">
        <v>0</v>
      </c>
      <c r="AF1463" s="372">
        <v>0</v>
      </c>
      <c r="AG1463" s="372">
        <v>0</v>
      </c>
      <c r="AH1463" s="372">
        <v>0</v>
      </c>
    </row>
    <row r="1464" spans="1:34">
      <c r="A1464" s="372" t="s">
        <v>9848</v>
      </c>
      <c r="B1464" s="373" t="s">
        <v>9849</v>
      </c>
      <c r="C1464" s="372" t="s">
        <v>9850</v>
      </c>
      <c r="D1464" s="374">
        <v>1760110007937</v>
      </c>
      <c r="E1464" s="372" t="s">
        <v>9851</v>
      </c>
      <c r="F1464" s="375" t="s">
        <v>1195</v>
      </c>
      <c r="G1464" s="375" t="s">
        <v>3144</v>
      </c>
      <c r="H1464" s="375" t="s">
        <v>868</v>
      </c>
      <c r="I1464" s="375" t="s">
        <v>869</v>
      </c>
      <c r="J1464" s="375">
        <v>959380.43637999997</v>
      </c>
      <c r="K1464" s="375">
        <v>21906.235140000001</v>
      </c>
      <c r="L1464" s="375">
        <v>25193.655299999999</v>
      </c>
      <c r="M1464" s="375">
        <v>330002.70964000002</v>
      </c>
      <c r="N1464" s="372">
        <v>0.78300000000000003</v>
      </c>
      <c r="O1464" s="703">
        <v>69.16976059948307</v>
      </c>
      <c r="P1464" s="375" t="s">
        <v>623</v>
      </c>
      <c r="Q1464" s="375" t="s">
        <v>623</v>
      </c>
      <c r="R1464" s="695">
        <v>20030127</v>
      </c>
      <c r="S1464" s="375" t="s">
        <v>9852</v>
      </c>
      <c r="T1464" s="696">
        <v>0.23100000000000001</v>
      </c>
      <c r="U1464" s="372" t="s">
        <v>9853</v>
      </c>
      <c r="V1464" s="722">
        <v>4.8600000000000003</v>
      </c>
      <c r="W1464" s="722">
        <v>0.44</v>
      </c>
      <c r="X1464" s="722">
        <v>0.1</v>
      </c>
      <c r="Y1464" s="722">
        <v>7.49</v>
      </c>
      <c r="Z1464" s="382" t="s">
        <v>934</v>
      </c>
      <c r="AA1464" s="372">
        <v>11861.0197479</v>
      </c>
      <c r="AB1464" s="372">
        <v>10848.0714345</v>
      </c>
      <c r="AC1464" s="372">
        <v>9364.4484066000005</v>
      </c>
      <c r="AD1464" s="372">
        <v>9593.8043637999999</v>
      </c>
      <c r="AE1464" s="372">
        <v>0</v>
      </c>
      <c r="AF1464" s="372">
        <v>0</v>
      </c>
      <c r="AG1464" s="372">
        <v>0</v>
      </c>
      <c r="AH1464" s="372">
        <v>0</v>
      </c>
    </row>
    <row r="1465" spans="1:34">
      <c r="A1465" s="372" t="s">
        <v>9854</v>
      </c>
      <c r="B1465" s="373" t="s">
        <v>9855</v>
      </c>
      <c r="C1465" s="372" t="s">
        <v>9856</v>
      </c>
      <c r="D1465" s="374">
        <v>1101110252405</v>
      </c>
      <c r="E1465" s="372" t="s">
        <v>9857</v>
      </c>
      <c r="F1465" s="375" t="s">
        <v>1665</v>
      </c>
      <c r="G1465" s="375" t="s">
        <v>1666</v>
      </c>
      <c r="H1465" s="375" t="s">
        <v>3127</v>
      </c>
      <c r="I1465" s="375" t="s">
        <v>869</v>
      </c>
      <c r="J1465" s="375">
        <v>65047.220569999998</v>
      </c>
      <c r="K1465" s="375">
        <v>9216.5253100000009</v>
      </c>
      <c r="L1465" s="375">
        <v>15834.79076</v>
      </c>
      <c r="M1465" s="375">
        <v>360698.27984999999</v>
      </c>
      <c r="N1465" s="372">
        <v>0.66500000000000004</v>
      </c>
      <c r="O1465" s="703">
        <v>252.31253267724639</v>
      </c>
      <c r="P1465" s="375" t="s">
        <v>623</v>
      </c>
      <c r="Q1465" s="372" t="s">
        <v>623</v>
      </c>
      <c r="R1465" s="695">
        <v>19931029</v>
      </c>
      <c r="S1465" s="375" t="s">
        <v>9858</v>
      </c>
      <c r="T1465" s="696">
        <v>0.20900000000000002</v>
      </c>
      <c r="U1465" s="375" t="s">
        <v>9859</v>
      </c>
      <c r="V1465" s="722">
        <v>15.58</v>
      </c>
      <c r="W1465" s="722">
        <v>0.32</v>
      </c>
      <c r="X1465" s="722">
        <v>1.55</v>
      </c>
      <c r="Y1465" s="722">
        <v>7.33</v>
      </c>
      <c r="Z1465" s="382" t="s">
        <v>934</v>
      </c>
      <c r="AA1465" s="372">
        <v>490.83339489999997</v>
      </c>
      <c r="AB1465" s="372">
        <v>509.2915496</v>
      </c>
      <c r="AC1465" s="372">
        <v>589.27664719999996</v>
      </c>
      <c r="AD1465" s="372">
        <v>650.47220570000002</v>
      </c>
      <c r="AE1465" s="372">
        <v>0</v>
      </c>
      <c r="AF1465" s="372">
        <v>0</v>
      </c>
      <c r="AG1465" s="372">
        <v>0</v>
      </c>
      <c r="AH1465" s="372">
        <v>0</v>
      </c>
    </row>
    <row r="1466" spans="1:34">
      <c r="A1466" s="372" t="s">
        <v>9860</v>
      </c>
      <c r="B1466" s="373" t="s">
        <v>9861</v>
      </c>
      <c r="C1466" s="372" t="s">
        <v>9862</v>
      </c>
      <c r="D1466" s="374">
        <v>1301110062876</v>
      </c>
      <c r="E1466" s="372" t="s">
        <v>9863</v>
      </c>
      <c r="F1466" s="375" t="s">
        <v>1062</v>
      </c>
      <c r="G1466" s="375" t="s">
        <v>1062</v>
      </c>
      <c r="H1466" s="375" t="s">
        <v>868</v>
      </c>
      <c r="I1466" s="375" t="s">
        <v>869</v>
      </c>
      <c r="J1466" s="375">
        <v>17372.56755</v>
      </c>
      <c r="K1466" s="375">
        <v>-2630.9454000000001</v>
      </c>
      <c r="L1466" s="375">
        <v>-2436.6874200000002</v>
      </c>
      <c r="M1466" s="375">
        <v>25144.34275</v>
      </c>
      <c r="N1466" s="372">
        <v>0.85299999999999998</v>
      </c>
      <c r="O1466" s="703">
        <v>10.251778408815808</v>
      </c>
      <c r="P1466" s="375" t="s">
        <v>623</v>
      </c>
      <c r="Q1466" s="375" t="s">
        <v>623</v>
      </c>
      <c r="R1466" s="695">
        <v>20181026</v>
      </c>
      <c r="S1466" s="375" t="s">
        <v>9864</v>
      </c>
      <c r="T1466" s="696" t="s">
        <v>772</v>
      </c>
      <c r="U1466" s="372" t="s">
        <v>9865</v>
      </c>
      <c r="V1466" s="722">
        <v>0</v>
      </c>
      <c r="W1466" s="722">
        <v>4.0999999999999996</v>
      </c>
      <c r="X1466" s="722">
        <v>0</v>
      </c>
      <c r="Y1466" s="722">
        <v>0</v>
      </c>
      <c r="Z1466" s="382" t="s">
        <v>934</v>
      </c>
      <c r="AA1466" s="372">
        <v>130.458538</v>
      </c>
      <c r="AB1466" s="372">
        <v>142.58439999999999</v>
      </c>
      <c r="AC1466" s="372">
        <v>160.08196849999999</v>
      </c>
      <c r="AD1466" s="372">
        <v>173.72567549999999</v>
      </c>
      <c r="AE1466" s="372">
        <v>0</v>
      </c>
      <c r="AF1466" s="372">
        <v>0</v>
      </c>
      <c r="AG1466" s="372">
        <v>0</v>
      </c>
      <c r="AH1466" s="372">
        <v>0</v>
      </c>
    </row>
    <row r="1467" spans="1:34">
      <c r="A1467" s="372" t="s">
        <v>9866</v>
      </c>
      <c r="B1467" s="373" t="s">
        <v>9867</v>
      </c>
      <c r="C1467" s="372" t="s">
        <v>9868</v>
      </c>
      <c r="D1467" s="374">
        <v>1101110512049</v>
      </c>
      <c r="E1467" s="372" t="s">
        <v>9869</v>
      </c>
      <c r="F1467" s="375" t="s">
        <v>3924</v>
      </c>
      <c r="G1467" s="375" t="s">
        <v>7859</v>
      </c>
      <c r="H1467" s="375" t="s">
        <v>902</v>
      </c>
      <c r="I1467" s="375" t="s">
        <v>869</v>
      </c>
      <c r="J1467" s="375">
        <v>25368.842659999998</v>
      </c>
      <c r="K1467" s="375">
        <v>17700.029409999999</v>
      </c>
      <c r="L1467" s="375">
        <v>18023.01902</v>
      </c>
      <c r="M1467" s="375">
        <v>80070.021729999993</v>
      </c>
      <c r="N1467" s="372">
        <v>0.505</v>
      </c>
      <c r="O1467" s="703">
        <v>4.7635749537614487</v>
      </c>
      <c r="P1467" s="375" t="s">
        <v>16142</v>
      </c>
      <c r="Q1467" s="372" t="s">
        <v>16145</v>
      </c>
      <c r="R1467" s="695">
        <v>19890307</v>
      </c>
      <c r="S1467" s="372" t="s">
        <v>7860</v>
      </c>
      <c r="T1467" s="696">
        <v>0.20900000000000002</v>
      </c>
      <c r="U1467" s="372" t="s">
        <v>9870</v>
      </c>
      <c r="V1467" s="722">
        <v>0</v>
      </c>
      <c r="W1467" s="722">
        <v>1.1100000000000001</v>
      </c>
      <c r="X1467" s="722">
        <v>3.4</v>
      </c>
      <c r="Y1467" s="722">
        <v>4.78</v>
      </c>
      <c r="Z1467" s="382" t="s">
        <v>934</v>
      </c>
      <c r="AA1467" s="372">
        <v>37.851720999999998</v>
      </c>
      <c r="AB1467" s="372">
        <v>86.768680599999996</v>
      </c>
      <c r="AC1467" s="372">
        <v>82.231760800000004</v>
      </c>
      <c r="AD1467" s="372">
        <v>253.68842660000001</v>
      </c>
      <c r="AE1467" s="372">
        <v>0</v>
      </c>
      <c r="AF1467" s="372">
        <v>0</v>
      </c>
      <c r="AG1467" s="372">
        <v>0</v>
      </c>
      <c r="AH1467" s="372">
        <v>0</v>
      </c>
    </row>
    <row r="1468" spans="1:34">
      <c r="A1468" s="372" t="s">
        <v>9871</v>
      </c>
      <c r="B1468" s="373" t="s">
        <v>9872</v>
      </c>
      <c r="C1468" s="372" t="s">
        <v>9873</v>
      </c>
      <c r="D1468" s="374">
        <v>1101110019334</v>
      </c>
      <c r="E1468" s="372" t="s">
        <v>9874</v>
      </c>
      <c r="F1468" s="372" t="s">
        <v>1915</v>
      </c>
      <c r="G1468" s="375" t="s">
        <v>1916</v>
      </c>
      <c r="H1468" s="375" t="s">
        <v>1327</v>
      </c>
      <c r="I1468" s="375" t="s">
        <v>755</v>
      </c>
      <c r="J1468" s="375">
        <v>405945.60941999999</v>
      </c>
      <c r="K1468" s="375">
        <v>15648.302439999999</v>
      </c>
      <c r="L1468" s="375">
        <v>-168.66220999999999</v>
      </c>
      <c r="M1468" s="375">
        <v>149640.11900000001</v>
      </c>
      <c r="N1468" s="372">
        <v>0.60699999999999998</v>
      </c>
      <c r="O1468" s="703">
        <v>211.39721368873268</v>
      </c>
      <c r="P1468" s="375" t="s">
        <v>623</v>
      </c>
      <c r="Q1468" s="375" t="s">
        <v>623</v>
      </c>
      <c r="R1468" s="695">
        <v>19761223</v>
      </c>
      <c r="S1468" s="372" t="s">
        <v>9875</v>
      </c>
      <c r="T1468" s="696" t="s">
        <v>772</v>
      </c>
      <c r="U1468" s="372" t="s">
        <v>9876</v>
      </c>
      <c r="V1468" s="722">
        <v>11.52</v>
      </c>
      <c r="W1468" s="722">
        <v>0.69</v>
      </c>
      <c r="X1468" s="722">
        <v>0.26</v>
      </c>
      <c r="Y1468" s="722">
        <v>291.86</v>
      </c>
      <c r="Z1468" s="382" t="s">
        <v>934</v>
      </c>
      <c r="AA1468" s="372">
        <v>2226.0429586999999</v>
      </c>
      <c r="AB1468" s="372">
        <v>2508.6124497000001</v>
      </c>
      <c r="AC1468" s="372">
        <v>3240.3575245000002</v>
      </c>
      <c r="AD1468" s="372">
        <v>4059.4560941999998</v>
      </c>
      <c r="AE1468" s="372">
        <v>0</v>
      </c>
      <c r="AF1468" s="372">
        <v>0</v>
      </c>
      <c r="AG1468" s="372">
        <v>0</v>
      </c>
      <c r="AH1468" s="372">
        <v>0</v>
      </c>
    </row>
    <row r="1469" spans="1:34">
      <c r="A1469" s="372" t="s">
        <v>9877</v>
      </c>
      <c r="B1469" s="373" t="s">
        <v>9878</v>
      </c>
      <c r="C1469" s="372" t="s">
        <v>9879</v>
      </c>
      <c r="D1469" s="374">
        <v>1101111954513</v>
      </c>
      <c r="E1469" s="372" t="s">
        <v>9880</v>
      </c>
      <c r="F1469" s="375" t="s">
        <v>852</v>
      </c>
      <c r="G1469" s="375" t="s">
        <v>852</v>
      </c>
      <c r="H1469" s="375" t="s">
        <v>3127</v>
      </c>
      <c r="I1469" s="375" t="s">
        <v>869</v>
      </c>
      <c r="J1469" s="375">
        <v>63698.211790000001</v>
      </c>
      <c r="K1469" s="375">
        <v>-10191.70976</v>
      </c>
      <c r="L1469" s="375">
        <v>-11454.88502</v>
      </c>
      <c r="M1469" s="375">
        <v>99443.350510000004</v>
      </c>
      <c r="N1469" s="372">
        <v>0.88500000000000001</v>
      </c>
      <c r="O1469" s="703">
        <v>10.440557127246992</v>
      </c>
      <c r="P1469" s="375" t="s">
        <v>623</v>
      </c>
      <c r="Q1469" s="375" t="s">
        <v>623</v>
      </c>
      <c r="R1469" s="695">
        <v>20030609</v>
      </c>
      <c r="S1469" s="375" t="s">
        <v>9881</v>
      </c>
      <c r="T1469" s="696" t="s">
        <v>772</v>
      </c>
      <c r="U1469" s="372" t="s">
        <v>9882</v>
      </c>
      <c r="V1469" s="722" t="s">
        <v>774</v>
      </c>
      <c r="W1469" s="722">
        <v>1.26</v>
      </c>
      <c r="X1469" s="722">
        <v>1.71</v>
      </c>
      <c r="Y1469" s="722" t="s">
        <v>774</v>
      </c>
      <c r="Z1469" s="382" t="s">
        <v>934</v>
      </c>
      <c r="AA1469" s="372">
        <v>406.73624899999999</v>
      </c>
      <c r="AB1469" s="372">
        <v>170.68079760000001</v>
      </c>
      <c r="AC1469" s="372">
        <v>733.04174990000001</v>
      </c>
      <c r="AD1469" s="372">
        <v>636.98211790000005</v>
      </c>
      <c r="AE1469" s="372">
        <v>0</v>
      </c>
      <c r="AF1469" s="372">
        <v>0</v>
      </c>
      <c r="AG1469" s="372">
        <v>0</v>
      </c>
      <c r="AH1469" s="372">
        <v>0</v>
      </c>
    </row>
    <row r="1470" spans="1:34">
      <c r="A1470" s="372" t="s">
        <v>9883</v>
      </c>
      <c r="B1470" s="373" t="s">
        <v>9884</v>
      </c>
      <c r="C1470" s="372" t="s">
        <v>16174</v>
      </c>
      <c r="D1470" s="374">
        <v>1101117655868</v>
      </c>
      <c r="E1470" s="372" t="s">
        <v>16175</v>
      </c>
      <c r="F1470" s="372" t="s">
        <v>9885</v>
      </c>
      <c r="G1470" s="375" t="s">
        <v>9885</v>
      </c>
      <c r="H1470" s="375" t="s">
        <v>868</v>
      </c>
      <c r="I1470" s="375" t="s">
        <v>869</v>
      </c>
      <c r="J1470" s="375">
        <v>8939.7440299999998</v>
      </c>
      <c r="K1470" s="375">
        <v>-8087.7400799999996</v>
      </c>
      <c r="L1470" s="375">
        <v>-10163.18492</v>
      </c>
      <c r="M1470" s="375">
        <v>28096.214479999999</v>
      </c>
      <c r="N1470" s="372">
        <v>0.754</v>
      </c>
      <c r="O1470" s="703">
        <v>13.126600633753913</v>
      </c>
      <c r="P1470" s="375" t="s">
        <v>623</v>
      </c>
      <c r="Q1470" s="372" t="s">
        <v>623</v>
      </c>
      <c r="R1470" s="695">
        <v>20201223</v>
      </c>
      <c r="S1470" s="372" t="s">
        <v>9886</v>
      </c>
      <c r="T1470" s="696" t="s">
        <v>772</v>
      </c>
      <c r="U1470" s="372" t="s">
        <v>9887</v>
      </c>
      <c r="V1470" s="722" t="s">
        <v>774</v>
      </c>
      <c r="W1470" s="722">
        <v>3.53</v>
      </c>
      <c r="X1470" s="722">
        <v>10.31</v>
      </c>
      <c r="Y1470" s="722" t="s">
        <v>774</v>
      </c>
      <c r="Z1470" s="382" t="s">
        <v>934</v>
      </c>
      <c r="AA1470" s="372">
        <v>126.9446483</v>
      </c>
      <c r="AB1470" s="372">
        <v>158.50396269999999</v>
      </c>
      <c r="AC1470" s="372">
        <v>191.482494</v>
      </c>
      <c r="AD1470" s="372">
        <v>89.3974403</v>
      </c>
      <c r="AE1470" s="372">
        <v>0</v>
      </c>
      <c r="AF1470" s="372">
        <v>0</v>
      </c>
      <c r="AG1470" s="372">
        <v>0</v>
      </c>
      <c r="AH1470" s="372">
        <v>0</v>
      </c>
    </row>
    <row r="1471" spans="1:34">
      <c r="A1471" s="372" t="s">
        <v>9888</v>
      </c>
      <c r="B1471" s="373" t="s">
        <v>9889</v>
      </c>
      <c r="C1471" s="372" t="s">
        <v>9890</v>
      </c>
      <c r="D1471" s="374">
        <v>1101112838477</v>
      </c>
      <c r="E1471" s="372" t="s">
        <v>9891</v>
      </c>
      <c r="F1471" s="375" t="s">
        <v>1259</v>
      </c>
      <c r="G1471" s="375" t="s">
        <v>1259</v>
      </c>
      <c r="H1471" s="375" t="s">
        <v>868</v>
      </c>
      <c r="I1471" s="375" t="s">
        <v>869</v>
      </c>
      <c r="J1471" s="375">
        <v>13108.378000000001</v>
      </c>
      <c r="K1471" s="375">
        <v>-5988.0433800000001</v>
      </c>
      <c r="L1471" s="375">
        <v>-6337.10088</v>
      </c>
      <c r="M1471" s="375">
        <v>12274.83279</v>
      </c>
      <c r="N1471" s="372" t="s">
        <v>1033</v>
      </c>
      <c r="O1471" s="703">
        <v>3.0859347812611562</v>
      </c>
      <c r="P1471" s="375" t="s">
        <v>623</v>
      </c>
      <c r="Q1471" s="375" t="s">
        <v>623</v>
      </c>
      <c r="R1471" s="695">
        <v>20230504</v>
      </c>
      <c r="S1471" s="375" t="s">
        <v>9892</v>
      </c>
      <c r="T1471" s="696" t="s">
        <v>772</v>
      </c>
      <c r="U1471" s="375" t="s">
        <v>9893</v>
      </c>
      <c r="V1471" s="722" t="s">
        <v>774</v>
      </c>
      <c r="W1471" s="722">
        <v>18.809999999999999</v>
      </c>
      <c r="X1471" s="722">
        <v>9.59</v>
      </c>
      <c r="Y1471" s="722" t="s">
        <v>774</v>
      </c>
      <c r="Z1471" s="382" t="s">
        <v>934</v>
      </c>
      <c r="AA1471" s="372">
        <v>53.193214500000003</v>
      </c>
      <c r="AB1471" s="372">
        <v>88.682229699999993</v>
      </c>
      <c r="AC1471" s="372">
        <v>121.126521</v>
      </c>
      <c r="AD1471" s="372">
        <v>131.08377999999999</v>
      </c>
      <c r="AE1471" s="372">
        <v>0</v>
      </c>
      <c r="AF1471" s="372">
        <v>0</v>
      </c>
      <c r="AG1471" s="372">
        <v>0</v>
      </c>
      <c r="AH1471" s="372">
        <v>0</v>
      </c>
    </row>
    <row r="1472" spans="1:34">
      <c r="A1472" s="372" t="s">
        <v>9894</v>
      </c>
      <c r="B1472" s="373" t="s">
        <v>9895</v>
      </c>
      <c r="C1472" s="372" t="s">
        <v>9896</v>
      </c>
      <c r="D1472" s="374">
        <v>2001110097272</v>
      </c>
      <c r="E1472" s="372" t="s">
        <v>9897</v>
      </c>
      <c r="F1472" s="375" t="s">
        <v>2450</v>
      </c>
      <c r="G1472" s="375" t="s">
        <v>6132</v>
      </c>
      <c r="H1472" s="375" t="s">
        <v>1050</v>
      </c>
      <c r="I1472" s="375" t="s">
        <v>755</v>
      </c>
      <c r="J1472" s="375">
        <v>67116.106719999996</v>
      </c>
      <c r="K1472" s="375">
        <v>-8774.7133799999992</v>
      </c>
      <c r="L1472" s="375">
        <v>-27556.615389999999</v>
      </c>
      <c r="M1472" s="375">
        <v>52288.292009999997</v>
      </c>
      <c r="N1472" s="372">
        <v>1.6140000000000001</v>
      </c>
      <c r="O1472" s="703">
        <v>18.643053652894707</v>
      </c>
      <c r="P1472" s="375" t="s">
        <v>623</v>
      </c>
      <c r="Q1472" s="372" t="s">
        <v>623</v>
      </c>
      <c r="R1472" s="695">
        <v>20150319</v>
      </c>
      <c r="S1472" s="372" t="s">
        <v>9898</v>
      </c>
      <c r="T1472" s="696" t="s">
        <v>772</v>
      </c>
      <c r="U1472" s="372" t="s">
        <v>9899</v>
      </c>
      <c r="V1472" s="722" t="s">
        <v>774</v>
      </c>
      <c r="W1472" s="722">
        <v>1.77</v>
      </c>
      <c r="X1472" s="722">
        <v>1.43</v>
      </c>
      <c r="Y1472" s="722" t="s">
        <v>774</v>
      </c>
      <c r="Z1472" s="382" t="s">
        <v>934</v>
      </c>
      <c r="AA1472" s="372">
        <v>767.83853239999996</v>
      </c>
      <c r="AB1472" s="372">
        <v>526.53886490000002</v>
      </c>
      <c r="AC1472" s="372">
        <v>581.98972419999996</v>
      </c>
      <c r="AD1472" s="372">
        <v>671.16106720000005</v>
      </c>
      <c r="AE1472" s="372">
        <v>0</v>
      </c>
      <c r="AF1472" s="372">
        <v>0</v>
      </c>
      <c r="AG1472" s="372">
        <v>0</v>
      </c>
      <c r="AH1472" s="372">
        <v>0</v>
      </c>
    </row>
    <row r="1473" spans="1:34">
      <c r="A1473" s="372" t="s">
        <v>9900</v>
      </c>
      <c r="B1473" s="373" t="s">
        <v>9901</v>
      </c>
      <c r="C1473" s="372" t="s">
        <v>9902</v>
      </c>
      <c r="D1473" s="374">
        <v>1101110375398</v>
      </c>
      <c r="E1473" s="372" t="s">
        <v>9903</v>
      </c>
      <c r="F1473" s="375" t="s">
        <v>7094</v>
      </c>
      <c r="G1473" s="375" t="s">
        <v>7094</v>
      </c>
      <c r="H1473" s="375" t="s">
        <v>823</v>
      </c>
      <c r="I1473" s="375" t="s">
        <v>755</v>
      </c>
      <c r="J1473" s="375">
        <v>548333.99901999999</v>
      </c>
      <c r="K1473" s="375">
        <v>26444.087240000001</v>
      </c>
      <c r="L1473" s="375">
        <v>26027.466929999999</v>
      </c>
      <c r="M1473" s="375">
        <v>182779.84802999999</v>
      </c>
      <c r="N1473" s="372">
        <v>0.50600000000000001</v>
      </c>
      <c r="O1473" s="703">
        <v>11.769918578789698</v>
      </c>
      <c r="P1473" s="375" t="s">
        <v>623</v>
      </c>
      <c r="Q1473" s="372" t="s">
        <v>623</v>
      </c>
      <c r="R1473" s="695">
        <v>19990811</v>
      </c>
      <c r="S1473" s="372" t="s">
        <v>861</v>
      </c>
      <c r="T1473" s="696">
        <v>0.23100000000000001</v>
      </c>
      <c r="U1473" s="372" t="s">
        <v>16063</v>
      </c>
      <c r="V1473" s="722">
        <v>2.8</v>
      </c>
      <c r="W1473" s="722">
        <v>0.54</v>
      </c>
      <c r="X1473" s="722">
        <v>0.19</v>
      </c>
      <c r="Y1473" s="722">
        <v>6.37</v>
      </c>
      <c r="Z1473" s="382" t="s">
        <v>934</v>
      </c>
      <c r="AA1473" s="372">
        <v>3756.1702273999999</v>
      </c>
      <c r="AB1473" s="372">
        <v>4584.9777049000004</v>
      </c>
      <c r="AC1473" s="372">
        <v>5304.4805361999997</v>
      </c>
      <c r="AD1473" s="372">
        <v>5483.3399902000001</v>
      </c>
      <c r="AE1473" s="372">
        <v>0</v>
      </c>
      <c r="AF1473" s="372">
        <v>0</v>
      </c>
      <c r="AG1473" s="372">
        <v>0</v>
      </c>
      <c r="AH1473" s="372">
        <v>0</v>
      </c>
    </row>
    <row r="1474" spans="1:34">
      <c r="A1474" s="372" t="s">
        <v>9904</v>
      </c>
      <c r="B1474" s="373" t="s">
        <v>9905</v>
      </c>
      <c r="C1474" s="372" t="s">
        <v>9906</v>
      </c>
      <c r="D1474" s="374">
        <v>1101114358382</v>
      </c>
      <c r="E1474" s="372" t="s">
        <v>9907</v>
      </c>
      <c r="F1474" s="375" t="s">
        <v>1013</v>
      </c>
      <c r="G1474" s="375" t="s">
        <v>1225</v>
      </c>
      <c r="H1474" s="375" t="s">
        <v>1693</v>
      </c>
      <c r="I1474" s="375" t="s">
        <v>869</v>
      </c>
      <c r="J1474" s="375">
        <v>108995.41507</v>
      </c>
      <c r="K1474" s="375">
        <v>22131.483080000002</v>
      </c>
      <c r="L1474" s="375">
        <v>22367.47378</v>
      </c>
      <c r="M1474" s="375">
        <v>225758.44691</v>
      </c>
      <c r="N1474" s="372">
        <v>0.999</v>
      </c>
      <c r="O1474" s="703">
        <v>25.016853938737238</v>
      </c>
      <c r="P1474" s="375" t="s">
        <v>623</v>
      </c>
      <c r="Q1474" s="372" t="s">
        <v>623</v>
      </c>
      <c r="R1474" s="695">
        <v>20161010</v>
      </c>
      <c r="S1474" s="372" t="s">
        <v>9908</v>
      </c>
      <c r="T1474" s="696">
        <v>0.23100000000000001</v>
      </c>
      <c r="U1474" s="372" t="s">
        <v>9909</v>
      </c>
      <c r="V1474" s="722">
        <v>6.86</v>
      </c>
      <c r="W1474" s="722">
        <v>0.73</v>
      </c>
      <c r="X1474" s="722">
        <v>0.88</v>
      </c>
      <c r="Y1474" s="722">
        <v>12.3</v>
      </c>
      <c r="Z1474" s="382" t="s">
        <v>934</v>
      </c>
      <c r="AA1474" s="372">
        <v>1307.0485443</v>
      </c>
      <c r="AB1474" s="372">
        <v>1097.3423419000001</v>
      </c>
      <c r="AC1474" s="372">
        <v>1120.1204914</v>
      </c>
      <c r="AD1474" s="372">
        <v>1089.9541506999999</v>
      </c>
      <c r="AE1474" s="372">
        <v>0</v>
      </c>
      <c r="AF1474" s="372">
        <v>0</v>
      </c>
      <c r="AG1474" s="372">
        <v>0</v>
      </c>
      <c r="AH1474" s="372">
        <v>0</v>
      </c>
    </row>
    <row r="1475" spans="1:34">
      <c r="A1475" s="372" t="s">
        <v>9910</v>
      </c>
      <c r="B1475" s="373" t="s">
        <v>9911</v>
      </c>
      <c r="C1475" s="372" t="s">
        <v>16176</v>
      </c>
      <c r="D1475" s="374">
        <v>1201110148800</v>
      </c>
      <c r="E1475" s="372" t="s">
        <v>16177</v>
      </c>
      <c r="F1475" s="375" t="s">
        <v>5674</v>
      </c>
      <c r="G1475" s="375" t="s">
        <v>5674</v>
      </c>
      <c r="H1475" s="375" t="s">
        <v>868</v>
      </c>
      <c r="I1475" s="375" t="s">
        <v>869</v>
      </c>
      <c r="J1475" s="375">
        <v>13683.022139999999</v>
      </c>
      <c r="K1475" s="375">
        <v>-1495.25398</v>
      </c>
      <c r="L1475" s="375">
        <v>-778.28686000000005</v>
      </c>
      <c r="M1475" s="375">
        <v>39890.235849999997</v>
      </c>
      <c r="N1475" s="372">
        <v>1.49</v>
      </c>
      <c r="O1475" s="703">
        <v>2.9705627131579634E-2</v>
      </c>
      <c r="P1475" s="375" t="s">
        <v>623</v>
      </c>
      <c r="Q1475" s="375" t="s">
        <v>623</v>
      </c>
      <c r="R1475" s="695">
        <v>20210421</v>
      </c>
      <c r="S1475" s="372" t="s">
        <v>9912</v>
      </c>
      <c r="T1475" s="696" t="s">
        <v>772</v>
      </c>
      <c r="U1475" s="372" t="s">
        <v>9913</v>
      </c>
      <c r="V1475" s="722">
        <v>0</v>
      </c>
      <c r="W1475" s="722">
        <v>2.11</v>
      </c>
      <c r="X1475" s="722">
        <v>0</v>
      </c>
      <c r="Y1475" s="722">
        <v>0</v>
      </c>
      <c r="Z1475" s="382" t="s">
        <v>934</v>
      </c>
      <c r="AA1475" s="372">
        <v>167.34359130000001</v>
      </c>
      <c r="AB1475" s="372">
        <v>152.27941609999999</v>
      </c>
      <c r="AC1475" s="372">
        <v>139.13931779999999</v>
      </c>
      <c r="AD1475" s="372">
        <v>136.8302214</v>
      </c>
      <c r="AE1475" s="372">
        <v>0</v>
      </c>
      <c r="AF1475" s="372">
        <v>0</v>
      </c>
      <c r="AG1475" s="372">
        <v>0</v>
      </c>
      <c r="AH1475" s="372">
        <v>0</v>
      </c>
    </row>
    <row r="1476" spans="1:34">
      <c r="A1476" s="372" t="s">
        <v>9914</v>
      </c>
      <c r="B1476" s="373" t="s">
        <v>9915</v>
      </c>
      <c r="C1476" s="372" t="s">
        <v>9916</v>
      </c>
      <c r="D1476" s="374">
        <v>1101111788566</v>
      </c>
      <c r="E1476" s="372" t="s">
        <v>9917</v>
      </c>
      <c r="F1476" s="375" t="s">
        <v>1814</v>
      </c>
      <c r="G1476" s="375" t="s">
        <v>2821</v>
      </c>
      <c r="H1476" s="375" t="s">
        <v>1693</v>
      </c>
      <c r="I1476" s="375" t="s">
        <v>869</v>
      </c>
      <c r="J1476" s="375">
        <v>55030.886109999999</v>
      </c>
      <c r="K1476" s="375">
        <v>11412.710569999999</v>
      </c>
      <c r="L1476" s="375">
        <v>13892.86168</v>
      </c>
      <c r="M1476" s="375">
        <v>83153.975130000006</v>
      </c>
      <c r="N1476" s="372">
        <v>1.0629999999999999</v>
      </c>
      <c r="O1476" s="703">
        <v>44.030134797438855</v>
      </c>
      <c r="P1476" s="375" t="s">
        <v>623</v>
      </c>
      <c r="Q1476" s="372" t="s">
        <v>623</v>
      </c>
      <c r="R1476" s="695">
        <v>20191017</v>
      </c>
      <c r="S1476" s="372" t="s">
        <v>9918</v>
      </c>
      <c r="T1476" s="696">
        <v>0.20900000000000002</v>
      </c>
      <c r="U1476" s="372" t="s">
        <v>9919</v>
      </c>
      <c r="V1476" s="722">
        <v>7.15</v>
      </c>
      <c r="W1476" s="722">
        <v>1.1599999999999999</v>
      </c>
      <c r="X1476" s="722">
        <v>1.7</v>
      </c>
      <c r="Y1476" s="722">
        <v>10.18</v>
      </c>
      <c r="Z1476" s="382" t="s">
        <v>934</v>
      </c>
      <c r="AA1476" s="372">
        <v>290.42823199999998</v>
      </c>
      <c r="AB1476" s="372">
        <v>432.81463179999997</v>
      </c>
      <c r="AC1476" s="372">
        <v>447.43476679999998</v>
      </c>
      <c r="AD1476" s="372">
        <v>550.30886109999994</v>
      </c>
      <c r="AE1476" s="372">
        <v>608</v>
      </c>
      <c r="AF1476" s="372">
        <v>0</v>
      </c>
      <c r="AG1476" s="372">
        <v>0</v>
      </c>
      <c r="AH1476" s="372">
        <v>0</v>
      </c>
    </row>
    <row r="1477" spans="1:34">
      <c r="A1477" s="372" t="s">
        <v>9920</v>
      </c>
      <c r="B1477" s="373" t="s">
        <v>9921</v>
      </c>
      <c r="C1477" s="372" t="s">
        <v>9922</v>
      </c>
      <c r="D1477" s="374">
        <v>1101110207799</v>
      </c>
      <c r="E1477" s="372" t="s">
        <v>9923</v>
      </c>
      <c r="F1477" s="372" t="s">
        <v>2112</v>
      </c>
      <c r="G1477" s="375" t="s">
        <v>2112</v>
      </c>
      <c r="H1477" s="375" t="s">
        <v>868</v>
      </c>
      <c r="I1477" s="375" t="s">
        <v>869</v>
      </c>
      <c r="J1477" s="375">
        <v>225362.56124000001</v>
      </c>
      <c r="K1477" s="375">
        <v>5290.27502</v>
      </c>
      <c r="L1477" s="375">
        <v>5905.3489600000003</v>
      </c>
      <c r="M1477" s="375">
        <v>126163.57046</v>
      </c>
      <c r="N1477" s="372">
        <v>1.25</v>
      </c>
      <c r="O1477" s="703">
        <v>2.7608924353843247</v>
      </c>
      <c r="P1477" s="375" t="s">
        <v>623</v>
      </c>
      <c r="Q1477" s="372" t="s">
        <v>623</v>
      </c>
      <c r="R1477" s="695">
        <v>20020102</v>
      </c>
      <c r="S1477" s="372" t="s">
        <v>9924</v>
      </c>
      <c r="T1477" s="696">
        <v>0.20900000000000002</v>
      </c>
      <c r="U1477" s="372" t="s">
        <v>9925</v>
      </c>
      <c r="V1477" s="722">
        <v>15.49</v>
      </c>
      <c r="W1477" s="722">
        <v>0.74</v>
      </c>
      <c r="X1477" s="722">
        <v>0.44</v>
      </c>
      <c r="Y1477" s="722">
        <v>21.92</v>
      </c>
      <c r="Z1477" s="382" t="s">
        <v>934</v>
      </c>
      <c r="AA1477" s="372">
        <v>1751.8144783</v>
      </c>
      <c r="AB1477" s="372">
        <v>2362.1988956</v>
      </c>
      <c r="AC1477" s="372">
        <v>2442.2099072999999</v>
      </c>
      <c r="AD1477" s="372">
        <v>2253.6256124000001</v>
      </c>
      <c r="AE1477" s="372">
        <v>0</v>
      </c>
      <c r="AF1477" s="372">
        <v>0</v>
      </c>
      <c r="AG1477" s="372">
        <v>0</v>
      </c>
      <c r="AH1477" s="372">
        <v>0</v>
      </c>
    </row>
    <row r="1478" spans="1:34">
      <c r="A1478" s="372" t="s">
        <v>9926</v>
      </c>
      <c r="B1478" s="373" t="s">
        <v>9927</v>
      </c>
      <c r="C1478" s="372" t="s">
        <v>9928</v>
      </c>
      <c r="D1478" s="374">
        <v>1345110127040</v>
      </c>
      <c r="E1478" s="372" t="s">
        <v>9929</v>
      </c>
      <c r="F1478" s="375" t="s">
        <v>2450</v>
      </c>
      <c r="G1478" s="375" t="s">
        <v>2451</v>
      </c>
      <c r="H1478" s="375" t="s">
        <v>868</v>
      </c>
      <c r="I1478" s="375" t="s">
        <v>869</v>
      </c>
      <c r="J1478" s="375">
        <v>83783.909839999993</v>
      </c>
      <c r="K1478" s="375">
        <v>8208.8761099999992</v>
      </c>
      <c r="L1478" s="375">
        <v>8470.1791400000002</v>
      </c>
      <c r="M1478" s="375">
        <v>64078.147109999998</v>
      </c>
      <c r="N1478" s="372">
        <v>1.288</v>
      </c>
      <c r="O1478" s="703">
        <v>0.89520271309057575</v>
      </c>
      <c r="P1478" s="375" t="s">
        <v>623</v>
      </c>
      <c r="Q1478" s="372" t="s">
        <v>623</v>
      </c>
      <c r="R1478" s="695">
        <v>20181212</v>
      </c>
      <c r="S1478" s="372" t="s">
        <v>9930</v>
      </c>
      <c r="T1478" s="696">
        <v>0.20900000000000002</v>
      </c>
      <c r="U1478" s="375" t="s">
        <v>9931</v>
      </c>
      <c r="V1478" s="722">
        <v>11.31</v>
      </c>
      <c r="W1478" s="722">
        <v>1.71</v>
      </c>
      <c r="X1478" s="722">
        <v>1.33</v>
      </c>
      <c r="Y1478" s="722">
        <v>14.22</v>
      </c>
      <c r="Z1478" s="382" t="s">
        <v>934</v>
      </c>
      <c r="AA1478" s="372">
        <v>207.23392920000001</v>
      </c>
      <c r="AB1478" s="372">
        <v>464.71488820000002</v>
      </c>
      <c r="AC1478" s="372">
        <v>757.10472630000004</v>
      </c>
      <c r="AD1478" s="372">
        <v>837.83909840000001</v>
      </c>
      <c r="AE1478" s="372">
        <v>1100</v>
      </c>
      <c r="AF1478" s="372">
        <v>1581</v>
      </c>
      <c r="AG1478" s="372">
        <v>0</v>
      </c>
      <c r="AH1478" s="372">
        <v>0</v>
      </c>
    </row>
    <row r="1479" spans="1:34">
      <c r="A1479" s="372" t="s">
        <v>9932</v>
      </c>
      <c r="B1479" s="373" t="s">
        <v>9933</v>
      </c>
      <c r="C1479" s="372" t="s">
        <v>9934</v>
      </c>
      <c r="D1479" s="374">
        <v>1101114816570</v>
      </c>
      <c r="E1479" s="372" t="s">
        <v>9935</v>
      </c>
      <c r="F1479" s="372" t="s">
        <v>2147</v>
      </c>
      <c r="G1479" s="375" t="s">
        <v>4509</v>
      </c>
      <c r="H1479" s="375" t="s">
        <v>868</v>
      </c>
      <c r="I1479" s="375" t="s">
        <v>869</v>
      </c>
      <c r="J1479" s="375">
        <v>27798.50388</v>
      </c>
      <c r="K1479" s="375">
        <v>4842.5415999999996</v>
      </c>
      <c r="L1479" s="375">
        <v>1781.0938699999999</v>
      </c>
      <c r="M1479" s="375">
        <v>51876.887909999998</v>
      </c>
      <c r="N1479" s="372">
        <v>0.61199999999999999</v>
      </c>
      <c r="O1479" s="703">
        <v>13.216103221231041</v>
      </c>
      <c r="P1479" s="375" t="s">
        <v>623</v>
      </c>
      <c r="Q1479" s="372" t="s">
        <v>623</v>
      </c>
      <c r="R1479" s="695">
        <v>20160504</v>
      </c>
      <c r="S1479" s="372" t="s">
        <v>9936</v>
      </c>
      <c r="T1479" s="696">
        <v>0.20900000000000002</v>
      </c>
      <c r="U1479" s="372" t="s">
        <v>9937</v>
      </c>
      <c r="V1479" s="722">
        <v>13.19</v>
      </c>
      <c r="W1479" s="722">
        <v>1.83</v>
      </c>
      <c r="X1479" s="722">
        <v>3.56</v>
      </c>
      <c r="Y1479" s="722">
        <v>27.05</v>
      </c>
      <c r="Z1479" s="382" t="s">
        <v>934</v>
      </c>
      <c r="AA1479" s="372">
        <v>126.14550509999999</v>
      </c>
      <c r="AB1479" s="372">
        <v>155.97796410000001</v>
      </c>
      <c r="AC1479" s="372">
        <v>198.38547120000001</v>
      </c>
      <c r="AD1479" s="372">
        <v>277.98503879999998</v>
      </c>
      <c r="AE1479" s="372">
        <v>401</v>
      </c>
      <c r="AF1479" s="372">
        <v>514</v>
      </c>
      <c r="AG1479" s="372">
        <v>0</v>
      </c>
      <c r="AH1479" s="372">
        <v>0</v>
      </c>
    </row>
    <row r="1480" spans="1:34">
      <c r="A1480" s="372" t="s">
        <v>9938</v>
      </c>
      <c r="B1480" s="373" t="s">
        <v>9939</v>
      </c>
      <c r="C1480" s="372" t="s">
        <v>9940</v>
      </c>
      <c r="D1480" s="374">
        <v>1615110121601</v>
      </c>
      <c r="E1480" s="372" t="s">
        <v>9941</v>
      </c>
      <c r="F1480" s="375" t="s">
        <v>779</v>
      </c>
      <c r="G1480" s="375" t="s">
        <v>3892</v>
      </c>
      <c r="H1480" s="375" t="s">
        <v>1388</v>
      </c>
      <c r="I1480" s="375" t="s">
        <v>869</v>
      </c>
      <c r="J1480" s="375">
        <v>0</v>
      </c>
      <c r="K1480" s="375">
        <v>0</v>
      </c>
      <c r="L1480" s="375">
        <v>0</v>
      </c>
      <c r="M1480" s="375">
        <v>50145.001900000003</v>
      </c>
      <c r="N1480" s="372" t="s">
        <v>1033</v>
      </c>
      <c r="O1480" s="703">
        <v>11.533275079036478</v>
      </c>
      <c r="P1480" s="375" t="s">
        <v>623</v>
      </c>
      <c r="Q1480" s="372" t="s">
        <v>623</v>
      </c>
      <c r="R1480" s="695">
        <v>20231109</v>
      </c>
      <c r="S1480" s="372" t="s">
        <v>9942</v>
      </c>
      <c r="T1480" s="696" t="s">
        <v>772</v>
      </c>
      <c r="U1480" s="372" t="s">
        <v>9943</v>
      </c>
      <c r="V1480" s="722">
        <v>0</v>
      </c>
      <c r="W1480" s="722">
        <v>2.12</v>
      </c>
      <c r="X1480" s="722">
        <v>0</v>
      </c>
      <c r="Y1480" s="722">
        <v>0</v>
      </c>
      <c r="Z1480" s="382" t="s">
        <v>934</v>
      </c>
      <c r="AA1480" s="372">
        <v>315.51069999999999</v>
      </c>
      <c r="AB1480" s="372">
        <v>394.50600989999998</v>
      </c>
      <c r="AC1480" s="372">
        <v>490.4488298</v>
      </c>
      <c r="AD1480" s="372">
        <v>501.4341632</v>
      </c>
      <c r="AE1480" s="372">
        <v>0</v>
      </c>
      <c r="AF1480" s="372">
        <v>0</v>
      </c>
      <c r="AG1480" s="372">
        <v>0</v>
      </c>
      <c r="AH1480" s="372">
        <v>0</v>
      </c>
    </row>
    <row r="1481" spans="1:34">
      <c r="A1481" s="372" t="s">
        <v>9944</v>
      </c>
      <c r="B1481" s="373" t="s">
        <v>9945</v>
      </c>
      <c r="C1481" s="372" t="s">
        <v>9946</v>
      </c>
      <c r="D1481" s="374">
        <v>1942110032988</v>
      </c>
      <c r="E1481" s="372" t="s">
        <v>9947</v>
      </c>
      <c r="F1481" s="375" t="s">
        <v>1144</v>
      </c>
      <c r="G1481" s="375" t="s">
        <v>3158</v>
      </c>
      <c r="H1481" s="375" t="s">
        <v>868</v>
      </c>
      <c r="I1481" s="375" t="s">
        <v>869</v>
      </c>
      <c r="J1481" s="375">
        <v>103951.07373</v>
      </c>
      <c r="K1481" s="375">
        <v>4885.92929</v>
      </c>
      <c r="L1481" s="375">
        <v>-5576.5349699999997</v>
      </c>
      <c r="M1481" s="375">
        <v>168685.11756000001</v>
      </c>
      <c r="N1481" s="372">
        <v>0.84699999999999998</v>
      </c>
      <c r="O1481" s="703">
        <v>103.49523250576489</v>
      </c>
      <c r="P1481" s="375" t="s">
        <v>623</v>
      </c>
      <c r="Q1481" s="372" t="s">
        <v>623</v>
      </c>
      <c r="R1481" s="695">
        <v>20101022</v>
      </c>
      <c r="S1481" s="372" t="s">
        <v>9948</v>
      </c>
      <c r="T1481" s="696" t="s">
        <v>772</v>
      </c>
      <c r="U1481" s="372" t="s">
        <v>9949</v>
      </c>
      <c r="V1481" s="722">
        <v>17.399999999999999</v>
      </c>
      <c r="W1481" s="722">
        <v>0.63</v>
      </c>
      <c r="X1481" s="722">
        <v>1.04</v>
      </c>
      <c r="Y1481" s="722">
        <v>43.53</v>
      </c>
      <c r="Z1481" s="382" t="s">
        <v>934</v>
      </c>
      <c r="AA1481" s="372">
        <v>1057.4718525000001</v>
      </c>
      <c r="AB1481" s="372">
        <v>1104.7501870000001</v>
      </c>
      <c r="AC1481" s="372">
        <v>1073.0435680999999</v>
      </c>
      <c r="AD1481" s="372">
        <v>1039.5107373000001</v>
      </c>
      <c r="AE1481" s="372">
        <v>0</v>
      </c>
      <c r="AF1481" s="372">
        <v>0</v>
      </c>
      <c r="AG1481" s="372">
        <v>0</v>
      </c>
      <c r="AH1481" s="372">
        <v>0</v>
      </c>
    </row>
    <row r="1482" spans="1:34">
      <c r="A1482" s="372" t="s">
        <v>9950</v>
      </c>
      <c r="B1482" s="373" t="s">
        <v>9951</v>
      </c>
      <c r="C1482" s="372" t="s">
        <v>9952</v>
      </c>
      <c r="D1482" s="374">
        <v>1101112021501</v>
      </c>
      <c r="E1482" s="372" t="s">
        <v>9953</v>
      </c>
      <c r="F1482" s="372" t="s">
        <v>1814</v>
      </c>
      <c r="G1482" s="375" t="s">
        <v>1815</v>
      </c>
      <c r="H1482" s="375" t="s">
        <v>1693</v>
      </c>
      <c r="I1482" s="375" t="s">
        <v>869</v>
      </c>
      <c r="J1482" s="375">
        <v>29977.118709999999</v>
      </c>
      <c r="K1482" s="375">
        <v>-9225.9550600000002</v>
      </c>
      <c r="L1482" s="375">
        <v>-8985.0756399999991</v>
      </c>
      <c r="M1482" s="375">
        <v>68154.994330000001</v>
      </c>
      <c r="N1482" s="372">
        <v>1.246</v>
      </c>
      <c r="O1482" s="703">
        <v>47.95875497502918</v>
      </c>
      <c r="P1482" s="375" t="s">
        <v>623</v>
      </c>
      <c r="Q1482" s="372" t="s">
        <v>623</v>
      </c>
      <c r="R1482" s="695">
        <v>20201028</v>
      </c>
      <c r="S1482" s="375" t="s">
        <v>9954</v>
      </c>
      <c r="T1482" s="696" t="s">
        <v>772</v>
      </c>
      <c r="U1482" s="372" t="s">
        <v>9955</v>
      </c>
      <c r="V1482" s="722" t="s">
        <v>774</v>
      </c>
      <c r="W1482" s="722">
        <v>1.3</v>
      </c>
      <c r="X1482" s="722">
        <v>2.9</v>
      </c>
      <c r="Y1482" s="722">
        <v>2.67</v>
      </c>
      <c r="Z1482" s="382" t="s">
        <v>934</v>
      </c>
      <c r="AA1482" s="372">
        <v>255.7116733</v>
      </c>
      <c r="AB1482" s="372">
        <v>446.17204850000002</v>
      </c>
      <c r="AC1482" s="372">
        <v>344.47925670000001</v>
      </c>
      <c r="AD1482" s="372">
        <v>299.77118710000002</v>
      </c>
      <c r="AE1482" s="372">
        <v>330</v>
      </c>
      <c r="AF1482" s="372">
        <v>0</v>
      </c>
      <c r="AG1482" s="372">
        <v>0</v>
      </c>
      <c r="AH1482" s="372">
        <v>0</v>
      </c>
    </row>
    <row r="1483" spans="1:34">
      <c r="A1483" s="372" t="s">
        <v>9956</v>
      </c>
      <c r="B1483" s="373" t="s">
        <v>9957</v>
      </c>
      <c r="C1483" s="372" t="s">
        <v>9958</v>
      </c>
      <c r="D1483" s="374">
        <v>0</v>
      </c>
      <c r="E1483" s="372" t="s">
        <v>9959</v>
      </c>
      <c r="F1483" s="375" t="s">
        <v>2742</v>
      </c>
      <c r="G1483" s="375" t="s">
        <v>3052</v>
      </c>
      <c r="H1483" s="375">
        <v>0</v>
      </c>
      <c r="I1483" s="375" t="s">
        <v>869</v>
      </c>
      <c r="J1483" s="375">
        <v>0</v>
      </c>
      <c r="K1483" s="375">
        <v>0</v>
      </c>
      <c r="L1483" s="375">
        <v>0</v>
      </c>
      <c r="M1483" s="375">
        <v>32247.035</v>
      </c>
      <c r="N1483" s="372">
        <v>0.53300000000000003</v>
      </c>
      <c r="O1483" s="703">
        <v>5.3097444730635264</v>
      </c>
      <c r="P1483" s="375" t="s">
        <v>623</v>
      </c>
      <c r="Q1483" s="375" t="s">
        <v>623</v>
      </c>
      <c r="R1483" s="695">
        <v>20200713</v>
      </c>
      <c r="S1483" s="375" t="s">
        <v>9960</v>
      </c>
      <c r="T1483" s="696" t="s">
        <v>772</v>
      </c>
      <c r="U1483" s="372" t="s">
        <v>9961</v>
      </c>
      <c r="V1483" s="722">
        <v>0</v>
      </c>
      <c r="W1483" s="722">
        <v>3.04</v>
      </c>
      <c r="X1483" s="722">
        <v>0</v>
      </c>
      <c r="Y1483" s="722">
        <v>0</v>
      </c>
      <c r="Z1483" s="382" t="s">
        <v>934</v>
      </c>
      <c r="AA1483" s="372">
        <v>190.05866</v>
      </c>
      <c r="AB1483" s="372">
        <v>285.91651000000002</v>
      </c>
      <c r="AC1483" s="372">
        <v>433.74448999999998</v>
      </c>
      <c r="AD1483" s="372">
        <v>322.74664000000001</v>
      </c>
      <c r="AE1483" s="372">
        <v>0</v>
      </c>
      <c r="AF1483" s="372">
        <v>0</v>
      </c>
      <c r="AG1483" s="372">
        <v>0</v>
      </c>
      <c r="AH1483" s="372">
        <v>0</v>
      </c>
    </row>
    <row r="1484" spans="1:34">
      <c r="A1484" s="372" t="s">
        <v>9962</v>
      </c>
      <c r="B1484" s="373" t="s">
        <v>9963</v>
      </c>
      <c r="C1484" s="372" t="s">
        <v>9964</v>
      </c>
      <c r="D1484" s="374">
        <v>1341110003545</v>
      </c>
      <c r="E1484" s="372" t="s">
        <v>9965</v>
      </c>
      <c r="F1484" s="372" t="s">
        <v>1838</v>
      </c>
      <c r="G1484" s="375" t="s">
        <v>1838</v>
      </c>
      <c r="H1484" s="375" t="s">
        <v>868</v>
      </c>
      <c r="I1484" s="375" t="s">
        <v>869</v>
      </c>
      <c r="J1484" s="375">
        <v>180262.76373000001</v>
      </c>
      <c r="K1484" s="375">
        <v>-23223.25144</v>
      </c>
      <c r="L1484" s="375">
        <v>-28810.083470000001</v>
      </c>
      <c r="M1484" s="375">
        <v>76021.262069999997</v>
      </c>
      <c r="N1484" s="372">
        <v>0.85599999999999998</v>
      </c>
      <c r="O1484" s="703">
        <v>120.77042381398535</v>
      </c>
      <c r="P1484" s="375" t="s">
        <v>623</v>
      </c>
      <c r="Q1484" s="372" t="s">
        <v>623</v>
      </c>
      <c r="R1484" s="695">
        <v>19941031</v>
      </c>
      <c r="S1484" s="372" t="s">
        <v>9966</v>
      </c>
      <c r="T1484" s="696" t="s">
        <v>772</v>
      </c>
      <c r="U1484" s="372" t="s">
        <v>16064</v>
      </c>
      <c r="V1484" s="722" t="s">
        <v>774</v>
      </c>
      <c r="W1484" s="722">
        <v>1.32</v>
      </c>
      <c r="X1484" s="722">
        <v>0.55000000000000004</v>
      </c>
      <c r="Y1484" s="722" t="s">
        <v>774</v>
      </c>
      <c r="Z1484" s="382" t="s">
        <v>934</v>
      </c>
      <c r="AA1484" s="372">
        <v>1360.884041</v>
      </c>
      <c r="AB1484" s="372">
        <v>1566.1049814</v>
      </c>
      <c r="AC1484" s="372">
        <v>1901.0850849000001</v>
      </c>
      <c r="AD1484" s="372">
        <v>1802.6276373000001</v>
      </c>
      <c r="AE1484" s="372">
        <v>0</v>
      </c>
      <c r="AF1484" s="372">
        <v>0</v>
      </c>
      <c r="AG1484" s="372">
        <v>0</v>
      </c>
      <c r="AH1484" s="372">
        <v>0</v>
      </c>
    </row>
    <row r="1485" spans="1:34">
      <c r="A1485" s="372" t="s">
        <v>9967</v>
      </c>
      <c r="B1485" s="373" t="s">
        <v>9968</v>
      </c>
      <c r="C1485" s="372" t="s">
        <v>9969</v>
      </c>
      <c r="D1485" s="374">
        <v>1101115687615</v>
      </c>
      <c r="E1485" s="372" t="s">
        <v>9970</v>
      </c>
      <c r="F1485" s="372" t="s">
        <v>5353</v>
      </c>
      <c r="G1485" s="375" t="s">
        <v>5353</v>
      </c>
      <c r="H1485" s="375" t="s">
        <v>868</v>
      </c>
      <c r="I1485" s="375" t="s">
        <v>869</v>
      </c>
      <c r="J1485" s="375">
        <v>60015.91244</v>
      </c>
      <c r="K1485" s="375">
        <v>20.185929999999999</v>
      </c>
      <c r="L1485" s="375">
        <v>392.94673</v>
      </c>
      <c r="M1485" s="375">
        <v>44160.153160000002</v>
      </c>
      <c r="N1485" s="372">
        <v>1.004</v>
      </c>
      <c r="O1485" s="703">
        <v>4.0802528466386851</v>
      </c>
      <c r="P1485" s="375" t="s">
        <v>623</v>
      </c>
      <c r="Q1485" s="372" t="s">
        <v>623</v>
      </c>
      <c r="R1485" s="695">
        <v>20150618</v>
      </c>
      <c r="S1485" s="372" t="s">
        <v>5353</v>
      </c>
      <c r="T1485" s="696">
        <v>0.20900000000000002</v>
      </c>
      <c r="U1485" s="372" t="s">
        <v>9971</v>
      </c>
      <c r="V1485" s="722">
        <v>82.56</v>
      </c>
      <c r="W1485" s="722">
        <v>1.97</v>
      </c>
      <c r="X1485" s="722">
        <v>1.48</v>
      </c>
      <c r="Y1485" s="722">
        <v>201.22</v>
      </c>
      <c r="Z1485" s="382" t="s">
        <v>934</v>
      </c>
      <c r="AA1485" s="372">
        <v>474.97013579999998</v>
      </c>
      <c r="AB1485" s="372">
        <v>666.68150519999995</v>
      </c>
      <c r="AC1485" s="372">
        <v>756.35321629999999</v>
      </c>
      <c r="AD1485" s="372">
        <v>600.1591244</v>
      </c>
      <c r="AE1485" s="372">
        <v>0</v>
      </c>
      <c r="AF1485" s="372">
        <v>0</v>
      </c>
      <c r="AG1485" s="372">
        <v>0</v>
      </c>
      <c r="AH1485" s="372">
        <v>0</v>
      </c>
    </row>
    <row r="1486" spans="1:34">
      <c r="A1486" s="372" t="s">
        <v>9972</v>
      </c>
      <c r="B1486" s="373" t="s">
        <v>9973</v>
      </c>
      <c r="C1486" s="372" t="s">
        <v>9974</v>
      </c>
      <c r="D1486" s="374">
        <v>1101114846056</v>
      </c>
      <c r="E1486" s="372" t="s">
        <v>9975</v>
      </c>
      <c r="F1486" s="375" t="s">
        <v>1814</v>
      </c>
      <c r="G1486" s="375" t="s">
        <v>1815</v>
      </c>
      <c r="H1486" s="375" t="s">
        <v>1693</v>
      </c>
      <c r="I1486" s="375" t="s">
        <v>869</v>
      </c>
      <c r="J1486" s="375">
        <v>0</v>
      </c>
      <c r="K1486" s="375">
        <v>0</v>
      </c>
      <c r="L1486" s="375">
        <v>0</v>
      </c>
      <c r="M1486" s="375">
        <v>37530.629800000002</v>
      </c>
      <c r="N1486" s="372" t="s">
        <v>1033</v>
      </c>
      <c r="O1486" s="703">
        <v>9.6671221430507508</v>
      </c>
      <c r="P1486" s="375" t="s">
        <v>623</v>
      </c>
      <c r="Q1486" s="372" t="s">
        <v>623</v>
      </c>
      <c r="R1486" s="695">
        <v>20230630</v>
      </c>
      <c r="S1486" s="372" t="s">
        <v>9976</v>
      </c>
      <c r="T1486" s="696" t="s">
        <v>772</v>
      </c>
      <c r="U1486" s="372" t="s">
        <v>9977</v>
      </c>
      <c r="V1486" s="722">
        <v>0</v>
      </c>
      <c r="W1486" s="722">
        <v>2.93</v>
      </c>
      <c r="X1486" s="722">
        <v>0</v>
      </c>
      <c r="Y1486" s="722">
        <v>0</v>
      </c>
      <c r="Z1486" s="382" t="s">
        <v>934</v>
      </c>
      <c r="AA1486" s="372">
        <v>70.9436046</v>
      </c>
      <c r="AB1486" s="372">
        <v>108.66428190000001</v>
      </c>
      <c r="AC1486" s="372">
        <v>162.67964760000001</v>
      </c>
      <c r="AD1486" s="372">
        <v>251.3643184</v>
      </c>
      <c r="AE1486" s="372">
        <v>0</v>
      </c>
      <c r="AF1486" s="372">
        <v>0</v>
      </c>
      <c r="AG1486" s="372">
        <v>0</v>
      </c>
      <c r="AH1486" s="372">
        <v>0</v>
      </c>
    </row>
    <row r="1487" spans="1:34">
      <c r="A1487" s="372" t="s">
        <v>9978</v>
      </c>
      <c r="B1487" s="373" t="s">
        <v>9979</v>
      </c>
      <c r="C1487" s="372" t="s">
        <v>9980</v>
      </c>
      <c r="D1487" s="374">
        <v>1101110053465</v>
      </c>
      <c r="E1487" s="372" t="s">
        <v>9981</v>
      </c>
      <c r="F1487" s="375" t="s">
        <v>2077</v>
      </c>
      <c r="G1487" s="375" t="s">
        <v>2078</v>
      </c>
      <c r="H1487" s="375" t="s">
        <v>868</v>
      </c>
      <c r="I1487" s="375" t="s">
        <v>869</v>
      </c>
      <c r="J1487" s="375">
        <v>166844.08721999999</v>
      </c>
      <c r="K1487" s="375">
        <v>7413.2599399999999</v>
      </c>
      <c r="L1487" s="375">
        <v>7701.88976</v>
      </c>
      <c r="M1487" s="375">
        <v>125268.76802</v>
      </c>
      <c r="N1487" s="372">
        <v>1.0209999999999999</v>
      </c>
      <c r="O1487" s="703">
        <v>37.390759551227831</v>
      </c>
      <c r="P1487" s="375" t="s">
        <v>623</v>
      </c>
      <c r="Q1487" s="372" t="s">
        <v>623</v>
      </c>
      <c r="R1487" s="695">
        <v>19931130</v>
      </c>
      <c r="S1487" s="372" t="s">
        <v>9982</v>
      </c>
      <c r="T1487" s="696">
        <v>0.20900000000000002</v>
      </c>
      <c r="U1487" s="372" t="s">
        <v>9983</v>
      </c>
      <c r="V1487" s="722">
        <v>0</v>
      </c>
      <c r="W1487" s="722">
        <v>0.8</v>
      </c>
      <c r="X1487" s="722">
        <v>0</v>
      </c>
      <c r="Y1487" s="722">
        <v>0</v>
      </c>
      <c r="Z1487" s="382" t="s">
        <v>934</v>
      </c>
      <c r="AA1487" s="372">
        <v>1042.2568630000001</v>
      </c>
      <c r="AB1487" s="372">
        <v>1198.9840374</v>
      </c>
      <c r="AC1487" s="372">
        <v>1577.2934361</v>
      </c>
      <c r="AD1487" s="372">
        <v>1668.4408722000001</v>
      </c>
      <c r="AE1487" s="372">
        <v>0</v>
      </c>
      <c r="AF1487" s="372">
        <v>0</v>
      </c>
      <c r="AG1487" s="372">
        <v>0</v>
      </c>
      <c r="AH1487" s="372">
        <v>0</v>
      </c>
    </row>
    <row r="1488" spans="1:34">
      <c r="A1488" s="372" t="s">
        <v>9984</v>
      </c>
      <c r="B1488" s="373" t="s">
        <v>9985</v>
      </c>
      <c r="C1488" s="372" t="s">
        <v>9986</v>
      </c>
      <c r="D1488" s="374">
        <v>1243110016976</v>
      </c>
      <c r="E1488" s="372" t="s">
        <v>9987</v>
      </c>
      <c r="F1488" s="375" t="s">
        <v>1259</v>
      </c>
      <c r="G1488" s="375" t="s">
        <v>1259</v>
      </c>
      <c r="H1488" s="375" t="s">
        <v>868</v>
      </c>
      <c r="I1488" s="375" t="s">
        <v>869</v>
      </c>
      <c r="J1488" s="375">
        <v>87622.205170000001</v>
      </c>
      <c r="K1488" s="375">
        <v>3800.7633999999998</v>
      </c>
      <c r="L1488" s="375">
        <v>6304.7389300000004</v>
      </c>
      <c r="M1488" s="375">
        <v>153226.36293999999</v>
      </c>
      <c r="N1488" s="372">
        <v>0.80500000000000005</v>
      </c>
      <c r="O1488" s="703">
        <v>26.732270136394181</v>
      </c>
      <c r="P1488" s="375" t="s">
        <v>623</v>
      </c>
      <c r="Q1488" s="375" t="s">
        <v>623</v>
      </c>
      <c r="R1488" s="695">
        <v>20051223</v>
      </c>
      <c r="S1488" s="372" t="s">
        <v>9988</v>
      </c>
      <c r="T1488" s="696">
        <v>0.20900000000000002</v>
      </c>
      <c r="U1488" s="372" t="s">
        <v>9989</v>
      </c>
      <c r="V1488" s="722">
        <v>18.62</v>
      </c>
      <c r="W1488" s="722">
        <v>0.84</v>
      </c>
      <c r="X1488" s="722">
        <v>1.1599999999999999</v>
      </c>
      <c r="Y1488" s="722">
        <v>24.28</v>
      </c>
      <c r="Z1488" s="382" t="s">
        <v>934</v>
      </c>
      <c r="AA1488" s="372">
        <v>762.54986199999996</v>
      </c>
      <c r="AB1488" s="372">
        <v>829.5717717</v>
      </c>
      <c r="AC1488" s="372">
        <v>935.0435311</v>
      </c>
      <c r="AD1488" s="372">
        <v>876.22205169999995</v>
      </c>
      <c r="AE1488" s="372">
        <v>0</v>
      </c>
      <c r="AF1488" s="372">
        <v>0</v>
      </c>
      <c r="AG1488" s="372">
        <v>0</v>
      </c>
      <c r="AH1488" s="372">
        <v>0</v>
      </c>
    </row>
    <row r="1489" spans="1:34">
      <c r="A1489" s="372" t="s">
        <v>9990</v>
      </c>
      <c r="B1489" s="373" t="s">
        <v>9991</v>
      </c>
      <c r="C1489" s="372" t="s">
        <v>9992</v>
      </c>
      <c r="D1489" s="374">
        <v>1101115501302</v>
      </c>
      <c r="E1489" s="372" t="s">
        <v>9993</v>
      </c>
      <c r="F1489" s="372" t="s">
        <v>1381</v>
      </c>
      <c r="G1489" s="375" t="s">
        <v>1381</v>
      </c>
      <c r="H1489" s="375" t="s">
        <v>1693</v>
      </c>
      <c r="I1489" s="375" t="s">
        <v>869</v>
      </c>
      <c r="J1489" s="375">
        <v>5460.26091</v>
      </c>
      <c r="K1489" s="375">
        <v>-16159.83332</v>
      </c>
      <c r="L1489" s="375">
        <v>-12308.43383</v>
      </c>
      <c r="M1489" s="375">
        <v>29345.121309999999</v>
      </c>
      <c r="N1489" s="372">
        <v>0.83799999999999997</v>
      </c>
      <c r="O1489" s="703">
        <v>4.25055454174512</v>
      </c>
      <c r="P1489" s="375" t="s">
        <v>623</v>
      </c>
      <c r="Q1489" s="372" t="s">
        <v>623</v>
      </c>
      <c r="R1489" s="695">
        <v>20141112</v>
      </c>
      <c r="S1489" s="372" t="s">
        <v>2529</v>
      </c>
      <c r="T1489" s="696" t="s">
        <v>772</v>
      </c>
      <c r="U1489" s="372" t="s">
        <v>9994</v>
      </c>
      <c r="V1489" s="722" t="s">
        <v>774</v>
      </c>
      <c r="W1489" s="722">
        <v>2.87</v>
      </c>
      <c r="X1489" s="722">
        <v>14.24</v>
      </c>
      <c r="Y1489" s="722" t="s">
        <v>774</v>
      </c>
      <c r="Z1489" s="382" t="s">
        <v>934</v>
      </c>
      <c r="AA1489" s="372">
        <v>58.354884599999998</v>
      </c>
      <c r="AB1489" s="372">
        <v>56.188530900000003</v>
      </c>
      <c r="AC1489" s="372">
        <v>57.597318999999999</v>
      </c>
      <c r="AD1489" s="372">
        <v>54.602609100000002</v>
      </c>
      <c r="AE1489" s="372">
        <v>0</v>
      </c>
      <c r="AF1489" s="372">
        <v>0</v>
      </c>
      <c r="AG1489" s="372">
        <v>0</v>
      </c>
      <c r="AH1489" s="372">
        <v>0</v>
      </c>
    </row>
    <row r="1490" spans="1:34">
      <c r="A1490" s="372" t="s">
        <v>9995</v>
      </c>
      <c r="B1490" s="373" t="s">
        <v>9996</v>
      </c>
      <c r="C1490" s="372" t="s">
        <v>9997</v>
      </c>
      <c r="D1490" s="374">
        <v>1615110077268</v>
      </c>
      <c r="E1490" s="372" t="s">
        <v>9998</v>
      </c>
      <c r="F1490" s="375" t="s">
        <v>5742</v>
      </c>
      <c r="G1490" s="375" t="s">
        <v>6099</v>
      </c>
      <c r="H1490" s="375" t="s">
        <v>868</v>
      </c>
      <c r="I1490" s="375" t="s">
        <v>869</v>
      </c>
      <c r="J1490" s="375">
        <v>51226.329590000001</v>
      </c>
      <c r="K1490" s="375">
        <v>1854.2219600000001</v>
      </c>
      <c r="L1490" s="375">
        <v>2060.4758499999998</v>
      </c>
      <c r="M1490" s="375">
        <v>57739.605510000001</v>
      </c>
      <c r="N1490" s="372">
        <v>1.282</v>
      </c>
      <c r="O1490" s="703">
        <v>17.674946727250202</v>
      </c>
      <c r="P1490" s="375" t="s">
        <v>623</v>
      </c>
      <c r="Q1490" s="375" t="s">
        <v>623</v>
      </c>
      <c r="R1490" s="695">
        <v>20210401</v>
      </c>
      <c r="S1490" s="372" t="s">
        <v>9999</v>
      </c>
      <c r="T1490" s="696">
        <v>0.20900000000000002</v>
      </c>
      <c r="U1490" s="372" t="s">
        <v>10000</v>
      </c>
      <c r="V1490" s="722">
        <v>42.83</v>
      </c>
      <c r="W1490" s="722">
        <v>1.74</v>
      </c>
      <c r="X1490" s="722">
        <v>2.0699999999999998</v>
      </c>
      <c r="Y1490" s="722">
        <v>47.12</v>
      </c>
      <c r="Z1490" s="382" t="s">
        <v>934</v>
      </c>
      <c r="AA1490" s="372">
        <v>363.87318679999998</v>
      </c>
      <c r="AB1490" s="372">
        <v>426.8876459</v>
      </c>
      <c r="AC1490" s="372">
        <v>419.6034181</v>
      </c>
      <c r="AD1490" s="372">
        <v>512.2632959</v>
      </c>
      <c r="AE1490" s="372">
        <v>0</v>
      </c>
      <c r="AF1490" s="372">
        <v>0</v>
      </c>
      <c r="AG1490" s="372">
        <v>0</v>
      </c>
      <c r="AH1490" s="372">
        <v>0</v>
      </c>
    </row>
    <row r="1491" spans="1:34">
      <c r="A1491" s="372" t="s">
        <v>10001</v>
      </c>
      <c r="B1491" s="373" t="s">
        <v>10002</v>
      </c>
      <c r="C1491" s="372" t="s">
        <v>10003</v>
      </c>
      <c r="D1491" s="374">
        <v>1615110038129</v>
      </c>
      <c r="E1491" s="372" t="s">
        <v>10004</v>
      </c>
      <c r="F1491" s="375" t="s">
        <v>9278</v>
      </c>
      <c r="G1491" s="375" t="s">
        <v>9278</v>
      </c>
      <c r="H1491" s="375" t="s">
        <v>868</v>
      </c>
      <c r="I1491" s="375" t="s">
        <v>869</v>
      </c>
      <c r="J1491" s="375">
        <v>64920.252509999998</v>
      </c>
      <c r="K1491" s="375">
        <v>5013.5616</v>
      </c>
      <c r="L1491" s="375">
        <v>6137.8499099999999</v>
      </c>
      <c r="M1491" s="375">
        <v>62649.712220000001</v>
      </c>
      <c r="N1491" s="372">
        <v>1.0620000000000001</v>
      </c>
      <c r="O1491" s="703">
        <v>15.664499115883631</v>
      </c>
      <c r="P1491" s="375" t="s">
        <v>623</v>
      </c>
      <c r="Q1491" s="372" t="s">
        <v>623</v>
      </c>
      <c r="R1491" s="695">
        <v>20171026</v>
      </c>
      <c r="S1491" s="372" t="s">
        <v>10005</v>
      </c>
      <c r="T1491" s="696">
        <v>0.20900000000000002</v>
      </c>
      <c r="U1491" s="372" t="s">
        <v>10006</v>
      </c>
      <c r="V1491" s="722">
        <v>11.73</v>
      </c>
      <c r="W1491" s="722">
        <v>1.77</v>
      </c>
      <c r="X1491" s="722">
        <v>1.71</v>
      </c>
      <c r="Y1491" s="722">
        <v>18.23</v>
      </c>
      <c r="Z1491" s="382" t="s">
        <v>934</v>
      </c>
      <c r="AA1491" s="372">
        <v>350.47404330000001</v>
      </c>
      <c r="AB1491" s="372">
        <v>406.24175320000001</v>
      </c>
      <c r="AC1491" s="372">
        <v>479.44605460000002</v>
      </c>
      <c r="AD1491" s="372">
        <v>649.2025251</v>
      </c>
      <c r="AE1491" s="372">
        <v>0</v>
      </c>
      <c r="AF1491" s="372">
        <v>0</v>
      </c>
      <c r="AG1491" s="372">
        <v>0</v>
      </c>
      <c r="AH1491" s="372">
        <v>0</v>
      </c>
    </row>
    <row r="1492" spans="1:34">
      <c r="A1492" s="372" t="s">
        <v>10007</v>
      </c>
      <c r="B1492" s="373" t="s">
        <v>10008</v>
      </c>
      <c r="C1492" s="372" t="s">
        <v>10009</v>
      </c>
      <c r="D1492" s="374">
        <v>1101115851559</v>
      </c>
      <c r="E1492" s="372" t="s">
        <v>10010</v>
      </c>
      <c r="F1492" s="372" t="s">
        <v>10011</v>
      </c>
      <c r="G1492" s="375" t="s">
        <v>10011</v>
      </c>
      <c r="H1492" s="375" t="s">
        <v>853</v>
      </c>
      <c r="I1492" s="375" t="s">
        <v>755</v>
      </c>
      <c r="J1492" s="375">
        <v>188346.22683999999</v>
      </c>
      <c r="K1492" s="375">
        <v>18730.70408</v>
      </c>
      <c r="L1492" s="375">
        <v>34716.900220000003</v>
      </c>
      <c r="M1492" s="375">
        <v>271307.67735000001</v>
      </c>
      <c r="N1492" s="372">
        <v>0.76200000000000001</v>
      </c>
      <c r="O1492" s="703">
        <v>29.848915330661168</v>
      </c>
      <c r="P1492" s="375" t="s">
        <v>623</v>
      </c>
      <c r="Q1492" s="375" t="s">
        <v>623</v>
      </c>
      <c r="R1492" s="695">
        <v>20151023</v>
      </c>
      <c r="S1492" s="375" t="s">
        <v>10012</v>
      </c>
      <c r="T1492" s="696">
        <v>0.23100000000000001</v>
      </c>
      <c r="U1492" s="372" t="s">
        <v>10013</v>
      </c>
      <c r="V1492" s="722">
        <v>5</v>
      </c>
      <c r="W1492" s="722">
        <v>0.36</v>
      </c>
      <c r="X1492" s="722">
        <v>0.52</v>
      </c>
      <c r="Y1492" s="722">
        <v>3.35</v>
      </c>
      <c r="Z1492" s="382" t="s">
        <v>934</v>
      </c>
      <c r="AA1492" s="372">
        <v>1515.9547849999999</v>
      </c>
      <c r="AB1492" s="372">
        <v>1304.4176841000001</v>
      </c>
      <c r="AC1492" s="372">
        <v>1643.4578079</v>
      </c>
      <c r="AD1492" s="372">
        <v>1883.4622684000001</v>
      </c>
      <c r="AE1492" s="372">
        <v>0</v>
      </c>
      <c r="AF1492" s="372">
        <v>0</v>
      </c>
      <c r="AG1492" s="372">
        <v>0</v>
      </c>
      <c r="AH1492" s="372">
        <v>0</v>
      </c>
    </row>
    <row r="1493" spans="1:34">
      <c r="A1493" s="372" t="s">
        <v>10014</v>
      </c>
      <c r="B1493" s="373" t="s">
        <v>10015</v>
      </c>
      <c r="C1493" s="372" t="s">
        <v>10016</v>
      </c>
      <c r="D1493" s="374">
        <v>1101111646889</v>
      </c>
      <c r="E1493" s="372" t="s">
        <v>10017</v>
      </c>
      <c r="F1493" s="375" t="s">
        <v>1069</v>
      </c>
      <c r="G1493" s="375" t="s">
        <v>1069</v>
      </c>
      <c r="H1493" s="375" t="s">
        <v>1950</v>
      </c>
      <c r="I1493" s="375" t="s">
        <v>869</v>
      </c>
      <c r="J1493" s="375">
        <v>18890.365549999999</v>
      </c>
      <c r="K1493" s="375">
        <v>-6576.2264800000003</v>
      </c>
      <c r="L1493" s="375">
        <v>19628.369200000001</v>
      </c>
      <c r="M1493" s="375">
        <v>130217.39741999999</v>
      </c>
      <c r="N1493" s="372">
        <v>0.86599999999999999</v>
      </c>
      <c r="O1493" s="703">
        <v>124.99345388520879</v>
      </c>
      <c r="P1493" s="375" t="s">
        <v>16142</v>
      </c>
      <c r="Q1493" s="372" t="s">
        <v>16145</v>
      </c>
      <c r="R1493" s="695">
        <v>20031217</v>
      </c>
      <c r="S1493" s="372" t="s">
        <v>10018</v>
      </c>
      <c r="T1493" s="696">
        <v>0.20900000000000002</v>
      </c>
      <c r="U1493" s="372" t="s">
        <v>10019</v>
      </c>
      <c r="V1493" s="722" t="s">
        <v>774</v>
      </c>
      <c r="W1493" s="722">
        <v>0.64</v>
      </c>
      <c r="X1493" s="722">
        <v>6.14</v>
      </c>
      <c r="Y1493" s="722">
        <v>15.78</v>
      </c>
      <c r="Z1493" s="382" t="s">
        <v>934</v>
      </c>
      <c r="AA1493" s="372">
        <v>232.56432179999999</v>
      </c>
      <c r="AB1493" s="372">
        <v>263.99116479999998</v>
      </c>
      <c r="AC1493" s="372">
        <v>243.6904614</v>
      </c>
      <c r="AD1493" s="372">
        <v>188.90365550000001</v>
      </c>
      <c r="AE1493" s="372">
        <v>0</v>
      </c>
      <c r="AF1493" s="372">
        <v>0</v>
      </c>
      <c r="AG1493" s="372">
        <v>0</v>
      </c>
      <c r="AH1493" s="372">
        <v>0</v>
      </c>
    </row>
    <row r="1494" spans="1:34">
      <c r="A1494" s="372" t="s">
        <v>10020</v>
      </c>
      <c r="B1494" s="373" t="s">
        <v>10021</v>
      </c>
      <c r="C1494" s="372" t="s">
        <v>10022</v>
      </c>
      <c r="D1494" s="374">
        <v>1101110591928</v>
      </c>
      <c r="E1494" s="372" t="s">
        <v>10023</v>
      </c>
      <c r="F1494" s="375" t="s">
        <v>1774</v>
      </c>
      <c r="G1494" s="375" t="s">
        <v>6561</v>
      </c>
      <c r="H1494" s="375" t="s">
        <v>868</v>
      </c>
      <c r="I1494" s="375" t="s">
        <v>869</v>
      </c>
      <c r="J1494" s="375">
        <v>66169.002059999999</v>
      </c>
      <c r="K1494" s="375">
        <v>12980.216200000001</v>
      </c>
      <c r="L1494" s="375">
        <v>18891.586790000001</v>
      </c>
      <c r="M1494" s="375">
        <v>94060.724019999994</v>
      </c>
      <c r="N1494" s="372">
        <v>0.65600000000000003</v>
      </c>
      <c r="O1494" s="703">
        <v>0.53056493990063103</v>
      </c>
      <c r="P1494" s="375" t="s">
        <v>623</v>
      </c>
      <c r="Q1494" s="372" t="s">
        <v>623</v>
      </c>
      <c r="R1494" s="695">
        <v>20020712</v>
      </c>
      <c r="S1494" s="372" t="s">
        <v>10024</v>
      </c>
      <c r="T1494" s="696">
        <v>0.20900000000000002</v>
      </c>
      <c r="U1494" s="372" t="s">
        <v>10025</v>
      </c>
      <c r="V1494" s="722">
        <v>7.43</v>
      </c>
      <c r="W1494" s="722">
        <v>1.01</v>
      </c>
      <c r="X1494" s="722">
        <v>1.48</v>
      </c>
      <c r="Y1494" s="722">
        <v>6.32</v>
      </c>
      <c r="Z1494" s="382" t="s">
        <v>934</v>
      </c>
      <c r="AA1494" s="372">
        <v>656.53420249999999</v>
      </c>
      <c r="AB1494" s="372">
        <v>743.05951809999999</v>
      </c>
      <c r="AC1494" s="372">
        <v>601.70515020000005</v>
      </c>
      <c r="AD1494" s="372">
        <v>661.69002060000003</v>
      </c>
      <c r="AE1494" s="372">
        <v>0</v>
      </c>
      <c r="AF1494" s="372">
        <v>0</v>
      </c>
      <c r="AG1494" s="372">
        <v>0</v>
      </c>
      <c r="AH1494" s="372">
        <v>0</v>
      </c>
    </row>
    <row r="1495" spans="1:34">
      <c r="A1495" s="372" t="s">
        <v>10026</v>
      </c>
      <c r="B1495" s="373" t="s">
        <v>10027</v>
      </c>
      <c r="C1495" s="372" t="s">
        <v>10028</v>
      </c>
      <c r="D1495" s="374">
        <v>1101111958888</v>
      </c>
      <c r="E1495" s="372" t="s">
        <v>10029</v>
      </c>
      <c r="F1495" s="375" t="s">
        <v>1195</v>
      </c>
      <c r="G1495" s="375" t="s">
        <v>1196</v>
      </c>
      <c r="H1495" s="375" t="s">
        <v>868</v>
      </c>
      <c r="I1495" s="375" t="s">
        <v>869</v>
      </c>
      <c r="J1495" s="375">
        <v>89534.954320000004</v>
      </c>
      <c r="K1495" s="375">
        <v>-44459.455730000001</v>
      </c>
      <c r="L1495" s="375">
        <v>-52329.133329999997</v>
      </c>
      <c r="M1495" s="375">
        <v>51118.463340000002</v>
      </c>
      <c r="N1495" s="372">
        <v>0.73299999999999998</v>
      </c>
      <c r="O1495" s="703">
        <v>85.614121199569411</v>
      </c>
      <c r="P1495" s="375" t="s">
        <v>16142</v>
      </c>
      <c r="Q1495" s="372" t="s">
        <v>16145</v>
      </c>
      <c r="R1495" s="695">
        <v>20141119</v>
      </c>
      <c r="S1495" s="372" t="s">
        <v>10030</v>
      </c>
      <c r="T1495" s="696" t="s">
        <v>772</v>
      </c>
      <c r="U1495" s="372" t="s">
        <v>10031</v>
      </c>
      <c r="V1495" s="722" t="s">
        <v>774</v>
      </c>
      <c r="W1495" s="722">
        <v>1.99</v>
      </c>
      <c r="X1495" s="722">
        <v>1.1499999999999999</v>
      </c>
      <c r="Y1495" s="722" t="s">
        <v>774</v>
      </c>
      <c r="Z1495" s="382" t="s">
        <v>934</v>
      </c>
      <c r="AA1495" s="372">
        <v>343.08286099999998</v>
      </c>
      <c r="AB1495" s="372">
        <v>454.00415829999997</v>
      </c>
      <c r="AC1495" s="372">
        <v>532.05792740000004</v>
      </c>
      <c r="AD1495" s="372">
        <v>895.34954319999997</v>
      </c>
      <c r="AE1495" s="372">
        <v>0</v>
      </c>
      <c r="AF1495" s="372">
        <v>0</v>
      </c>
      <c r="AG1495" s="372">
        <v>0</v>
      </c>
      <c r="AH1495" s="372">
        <v>0</v>
      </c>
    </row>
    <row r="1496" spans="1:34">
      <c r="A1496" s="372" t="s">
        <v>10032</v>
      </c>
      <c r="B1496" s="373" t="s">
        <v>10033</v>
      </c>
      <c r="C1496" s="372" t="s">
        <v>10034</v>
      </c>
      <c r="D1496" s="374">
        <v>1101110660806</v>
      </c>
      <c r="E1496" s="372" t="s">
        <v>10035</v>
      </c>
      <c r="F1496" s="375" t="s">
        <v>6331</v>
      </c>
      <c r="G1496" s="375" t="s">
        <v>6332</v>
      </c>
      <c r="H1496" s="375" t="s">
        <v>1348</v>
      </c>
      <c r="I1496" s="375" t="s">
        <v>869</v>
      </c>
      <c r="J1496" s="375">
        <v>228652.27539</v>
      </c>
      <c r="K1496" s="375">
        <v>7376.35455</v>
      </c>
      <c r="L1496" s="375">
        <v>7243.5190499999999</v>
      </c>
      <c r="M1496" s="375">
        <v>73289.489300000001</v>
      </c>
      <c r="N1496" s="372">
        <v>1.206</v>
      </c>
      <c r="O1496" s="703">
        <v>44.62875064748787</v>
      </c>
      <c r="P1496" s="375" t="s">
        <v>623</v>
      </c>
      <c r="Q1496" s="375" t="s">
        <v>623</v>
      </c>
      <c r="R1496" s="695">
        <v>20000201</v>
      </c>
      <c r="S1496" s="375" t="s">
        <v>10036</v>
      </c>
      <c r="T1496" s="696">
        <v>0.20900000000000002</v>
      </c>
      <c r="U1496" s="375" t="s">
        <v>10037</v>
      </c>
      <c r="V1496" s="722">
        <v>8.57</v>
      </c>
      <c r="W1496" s="722">
        <v>1.35</v>
      </c>
      <c r="X1496" s="722">
        <v>0.47</v>
      </c>
      <c r="Y1496" s="722">
        <v>17.399999999999999</v>
      </c>
      <c r="Z1496" s="382">
        <v>6.5765413047124355E-2</v>
      </c>
      <c r="AA1496" s="372">
        <v>2038.6926096</v>
      </c>
      <c r="AB1496" s="372">
        <v>2120.9247013999998</v>
      </c>
      <c r="AC1496" s="372">
        <v>2210.6722513</v>
      </c>
      <c r="AD1496" s="372">
        <v>2286.5227539000002</v>
      </c>
      <c r="AE1496" s="372">
        <v>2480</v>
      </c>
      <c r="AF1496" s="372">
        <v>3620</v>
      </c>
      <c r="AG1496" s="372">
        <v>2950</v>
      </c>
      <c r="AH1496" s="372">
        <v>0</v>
      </c>
    </row>
    <row r="1497" spans="1:34">
      <c r="A1497" s="372" t="s">
        <v>10038</v>
      </c>
      <c r="B1497" s="373" t="s">
        <v>10039</v>
      </c>
      <c r="C1497" s="372" t="s">
        <v>10040</v>
      </c>
      <c r="D1497" s="374">
        <v>1311110060978</v>
      </c>
      <c r="E1497" s="372" t="s">
        <v>10041</v>
      </c>
      <c r="F1497" s="375" t="s">
        <v>622</v>
      </c>
      <c r="G1497" s="375" t="s">
        <v>622</v>
      </c>
      <c r="H1497" s="375" t="s">
        <v>1388</v>
      </c>
      <c r="I1497" s="375" t="s">
        <v>869</v>
      </c>
      <c r="J1497" s="375">
        <v>536374.63113999995</v>
      </c>
      <c r="K1497" s="375">
        <v>-18858.458419999999</v>
      </c>
      <c r="L1497" s="375">
        <v>-22097.871139999999</v>
      </c>
      <c r="M1497" s="375">
        <v>172286.79699999999</v>
      </c>
      <c r="N1497" s="372">
        <v>0.83899999999999997</v>
      </c>
      <c r="O1497" s="703">
        <v>218.952494111466</v>
      </c>
      <c r="P1497" s="375" t="s">
        <v>623</v>
      </c>
      <c r="Q1497" s="375" t="s">
        <v>623</v>
      </c>
      <c r="R1497" s="695">
        <v>20050712</v>
      </c>
      <c r="S1497" s="375" t="s">
        <v>10042</v>
      </c>
      <c r="T1497" s="696" t="s">
        <v>772</v>
      </c>
      <c r="U1497" s="372" t="s">
        <v>10043</v>
      </c>
      <c r="V1497" s="722" t="s">
        <v>774</v>
      </c>
      <c r="W1497" s="722">
        <v>0.46</v>
      </c>
      <c r="X1497" s="722">
        <v>0.16</v>
      </c>
      <c r="Y1497" s="722" t="s">
        <v>774</v>
      </c>
      <c r="Z1497" s="382" t="s">
        <v>934</v>
      </c>
      <c r="AA1497" s="372">
        <v>4831.3594320000002</v>
      </c>
      <c r="AB1497" s="372">
        <v>5331.1864084999997</v>
      </c>
      <c r="AC1497" s="372">
        <v>6112.3527238999995</v>
      </c>
      <c r="AD1497" s="372">
        <v>5363.7463114000002</v>
      </c>
      <c r="AE1497" s="372">
        <v>0</v>
      </c>
      <c r="AF1497" s="372">
        <v>0</v>
      </c>
      <c r="AG1497" s="372">
        <v>0</v>
      </c>
      <c r="AH1497" s="372">
        <v>0</v>
      </c>
    </row>
    <row r="1498" spans="1:34">
      <c r="A1498" s="372" t="s">
        <v>10044</v>
      </c>
      <c r="B1498" s="373" t="s">
        <v>10045</v>
      </c>
      <c r="C1498" s="372" t="s">
        <v>10046</v>
      </c>
      <c r="D1498" s="374">
        <v>1943110012186</v>
      </c>
      <c r="E1498" s="372" t="s">
        <v>10047</v>
      </c>
      <c r="F1498" s="375" t="s">
        <v>5674</v>
      </c>
      <c r="G1498" s="375" t="s">
        <v>5674</v>
      </c>
      <c r="H1498" s="375" t="s">
        <v>868</v>
      </c>
      <c r="I1498" s="375" t="s">
        <v>869</v>
      </c>
      <c r="J1498" s="375">
        <v>102239.4437</v>
      </c>
      <c r="K1498" s="375">
        <v>882.37378999999999</v>
      </c>
      <c r="L1498" s="375">
        <v>-1331.2844700000001</v>
      </c>
      <c r="M1498" s="375">
        <v>76539.60557</v>
      </c>
      <c r="N1498" s="372">
        <v>0.97599999999999998</v>
      </c>
      <c r="O1498" s="703">
        <v>68.477351616804043</v>
      </c>
      <c r="P1498" s="375" t="s">
        <v>623</v>
      </c>
      <c r="Q1498" s="372" t="s">
        <v>623</v>
      </c>
      <c r="R1498" s="695">
        <v>20071029</v>
      </c>
      <c r="S1498" s="372" t="s">
        <v>10048</v>
      </c>
      <c r="T1498" s="696" t="s">
        <v>772</v>
      </c>
      <c r="U1498" s="372" t="s">
        <v>10049</v>
      </c>
      <c r="V1498" s="722">
        <v>18.809999999999999</v>
      </c>
      <c r="W1498" s="722">
        <v>1.25</v>
      </c>
      <c r="X1498" s="722">
        <v>0.94</v>
      </c>
      <c r="Y1498" s="722" t="s">
        <v>774</v>
      </c>
      <c r="Z1498" s="382" t="s">
        <v>934</v>
      </c>
      <c r="AA1498" s="372">
        <v>767.77094609999995</v>
      </c>
      <c r="AB1498" s="372">
        <v>980.25956099999996</v>
      </c>
      <c r="AC1498" s="372">
        <v>955.28614340000001</v>
      </c>
      <c r="AD1498" s="372">
        <v>1022.394437</v>
      </c>
      <c r="AE1498" s="372">
        <v>0</v>
      </c>
      <c r="AF1498" s="372">
        <v>0</v>
      </c>
      <c r="AG1498" s="372">
        <v>0</v>
      </c>
      <c r="AH1498" s="372">
        <v>0</v>
      </c>
    </row>
    <row r="1499" spans="1:34">
      <c r="A1499" s="372" t="s">
        <v>10050</v>
      </c>
      <c r="B1499" s="373" t="s">
        <v>10051</v>
      </c>
      <c r="C1499" s="372" t="s">
        <v>10052</v>
      </c>
      <c r="D1499" s="374">
        <v>1501110048707</v>
      </c>
      <c r="E1499" s="372" t="s">
        <v>10053</v>
      </c>
      <c r="F1499" s="375" t="s">
        <v>1124</v>
      </c>
      <c r="G1499" s="375" t="s">
        <v>1347</v>
      </c>
      <c r="H1499" s="375" t="s">
        <v>1348</v>
      </c>
      <c r="I1499" s="375" t="s">
        <v>869</v>
      </c>
      <c r="J1499" s="375">
        <v>32630.975719999999</v>
      </c>
      <c r="K1499" s="375">
        <v>-8187.0500499999998</v>
      </c>
      <c r="L1499" s="375">
        <v>-11833.194380000001</v>
      </c>
      <c r="M1499" s="375">
        <v>48234.83049</v>
      </c>
      <c r="N1499" s="372">
        <v>0.80600000000000005</v>
      </c>
      <c r="O1499" s="703">
        <v>69.053137426611258</v>
      </c>
      <c r="P1499" s="375" t="s">
        <v>623</v>
      </c>
      <c r="Q1499" s="372" t="s">
        <v>623</v>
      </c>
      <c r="R1499" s="695">
        <v>20070921</v>
      </c>
      <c r="S1499" s="372" t="s">
        <v>10054</v>
      </c>
      <c r="T1499" s="696" t="s">
        <v>772</v>
      </c>
      <c r="U1499" s="372" t="s">
        <v>10055</v>
      </c>
      <c r="V1499" s="722" t="s">
        <v>774</v>
      </c>
      <c r="W1499" s="722">
        <v>1.89</v>
      </c>
      <c r="X1499" s="722">
        <v>3.01</v>
      </c>
      <c r="Y1499" s="722" t="s">
        <v>774</v>
      </c>
      <c r="Z1499" s="382" t="s">
        <v>934</v>
      </c>
      <c r="AA1499" s="372">
        <v>264.28629519999998</v>
      </c>
      <c r="AB1499" s="372">
        <v>327.17393079999999</v>
      </c>
      <c r="AC1499" s="372">
        <v>372.91741889999997</v>
      </c>
      <c r="AD1499" s="372">
        <v>326.30975719999998</v>
      </c>
      <c r="AE1499" s="372">
        <v>0</v>
      </c>
      <c r="AF1499" s="372">
        <v>0</v>
      </c>
      <c r="AG1499" s="372">
        <v>0</v>
      </c>
      <c r="AH1499" s="372">
        <v>0</v>
      </c>
    </row>
    <row r="1500" spans="1:34">
      <c r="A1500" s="372" t="s">
        <v>10056</v>
      </c>
      <c r="B1500" s="373" t="s">
        <v>10057</v>
      </c>
      <c r="C1500" s="372" t="s">
        <v>10058</v>
      </c>
      <c r="D1500" s="374">
        <v>1101111531460</v>
      </c>
      <c r="E1500" s="372" t="s">
        <v>10059</v>
      </c>
      <c r="F1500" s="375" t="s">
        <v>2055</v>
      </c>
      <c r="G1500" s="375" t="s">
        <v>2056</v>
      </c>
      <c r="H1500" s="375" t="s">
        <v>1547</v>
      </c>
      <c r="I1500" s="375" t="s">
        <v>869</v>
      </c>
      <c r="J1500" s="375">
        <v>123810.64144000001</v>
      </c>
      <c r="K1500" s="375">
        <v>4374.5709699999998</v>
      </c>
      <c r="L1500" s="375">
        <v>4248.0407400000004</v>
      </c>
      <c r="M1500" s="375">
        <v>80772.598110000006</v>
      </c>
      <c r="N1500" s="372">
        <v>0.74299999999999999</v>
      </c>
      <c r="O1500" s="703">
        <v>16.813613424901881</v>
      </c>
      <c r="P1500" s="375" t="s">
        <v>623</v>
      </c>
      <c r="Q1500" s="375" t="s">
        <v>623</v>
      </c>
      <c r="R1500" s="695">
        <v>20060707</v>
      </c>
      <c r="S1500" s="375" t="s">
        <v>10060</v>
      </c>
      <c r="T1500" s="696">
        <v>0.20900000000000002</v>
      </c>
      <c r="U1500" s="372" t="s">
        <v>10061</v>
      </c>
      <c r="V1500" s="722">
        <v>0</v>
      </c>
      <c r="W1500" s="722">
        <v>1.27</v>
      </c>
      <c r="X1500" s="722">
        <v>0</v>
      </c>
      <c r="Y1500" s="722">
        <v>0</v>
      </c>
      <c r="Z1500" s="382" t="s">
        <v>934</v>
      </c>
      <c r="AA1500" s="372">
        <v>247.285291</v>
      </c>
      <c r="AB1500" s="372">
        <v>304.04771210000001</v>
      </c>
      <c r="AC1500" s="372">
        <v>253.20813530000001</v>
      </c>
      <c r="AD1500" s="372">
        <v>1238.1064143999999</v>
      </c>
      <c r="AE1500" s="372">
        <v>0</v>
      </c>
      <c r="AF1500" s="372">
        <v>0</v>
      </c>
      <c r="AG1500" s="372">
        <v>0</v>
      </c>
      <c r="AH1500" s="372">
        <v>0</v>
      </c>
    </row>
    <row r="1501" spans="1:34">
      <c r="A1501" s="372" t="s">
        <v>10062</v>
      </c>
      <c r="B1501" s="373" t="s">
        <v>10063</v>
      </c>
      <c r="C1501" s="372" t="s">
        <v>10064</v>
      </c>
      <c r="D1501" s="374">
        <v>1345110076627</v>
      </c>
      <c r="E1501" s="372" t="s">
        <v>10065</v>
      </c>
      <c r="F1501" s="372" t="s">
        <v>1062</v>
      </c>
      <c r="G1501" s="375" t="s">
        <v>1062</v>
      </c>
      <c r="H1501" s="375" t="s">
        <v>868</v>
      </c>
      <c r="I1501" s="375" t="s">
        <v>869</v>
      </c>
      <c r="J1501" s="375">
        <v>94010.675480000005</v>
      </c>
      <c r="K1501" s="375">
        <v>1800.72262</v>
      </c>
      <c r="L1501" s="375">
        <v>1865.41922</v>
      </c>
      <c r="M1501" s="375">
        <v>36923.477370000001</v>
      </c>
      <c r="N1501" s="372">
        <v>1.0129999999999999</v>
      </c>
      <c r="O1501" s="703">
        <v>26.291366488135292</v>
      </c>
      <c r="P1501" s="375" t="s">
        <v>623</v>
      </c>
      <c r="Q1501" s="375" t="s">
        <v>623</v>
      </c>
      <c r="R1501" s="695">
        <v>20141217</v>
      </c>
      <c r="S1501" s="372" t="s">
        <v>10066</v>
      </c>
      <c r="T1501" s="696">
        <v>0.20900000000000002</v>
      </c>
      <c r="U1501" s="372" t="s">
        <v>10067</v>
      </c>
      <c r="V1501" s="722">
        <v>21.15</v>
      </c>
      <c r="W1501" s="722">
        <v>2.89</v>
      </c>
      <c r="X1501" s="722">
        <v>1.07</v>
      </c>
      <c r="Y1501" s="722">
        <v>56.04</v>
      </c>
      <c r="Z1501" s="382" t="s">
        <v>934</v>
      </c>
      <c r="AA1501" s="372">
        <v>1133.7749260000001</v>
      </c>
      <c r="AB1501" s="372">
        <v>1016.7478004</v>
      </c>
      <c r="AC1501" s="372">
        <v>1131.091187</v>
      </c>
      <c r="AD1501" s="372">
        <v>940.10675479999998</v>
      </c>
      <c r="AE1501" s="372">
        <v>0</v>
      </c>
      <c r="AF1501" s="372">
        <v>0</v>
      </c>
      <c r="AG1501" s="372">
        <v>0</v>
      </c>
      <c r="AH1501" s="372">
        <v>0</v>
      </c>
    </row>
    <row r="1502" spans="1:34">
      <c r="A1502" s="372" t="s">
        <v>10068</v>
      </c>
      <c r="B1502" s="373" t="s">
        <v>10069</v>
      </c>
      <c r="C1502" s="372" t="s">
        <v>10070</v>
      </c>
      <c r="D1502" s="374">
        <v>1942110014431</v>
      </c>
      <c r="E1502" s="372" t="s">
        <v>10071</v>
      </c>
      <c r="F1502" s="372" t="s">
        <v>887</v>
      </c>
      <c r="G1502" s="375" t="s">
        <v>887</v>
      </c>
      <c r="H1502" s="375" t="s">
        <v>797</v>
      </c>
      <c r="I1502" s="375" t="s">
        <v>755</v>
      </c>
      <c r="J1502" s="375">
        <v>444173.62589999998</v>
      </c>
      <c r="K1502" s="375">
        <v>524.57691</v>
      </c>
      <c r="L1502" s="375">
        <v>-20574.861529999998</v>
      </c>
      <c r="M1502" s="375">
        <v>85104.081950000007</v>
      </c>
      <c r="N1502" s="372">
        <v>1.052</v>
      </c>
      <c r="O1502" s="703">
        <v>170.44329237663987</v>
      </c>
      <c r="P1502" s="375" t="s">
        <v>623</v>
      </c>
      <c r="Q1502" s="372" t="s">
        <v>623</v>
      </c>
      <c r="R1502" s="695">
        <v>20191125</v>
      </c>
      <c r="S1502" s="372" t="s">
        <v>10072</v>
      </c>
      <c r="T1502" s="696" t="s">
        <v>772</v>
      </c>
      <c r="U1502" s="372" t="s">
        <v>10073</v>
      </c>
      <c r="V1502" s="722">
        <v>14.29</v>
      </c>
      <c r="W1502" s="722">
        <v>1.24</v>
      </c>
      <c r="X1502" s="722">
        <v>0.24</v>
      </c>
      <c r="Y1502" s="722" t="s">
        <v>774</v>
      </c>
      <c r="Z1502" s="382" t="s">
        <v>934</v>
      </c>
      <c r="AA1502" s="372">
        <v>3168.2653102999998</v>
      </c>
      <c r="AB1502" s="372">
        <v>3684.3497630000002</v>
      </c>
      <c r="AC1502" s="372">
        <v>4230.9655623999997</v>
      </c>
      <c r="AD1502" s="372">
        <v>4441.7362590000002</v>
      </c>
      <c r="AE1502" s="372">
        <v>0</v>
      </c>
      <c r="AF1502" s="372">
        <v>0</v>
      </c>
      <c r="AG1502" s="372">
        <v>0</v>
      </c>
      <c r="AH1502" s="372">
        <v>0</v>
      </c>
    </row>
    <row r="1503" spans="1:34">
      <c r="A1503" s="372" t="s">
        <v>10074</v>
      </c>
      <c r="B1503" s="373" t="s">
        <v>10075</v>
      </c>
      <c r="C1503" s="372" t="s">
        <v>10076</v>
      </c>
      <c r="D1503" s="374">
        <v>1845110022448</v>
      </c>
      <c r="E1503" s="372" t="s">
        <v>10077</v>
      </c>
      <c r="F1503" s="375" t="s">
        <v>1286</v>
      </c>
      <c r="G1503" s="375" t="s">
        <v>1465</v>
      </c>
      <c r="H1503" s="375" t="s">
        <v>1388</v>
      </c>
      <c r="I1503" s="375" t="s">
        <v>869</v>
      </c>
      <c r="J1503" s="375">
        <v>64817.181259999998</v>
      </c>
      <c r="K1503" s="375">
        <v>7428.7990300000001</v>
      </c>
      <c r="L1503" s="375">
        <v>8450.4096599999993</v>
      </c>
      <c r="M1503" s="375">
        <v>55128.32634</v>
      </c>
      <c r="N1503" s="372">
        <v>1.5429999999999999</v>
      </c>
      <c r="O1503" s="703">
        <v>0.8397185265920204</v>
      </c>
      <c r="P1503" s="375" t="s">
        <v>623</v>
      </c>
      <c r="Q1503" s="372" t="s">
        <v>623</v>
      </c>
      <c r="R1503" s="695">
        <v>20080923</v>
      </c>
      <c r="S1503" s="372" t="s">
        <v>10078</v>
      </c>
      <c r="T1503" s="696">
        <v>0.20900000000000002</v>
      </c>
      <c r="U1503" s="372" t="s">
        <v>10079</v>
      </c>
      <c r="V1503" s="722">
        <v>12.48</v>
      </c>
      <c r="W1503" s="722">
        <v>2.11</v>
      </c>
      <c r="X1503" s="722">
        <v>1.79</v>
      </c>
      <c r="Y1503" s="722">
        <v>15.69</v>
      </c>
      <c r="Z1503" s="382" t="s">
        <v>934</v>
      </c>
      <c r="AA1503" s="372">
        <v>392.74889539999998</v>
      </c>
      <c r="AB1503" s="372">
        <v>613.82432200000005</v>
      </c>
      <c r="AC1503" s="372">
        <v>610.54715699999997</v>
      </c>
      <c r="AD1503" s="372">
        <v>648.17181259999995</v>
      </c>
      <c r="AE1503" s="372">
        <v>0</v>
      </c>
      <c r="AF1503" s="372">
        <v>0</v>
      </c>
      <c r="AG1503" s="372">
        <v>0</v>
      </c>
      <c r="AH1503" s="372">
        <v>0</v>
      </c>
    </row>
    <row r="1504" spans="1:34">
      <c r="A1504" s="372" t="s">
        <v>10080</v>
      </c>
      <c r="B1504" s="373" t="s">
        <v>10081</v>
      </c>
      <c r="C1504" s="372" t="s">
        <v>10082</v>
      </c>
      <c r="D1504" s="374">
        <v>1501110041925</v>
      </c>
      <c r="E1504" s="372" t="s">
        <v>10083</v>
      </c>
      <c r="F1504" s="372" t="s">
        <v>1062</v>
      </c>
      <c r="G1504" s="375" t="s">
        <v>1062</v>
      </c>
      <c r="H1504" s="375" t="s">
        <v>868</v>
      </c>
      <c r="I1504" s="375" t="s">
        <v>869</v>
      </c>
      <c r="J1504" s="375">
        <v>83100.721820000006</v>
      </c>
      <c r="K1504" s="375">
        <v>10747.626420000001</v>
      </c>
      <c r="L1504" s="375">
        <v>7804.85106</v>
      </c>
      <c r="M1504" s="375">
        <v>72661.881949999995</v>
      </c>
      <c r="N1504" s="372">
        <v>1.1499999999999999</v>
      </c>
      <c r="O1504" s="703">
        <v>45.889256365311212</v>
      </c>
      <c r="P1504" s="375" t="s">
        <v>623</v>
      </c>
      <c r="Q1504" s="372" t="s">
        <v>623</v>
      </c>
      <c r="R1504" s="695">
        <v>20080415</v>
      </c>
      <c r="S1504" s="372" t="s">
        <v>10084</v>
      </c>
      <c r="T1504" s="696">
        <v>0.20900000000000002</v>
      </c>
      <c r="U1504" s="372" t="s">
        <v>10085</v>
      </c>
      <c r="V1504" s="722">
        <v>8.9600000000000009</v>
      </c>
      <c r="W1504" s="722">
        <v>1.43</v>
      </c>
      <c r="X1504" s="722">
        <v>1.25</v>
      </c>
      <c r="Y1504" s="722">
        <v>10.32</v>
      </c>
      <c r="Z1504" s="382" t="s">
        <v>934</v>
      </c>
      <c r="AA1504" s="372">
        <v>449.97599689999998</v>
      </c>
      <c r="AB1504" s="372">
        <v>587.8046981</v>
      </c>
      <c r="AC1504" s="372">
        <v>689.41504010000006</v>
      </c>
      <c r="AD1504" s="372">
        <v>831.00721820000001</v>
      </c>
      <c r="AE1504" s="372">
        <v>0</v>
      </c>
      <c r="AF1504" s="372">
        <v>0</v>
      </c>
      <c r="AG1504" s="372">
        <v>0</v>
      </c>
      <c r="AH1504" s="372">
        <v>0</v>
      </c>
    </row>
    <row r="1505" spans="1:34">
      <c r="A1505" s="372" t="s">
        <v>10086</v>
      </c>
      <c r="B1505" s="373" t="s">
        <v>10087</v>
      </c>
      <c r="C1505" s="372" t="s">
        <v>16178</v>
      </c>
      <c r="D1505" s="374">
        <v>1760110017077</v>
      </c>
      <c r="E1505" s="372" t="s">
        <v>16179</v>
      </c>
      <c r="F1505" s="375" t="s">
        <v>1187</v>
      </c>
      <c r="G1505" s="375" t="s">
        <v>1188</v>
      </c>
      <c r="H1505" s="375" t="s">
        <v>1388</v>
      </c>
      <c r="I1505" s="375" t="s">
        <v>869</v>
      </c>
      <c r="J1505" s="375">
        <v>34642.468430000001</v>
      </c>
      <c r="K1505" s="375">
        <v>1995.9726599999999</v>
      </c>
      <c r="L1505" s="375">
        <v>4612.2434000000003</v>
      </c>
      <c r="M1505" s="375">
        <v>160769.04446</v>
      </c>
      <c r="N1505" s="372">
        <v>1.24</v>
      </c>
      <c r="O1505" s="703">
        <v>4.6851682449742534E-2</v>
      </c>
      <c r="P1505" s="375" t="s">
        <v>623</v>
      </c>
      <c r="Q1505" s="372" t="s">
        <v>623</v>
      </c>
      <c r="R1505" s="695">
        <v>20021226</v>
      </c>
      <c r="S1505" s="375" t="s">
        <v>10088</v>
      </c>
      <c r="T1505" s="696">
        <v>0.20900000000000002</v>
      </c>
      <c r="U1505" s="372" t="s">
        <v>10089</v>
      </c>
      <c r="V1505" s="722">
        <v>29.28</v>
      </c>
      <c r="W1505" s="722">
        <v>0.64</v>
      </c>
      <c r="X1505" s="722">
        <v>3.19</v>
      </c>
      <c r="Y1505" s="722">
        <v>30.25</v>
      </c>
      <c r="Z1505" s="382" t="s">
        <v>934</v>
      </c>
      <c r="AA1505" s="372">
        <v>417.35459109999999</v>
      </c>
      <c r="AB1505" s="372">
        <v>1359.7407751000001</v>
      </c>
      <c r="AC1505" s="372">
        <v>690.66166769999995</v>
      </c>
      <c r="AD1505" s="372">
        <v>346.42468430000002</v>
      </c>
      <c r="AE1505" s="372">
        <v>0</v>
      </c>
      <c r="AF1505" s="372">
        <v>0</v>
      </c>
      <c r="AG1505" s="372">
        <v>0</v>
      </c>
      <c r="AH1505" s="372">
        <v>0</v>
      </c>
    </row>
    <row r="1506" spans="1:34">
      <c r="A1506" s="372" t="s">
        <v>10090</v>
      </c>
      <c r="B1506" s="373" t="s">
        <v>10091</v>
      </c>
      <c r="C1506" s="372" t="s">
        <v>10092</v>
      </c>
      <c r="D1506" s="374">
        <v>1313110026091</v>
      </c>
      <c r="E1506" s="372" t="s">
        <v>10093</v>
      </c>
      <c r="F1506" s="375" t="s">
        <v>3039</v>
      </c>
      <c r="G1506" s="375" t="s">
        <v>3039</v>
      </c>
      <c r="H1506" s="375" t="s">
        <v>1348</v>
      </c>
      <c r="I1506" s="375" t="s">
        <v>869</v>
      </c>
      <c r="J1506" s="375">
        <v>368427.65097999998</v>
      </c>
      <c r="K1506" s="375">
        <v>1361.50081</v>
      </c>
      <c r="L1506" s="375">
        <v>-1239.47234</v>
      </c>
      <c r="M1506" s="375">
        <v>133520.20241</v>
      </c>
      <c r="N1506" s="372">
        <v>1.008</v>
      </c>
      <c r="O1506" s="703">
        <v>54.840274015137865</v>
      </c>
      <c r="P1506" s="375" t="s">
        <v>623</v>
      </c>
      <c r="Q1506" s="372" t="s">
        <v>623</v>
      </c>
      <c r="R1506" s="695">
        <v>20030115</v>
      </c>
      <c r="S1506" s="372" t="s">
        <v>10094</v>
      </c>
      <c r="T1506" s="696" t="s">
        <v>772</v>
      </c>
      <c r="U1506" s="372" t="s">
        <v>16065</v>
      </c>
      <c r="V1506" s="722">
        <v>13.36</v>
      </c>
      <c r="W1506" s="722">
        <v>0.63</v>
      </c>
      <c r="X1506" s="722">
        <v>0.22</v>
      </c>
      <c r="Y1506" s="722">
        <v>92.02</v>
      </c>
      <c r="Z1506" s="382" t="s">
        <v>934</v>
      </c>
      <c r="AA1506" s="372">
        <v>135.49223169999999</v>
      </c>
      <c r="AB1506" s="372">
        <v>1682.8749929999999</v>
      </c>
      <c r="AC1506" s="372">
        <v>3225.4220787999998</v>
      </c>
      <c r="AD1506" s="372">
        <v>3684.2765098</v>
      </c>
      <c r="AE1506" s="372">
        <v>3329</v>
      </c>
      <c r="AF1506" s="372">
        <v>0</v>
      </c>
      <c r="AG1506" s="372">
        <v>0</v>
      </c>
      <c r="AH1506" s="372">
        <v>0</v>
      </c>
    </row>
    <row r="1507" spans="1:34">
      <c r="A1507" s="372" t="s">
        <v>10095</v>
      </c>
      <c r="B1507" s="373" t="s">
        <v>10096</v>
      </c>
      <c r="C1507" s="372" t="s">
        <v>10097</v>
      </c>
      <c r="D1507" s="374">
        <v>1344110020543</v>
      </c>
      <c r="E1507" s="372" t="s">
        <v>10098</v>
      </c>
      <c r="F1507" s="375" t="s">
        <v>770</v>
      </c>
      <c r="G1507" s="375" t="s">
        <v>770</v>
      </c>
      <c r="H1507" s="375" t="s">
        <v>1388</v>
      </c>
      <c r="I1507" s="375" t="s">
        <v>869</v>
      </c>
      <c r="J1507" s="375">
        <v>86205.142340000006</v>
      </c>
      <c r="K1507" s="375">
        <v>-22857.360130000001</v>
      </c>
      <c r="L1507" s="375">
        <v>-27849.280500000001</v>
      </c>
      <c r="M1507" s="375">
        <v>46724.273480000003</v>
      </c>
      <c r="N1507" s="372">
        <v>0.94299999999999995</v>
      </c>
      <c r="O1507" s="703">
        <v>117.43621151461154</v>
      </c>
      <c r="P1507" s="375" t="s">
        <v>623</v>
      </c>
      <c r="Q1507" s="372" t="s">
        <v>623</v>
      </c>
      <c r="R1507" s="695">
        <v>20130307</v>
      </c>
      <c r="S1507" s="372" t="s">
        <v>10099</v>
      </c>
      <c r="T1507" s="696" t="s">
        <v>772</v>
      </c>
      <c r="U1507" s="372" t="s">
        <v>10100</v>
      </c>
      <c r="V1507" s="722">
        <v>0</v>
      </c>
      <c r="W1507" s="722">
        <v>2.04</v>
      </c>
      <c r="X1507" s="722">
        <v>0</v>
      </c>
      <c r="Y1507" s="722">
        <v>0</v>
      </c>
      <c r="Z1507" s="382" t="s">
        <v>934</v>
      </c>
      <c r="AA1507" s="372">
        <v>1100.9484150999999</v>
      </c>
      <c r="AB1507" s="372">
        <v>1014.4217554000001</v>
      </c>
      <c r="AC1507" s="372">
        <v>1526.3543073999999</v>
      </c>
      <c r="AD1507" s="372">
        <v>862.05142339999998</v>
      </c>
      <c r="AE1507" s="372">
        <v>0</v>
      </c>
      <c r="AF1507" s="372">
        <v>0</v>
      </c>
      <c r="AG1507" s="372">
        <v>0</v>
      </c>
      <c r="AH1507" s="372">
        <v>0</v>
      </c>
    </row>
    <row r="1508" spans="1:34">
      <c r="A1508" s="372" t="s">
        <v>10101</v>
      </c>
      <c r="B1508" s="373" t="s">
        <v>10102</v>
      </c>
      <c r="C1508" s="372" t="s">
        <v>10103</v>
      </c>
      <c r="D1508" s="374">
        <v>1801110248369</v>
      </c>
      <c r="E1508" s="372" t="s">
        <v>10104</v>
      </c>
      <c r="F1508" s="375" t="s">
        <v>1673</v>
      </c>
      <c r="G1508" s="375" t="s">
        <v>1673</v>
      </c>
      <c r="H1508" s="375" t="s">
        <v>1388</v>
      </c>
      <c r="I1508" s="375" t="s">
        <v>869</v>
      </c>
      <c r="J1508" s="375">
        <v>24884.104469999998</v>
      </c>
      <c r="K1508" s="375">
        <v>-912.69255999999996</v>
      </c>
      <c r="L1508" s="375">
        <v>-305.98318</v>
      </c>
      <c r="M1508" s="375">
        <v>42833.397660000002</v>
      </c>
      <c r="N1508" s="372">
        <v>1.3360000000000001</v>
      </c>
      <c r="O1508" s="703">
        <v>1.1026510817714874</v>
      </c>
      <c r="P1508" s="375" t="s">
        <v>623</v>
      </c>
      <c r="Q1508" s="372" t="s">
        <v>623</v>
      </c>
      <c r="R1508" s="695">
        <v>20130701</v>
      </c>
      <c r="S1508" s="372" t="s">
        <v>10105</v>
      </c>
      <c r="T1508" s="696" t="s">
        <v>772</v>
      </c>
      <c r="U1508" s="372" t="s">
        <v>10106</v>
      </c>
      <c r="V1508" s="722">
        <v>0</v>
      </c>
      <c r="W1508" s="722">
        <v>2.09</v>
      </c>
      <c r="X1508" s="722">
        <v>0</v>
      </c>
      <c r="Y1508" s="722">
        <v>0</v>
      </c>
      <c r="Z1508" s="382" t="s">
        <v>934</v>
      </c>
      <c r="AA1508" s="372">
        <v>226.4990737</v>
      </c>
      <c r="AB1508" s="372">
        <v>416.49797840000002</v>
      </c>
      <c r="AC1508" s="372">
        <v>356.91515629999998</v>
      </c>
      <c r="AD1508" s="372">
        <v>248.8410447</v>
      </c>
      <c r="AE1508" s="372">
        <v>0</v>
      </c>
      <c r="AF1508" s="372">
        <v>0</v>
      </c>
      <c r="AG1508" s="372">
        <v>0</v>
      </c>
      <c r="AH1508" s="372">
        <v>0</v>
      </c>
    </row>
    <row r="1509" spans="1:34">
      <c r="A1509" s="372" t="s">
        <v>10107</v>
      </c>
      <c r="B1509" s="373" t="s">
        <v>10108</v>
      </c>
      <c r="C1509" s="372" t="s">
        <v>10109</v>
      </c>
      <c r="D1509" s="374">
        <v>1101110346745</v>
      </c>
      <c r="E1509" s="372" t="s">
        <v>10110</v>
      </c>
      <c r="F1509" s="372" t="s">
        <v>2649</v>
      </c>
      <c r="G1509" s="375" t="s">
        <v>2650</v>
      </c>
      <c r="H1509" s="375" t="s">
        <v>823</v>
      </c>
      <c r="I1509" s="375" t="s">
        <v>755</v>
      </c>
      <c r="J1509" s="375">
        <v>1018577.15162</v>
      </c>
      <c r="K1509" s="375">
        <v>22359.94082</v>
      </c>
      <c r="L1509" s="375">
        <v>-33937.89892</v>
      </c>
      <c r="M1509" s="375">
        <v>191624.80116999999</v>
      </c>
      <c r="N1509" s="372">
        <v>1.1890000000000001</v>
      </c>
      <c r="O1509" s="703">
        <v>533.26558076652259</v>
      </c>
      <c r="P1509" s="375" t="s">
        <v>623</v>
      </c>
      <c r="Q1509" s="375" t="s">
        <v>623</v>
      </c>
      <c r="R1509" s="695">
        <v>19941105</v>
      </c>
      <c r="S1509" s="375" t="s">
        <v>10111</v>
      </c>
      <c r="T1509" s="696" t="s">
        <v>772</v>
      </c>
      <c r="U1509" s="375" t="s">
        <v>10112</v>
      </c>
      <c r="V1509" s="722">
        <v>6.02</v>
      </c>
      <c r="W1509" s="722">
        <v>1.45</v>
      </c>
      <c r="X1509" s="722">
        <v>0.1</v>
      </c>
      <c r="Y1509" s="722" t="s">
        <v>774</v>
      </c>
      <c r="Z1509" s="382" t="s">
        <v>934</v>
      </c>
      <c r="AA1509" s="372">
        <v>8862.3938608000008</v>
      </c>
      <c r="AB1509" s="372">
        <v>9798.6623557999992</v>
      </c>
      <c r="AC1509" s="372">
        <v>10498.412920700001</v>
      </c>
      <c r="AD1509" s="372">
        <v>10185.7715162</v>
      </c>
      <c r="AE1509" s="372">
        <v>0</v>
      </c>
      <c r="AF1509" s="372">
        <v>0</v>
      </c>
      <c r="AG1509" s="372">
        <v>0</v>
      </c>
      <c r="AH1509" s="372">
        <v>0</v>
      </c>
    </row>
    <row r="1510" spans="1:34">
      <c r="A1510" s="372" t="s">
        <v>10113</v>
      </c>
      <c r="B1510" s="373" t="s">
        <v>10114</v>
      </c>
      <c r="C1510" s="372" t="s">
        <v>10115</v>
      </c>
      <c r="D1510" s="374">
        <v>1101111373755</v>
      </c>
      <c r="E1510" s="372" t="s">
        <v>10116</v>
      </c>
      <c r="F1510" s="375" t="s">
        <v>1195</v>
      </c>
      <c r="G1510" s="375" t="s">
        <v>3144</v>
      </c>
      <c r="H1510" s="375" t="s">
        <v>868</v>
      </c>
      <c r="I1510" s="375" t="s">
        <v>869</v>
      </c>
      <c r="J1510" s="375">
        <v>35232.358330000003</v>
      </c>
      <c r="K1510" s="375">
        <v>3654.9063799999999</v>
      </c>
      <c r="L1510" s="375">
        <v>-21266.41332</v>
      </c>
      <c r="M1510" s="375">
        <v>183753.96440999999</v>
      </c>
      <c r="N1510" s="372">
        <v>1.1919999999999999</v>
      </c>
      <c r="O1510" s="703">
        <v>34.858583687766021</v>
      </c>
      <c r="P1510" s="375" t="s">
        <v>623</v>
      </c>
      <c r="Q1510" s="372" t="s">
        <v>623</v>
      </c>
      <c r="R1510" s="695">
        <v>19991208</v>
      </c>
      <c r="S1510" s="372" t="s">
        <v>10117</v>
      </c>
      <c r="T1510" s="696" t="s">
        <v>772</v>
      </c>
      <c r="U1510" s="372" t="s">
        <v>10118</v>
      </c>
      <c r="V1510" s="722">
        <v>31.82</v>
      </c>
      <c r="W1510" s="722">
        <v>0.82</v>
      </c>
      <c r="X1510" s="722">
        <v>2.4300000000000002</v>
      </c>
      <c r="Y1510" s="722" t="s">
        <v>774</v>
      </c>
      <c r="Z1510" s="382" t="s">
        <v>934</v>
      </c>
      <c r="AA1510" s="372">
        <v>300.57413450000001</v>
      </c>
      <c r="AB1510" s="372">
        <v>311.6125566</v>
      </c>
      <c r="AC1510" s="372">
        <v>352.18638079999999</v>
      </c>
      <c r="AD1510" s="372">
        <v>352.3235833</v>
      </c>
      <c r="AE1510" s="372">
        <v>0</v>
      </c>
      <c r="AF1510" s="372">
        <v>0</v>
      </c>
      <c r="AG1510" s="372">
        <v>0</v>
      </c>
      <c r="AH1510" s="372">
        <v>0</v>
      </c>
    </row>
    <row r="1511" spans="1:34">
      <c r="A1511" s="372" t="s">
        <v>10119</v>
      </c>
      <c r="B1511" s="373" t="s">
        <v>10120</v>
      </c>
      <c r="C1511" s="372" t="s">
        <v>10121</v>
      </c>
      <c r="D1511" s="374">
        <v>1615110037709</v>
      </c>
      <c r="E1511" s="372" t="s">
        <v>10122</v>
      </c>
      <c r="F1511" s="372" t="s">
        <v>770</v>
      </c>
      <c r="G1511" s="375" t="s">
        <v>770</v>
      </c>
      <c r="H1511" s="375" t="s">
        <v>1388</v>
      </c>
      <c r="I1511" s="375" t="s">
        <v>869</v>
      </c>
      <c r="J1511" s="375">
        <v>18687.093089999998</v>
      </c>
      <c r="K1511" s="375">
        <v>-4243.0127000000002</v>
      </c>
      <c r="L1511" s="375">
        <v>2151.5921800000001</v>
      </c>
      <c r="M1511" s="375">
        <v>82474.951350000003</v>
      </c>
      <c r="N1511" s="372">
        <v>1.1000000000000001</v>
      </c>
      <c r="O1511" s="703">
        <v>0.51282981993749388</v>
      </c>
      <c r="P1511" s="375" t="s">
        <v>623</v>
      </c>
      <c r="Q1511" s="372" t="s">
        <v>623</v>
      </c>
      <c r="R1511" s="695">
        <v>20061124</v>
      </c>
      <c r="S1511" s="372" t="s">
        <v>10123</v>
      </c>
      <c r="T1511" s="696">
        <v>0.20900000000000002</v>
      </c>
      <c r="U1511" s="372" t="s">
        <v>10124</v>
      </c>
      <c r="V1511" s="722" t="s">
        <v>774</v>
      </c>
      <c r="W1511" s="722">
        <v>1.1000000000000001</v>
      </c>
      <c r="X1511" s="722">
        <v>4.92</v>
      </c>
      <c r="Y1511" s="722">
        <v>33.92</v>
      </c>
      <c r="Z1511" s="382" t="s">
        <v>934</v>
      </c>
      <c r="AA1511" s="372">
        <v>230.0342996</v>
      </c>
      <c r="AB1511" s="372">
        <v>293.79599339999999</v>
      </c>
      <c r="AC1511" s="372">
        <v>226.99451669999999</v>
      </c>
      <c r="AD1511" s="372">
        <v>186.87093089999999</v>
      </c>
      <c r="AE1511" s="372">
        <v>0</v>
      </c>
      <c r="AF1511" s="372">
        <v>0</v>
      </c>
      <c r="AG1511" s="372">
        <v>0</v>
      </c>
      <c r="AH1511" s="372">
        <v>0</v>
      </c>
    </row>
    <row r="1512" spans="1:34">
      <c r="A1512" s="372" t="s">
        <v>10125</v>
      </c>
      <c r="B1512" s="373" t="s">
        <v>10126</v>
      </c>
      <c r="C1512" s="372" t="s">
        <v>10127</v>
      </c>
      <c r="D1512" s="374">
        <v>1301110010841</v>
      </c>
      <c r="E1512" s="372" t="s">
        <v>10128</v>
      </c>
      <c r="F1512" s="375" t="s">
        <v>10129</v>
      </c>
      <c r="G1512" s="375" t="s">
        <v>10130</v>
      </c>
      <c r="H1512" s="375" t="s">
        <v>868</v>
      </c>
      <c r="I1512" s="375" t="s">
        <v>869</v>
      </c>
      <c r="J1512" s="375">
        <v>809653.19652</v>
      </c>
      <c r="K1512" s="375">
        <v>47252.640809999997</v>
      </c>
      <c r="L1512" s="375">
        <v>30507.940999999999</v>
      </c>
      <c r="M1512" s="375">
        <v>234014.76827999999</v>
      </c>
      <c r="N1512" s="372">
        <v>1.208</v>
      </c>
      <c r="O1512" s="703">
        <v>341.72189794405801</v>
      </c>
      <c r="P1512" s="375" t="s">
        <v>623</v>
      </c>
      <c r="Q1512" s="372" t="s">
        <v>623</v>
      </c>
      <c r="R1512" s="695">
        <v>19941222</v>
      </c>
      <c r="S1512" s="372" t="s">
        <v>10131</v>
      </c>
      <c r="T1512" s="696">
        <v>0.23100000000000001</v>
      </c>
      <c r="U1512" s="372" t="s">
        <v>16066</v>
      </c>
      <c r="V1512" s="722">
        <v>5.55</v>
      </c>
      <c r="W1512" s="722">
        <v>0.47</v>
      </c>
      <c r="X1512" s="722">
        <v>0.13</v>
      </c>
      <c r="Y1512" s="722">
        <v>5.0599999999999996</v>
      </c>
      <c r="Z1512" s="382" t="s">
        <v>934</v>
      </c>
      <c r="AA1512" s="372">
        <v>3348.2076594</v>
      </c>
      <c r="AB1512" s="372">
        <v>5224.2405010000002</v>
      </c>
      <c r="AC1512" s="372">
        <v>8190.2564075999999</v>
      </c>
      <c r="AD1512" s="372">
        <v>8096.5319651999998</v>
      </c>
      <c r="AE1512" s="372">
        <v>0</v>
      </c>
      <c r="AF1512" s="372">
        <v>0</v>
      </c>
      <c r="AG1512" s="372">
        <v>0</v>
      </c>
      <c r="AH1512" s="372">
        <v>0</v>
      </c>
    </row>
    <row r="1513" spans="1:34">
      <c r="A1513" s="372" t="s">
        <v>10132</v>
      </c>
      <c r="B1513" s="373" t="s">
        <v>10133</v>
      </c>
      <c r="C1513" s="372" t="s">
        <v>10134</v>
      </c>
      <c r="D1513" s="374">
        <v>1601110114126</v>
      </c>
      <c r="E1513" s="372" t="s">
        <v>10135</v>
      </c>
      <c r="F1513" s="375" t="s">
        <v>786</v>
      </c>
      <c r="G1513" s="375" t="s">
        <v>787</v>
      </c>
      <c r="H1513" s="375" t="s">
        <v>868</v>
      </c>
      <c r="I1513" s="375" t="s">
        <v>869</v>
      </c>
      <c r="J1513" s="375">
        <v>7772.4085699999996</v>
      </c>
      <c r="K1513" s="375">
        <v>-1187.9517000000001</v>
      </c>
      <c r="L1513" s="375">
        <v>-2562.7924499999999</v>
      </c>
      <c r="M1513" s="375">
        <v>46325.615330000001</v>
      </c>
      <c r="N1513" s="372">
        <v>1.153</v>
      </c>
      <c r="O1513" s="703">
        <v>0.94521533979988248</v>
      </c>
      <c r="P1513" s="375" t="s">
        <v>623</v>
      </c>
      <c r="Q1513" s="375" t="s">
        <v>623</v>
      </c>
      <c r="R1513" s="695">
        <v>20141106</v>
      </c>
      <c r="S1513" s="375" t="s">
        <v>10136</v>
      </c>
      <c r="T1513" s="696" t="s">
        <v>772</v>
      </c>
      <c r="U1513" s="372" t="s">
        <v>10137</v>
      </c>
      <c r="V1513" s="722" t="s">
        <v>774</v>
      </c>
      <c r="W1513" s="722">
        <v>2.4500000000000002</v>
      </c>
      <c r="X1513" s="722">
        <v>15.29</v>
      </c>
      <c r="Y1513" s="722" t="s">
        <v>774</v>
      </c>
      <c r="Z1513" s="382" t="s">
        <v>934</v>
      </c>
      <c r="AA1513" s="372">
        <v>87.891003499999997</v>
      </c>
      <c r="AB1513" s="372">
        <v>82.996131599999998</v>
      </c>
      <c r="AC1513" s="372">
        <v>76.783862200000002</v>
      </c>
      <c r="AD1513" s="372">
        <v>77.724085700000003</v>
      </c>
      <c r="AE1513" s="372">
        <v>0</v>
      </c>
      <c r="AF1513" s="372">
        <v>0</v>
      </c>
      <c r="AG1513" s="372">
        <v>0</v>
      </c>
      <c r="AH1513" s="372">
        <v>0</v>
      </c>
    </row>
    <row r="1514" spans="1:34">
      <c r="A1514" s="372" t="s">
        <v>10138</v>
      </c>
      <c r="B1514" s="373" t="s">
        <v>10139</v>
      </c>
      <c r="C1514" s="372" t="s">
        <v>10140</v>
      </c>
      <c r="D1514" s="374">
        <v>1348110250671</v>
      </c>
      <c r="E1514" s="372" t="s">
        <v>10141</v>
      </c>
      <c r="F1514" s="375" t="s">
        <v>1285</v>
      </c>
      <c r="G1514" s="375" t="s">
        <v>1285</v>
      </c>
      <c r="H1514" s="375" t="s">
        <v>1388</v>
      </c>
      <c r="I1514" s="375" t="s">
        <v>869</v>
      </c>
      <c r="J1514" s="375">
        <v>43192.695140000003</v>
      </c>
      <c r="K1514" s="375">
        <v>-10061.0952</v>
      </c>
      <c r="L1514" s="375">
        <v>-13673.196739999999</v>
      </c>
      <c r="M1514" s="375">
        <v>54534.59304</v>
      </c>
      <c r="N1514" s="372">
        <v>0.54200000000000004</v>
      </c>
      <c r="O1514" s="703">
        <v>49.392303575857106</v>
      </c>
      <c r="P1514" s="375" t="s">
        <v>623</v>
      </c>
      <c r="Q1514" s="372" t="s">
        <v>623</v>
      </c>
      <c r="R1514" s="695">
        <v>20220729</v>
      </c>
      <c r="S1514" s="372" t="s">
        <v>10142</v>
      </c>
      <c r="T1514" s="696" t="s">
        <v>772</v>
      </c>
      <c r="U1514" s="372" t="s">
        <v>10143</v>
      </c>
      <c r="V1514" s="722" t="s">
        <v>774</v>
      </c>
      <c r="W1514" s="722">
        <v>1.63</v>
      </c>
      <c r="X1514" s="722">
        <v>2.09</v>
      </c>
      <c r="Y1514" s="722" t="s">
        <v>774</v>
      </c>
      <c r="Z1514" s="382" t="s">
        <v>934</v>
      </c>
      <c r="AA1514" s="372">
        <v>241.66788410000001</v>
      </c>
      <c r="AB1514" s="372">
        <v>384.39590729999998</v>
      </c>
      <c r="AC1514" s="372">
        <v>228.20911960000001</v>
      </c>
      <c r="AD1514" s="372">
        <v>431.92695140000001</v>
      </c>
      <c r="AE1514" s="372">
        <v>786.5</v>
      </c>
      <c r="AF1514" s="372">
        <v>855</v>
      </c>
      <c r="AG1514" s="372">
        <v>0</v>
      </c>
      <c r="AH1514" s="372">
        <v>0</v>
      </c>
    </row>
    <row r="1515" spans="1:34">
      <c r="A1515" s="372" t="s">
        <v>10144</v>
      </c>
      <c r="B1515" s="373" t="s">
        <v>10145</v>
      </c>
      <c r="C1515" s="372" t="s">
        <v>16180</v>
      </c>
      <c r="D1515" s="374">
        <v>1301110010031</v>
      </c>
      <c r="E1515" s="372" t="s">
        <v>16180</v>
      </c>
      <c r="F1515" s="375" t="s">
        <v>10146</v>
      </c>
      <c r="G1515" s="375" t="s">
        <v>10146</v>
      </c>
      <c r="H1515" s="375" t="s">
        <v>1555</v>
      </c>
      <c r="I1515" s="375" t="s">
        <v>755</v>
      </c>
      <c r="J1515" s="375">
        <v>920175.02248000004</v>
      </c>
      <c r="K1515" s="375">
        <v>40575.172339999997</v>
      </c>
      <c r="L1515" s="375">
        <v>11828.81883</v>
      </c>
      <c r="M1515" s="375">
        <v>207669.60154</v>
      </c>
      <c r="N1515" s="372">
        <v>1.131</v>
      </c>
      <c r="O1515" s="703">
        <v>430.58672978110354</v>
      </c>
      <c r="P1515" s="375" t="s">
        <v>623</v>
      </c>
      <c r="Q1515" s="375" t="s">
        <v>623</v>
      </c>
      <c r="R1515" s="695">
        <v>19941227</v>
      </c>
      <c r="S1515" s="375" t="s">
        <v>10147</v>
      </c>
      <c r="T1515" s="696">
        <v>0.20900000000000002</v>
      </c>
      <c r="U1515" s="372" t="s">
        <v>10148</v>
      </c>
      <c r="V1515" s="722">
        <v>6.86</v>
      </c>
      <c r="W1515" s="722">
        <v>0.52</v>
      </c>
      <c r="X1515" s="722">
        <v>0.12</v>
      </c>
      <c r="Y1515" s="722">
        <v>18.350000000000001</v>
      </c>
      <c r="Z1515" s="382" t="s">
        <v>934</v>
      </c>
      <c r="AA1515" s="372">
        <v>7850.4034166000001</v>
      </c>
      <c r="AB1515" s="372">
        <v>8929.2765400999997</v>
      </c>
      <c r="AC1515" s="372">
        <v>10846.0702282</v>
      </c>
      <c r="AD1515" s="372">
        <v>9201.7502248000001</v>
      </c>
      <c r="AE1515" s="372">
        <v>0</v>
      </c>
      <c r="AF1515" s="372">
        <v>0</v>
      </c>
      <c r="AG1515" s="372">
        <v>0</v>
      </c>
      <c r="AH1515" s="372">
        <v>0</v>
      </c>
    </row>
    <row r="1516" spans="1:34">
      <c r="A1516" s="372" t="s">
        <v>10149</v>
      </c>
      <c r="B1516" s="373" t="s">
        <v>10150</v>
      </c>
      <c r="C1516" s="372" t="s">
        <v>10151</v>
      </c>
      <c r="D1516" s="374">
        <v>1801110024496</v>
      </c>
      <c r="E1516" s="372" t="s">
        <v>10152</v>
      </c>
      <c r="F1516" s="375" t="s">
        <v>1881</v>
      </c>
      <c r="G1516" s="375" t="s">
        <v>1882</v>
      </c>
      <c r="H1516" s="375" t="s">
        <v>868</v>
      </c>
      <c r="I1516" s="375" t="s">
        <v>869</v>
      </c>
      <c r="J1516" s="375">
        <v>328952.03742000001</v>
      </c>
      <c r="K1516" s="375">
        <v>9343.7002599999996</v>
      </c>
      <c r="L1516" s="375">
        <v>7157.7066999999997</v>
      </c>
      <c r="M1516" s="375">
        <v>117319.84377000001</v>
      </c>
      <c r="N1516" s="372">
        <v>1.2589999999999999</v>
      </c>
      <c r="O1516" s="703">
        <v>85.039560614498583</v>
      </c>
      <c r="P1516" s="375" t="s">
        <v>623</v>
      </c>
      <c r="Q1516" s="372" t="s">
        <v>623</v>
      </c>
      <c r="R1516" s="695">
        <v>19931222</v>
      </c>
      <c r="S1516" s="372" t="s">
        <v>10153</v>
      </c>
      <c r="T1516" s="696">
        <v>0.20900000000000002</v>
      </c>
      <c r="U1516" s="372" t="s">
        <v>10154</v>
      </c>
      <c r="V1516" s="722">
        <v>7.01</v>
      </c>
      <c r="W1516" s="722">
        <v>0.85</v>
      </c>
      <c r="X1516" s="722">
        <v>0.3</v>
      </c>
      <c r="Y1516" s="722">
        <v>15.71</v>
      </c>
      <c r="Z1516" s="382" t="s">
        <v>934</v>
      </c>
      <c r="AA1516" s="372">
        <v>2155.8849845999998</v>
      </c>
      <c r="AB1516" s="372">
        <v>2467.0238411</v>
      </c>
      <c r="AC1516" s="372">
        <v>2840.7890075999999</v>
      </c>
      <c r="AD1516" s="372">
        <v>3289.5203741999999</v>
      </c>
      <c r="AE1516" s="372">
        <v>0</v>
      </c>
      <c r="AF1516" s="372">
        <v>0</v>
      </c>
      <c r="AG1516" s="372">
        <v>0</v>
      </c>
      <c r="AH1516" s="372">
        <v>0</v>
      </c>
    </row>
    <row r="1517" spans="1:34">
      <c r="A1517" s="372" t="s">
        <v>10155</v>
      </c>
      <c r="B1517" s="373" t="s">
        <v>10156</v>
      </c>
      <c r="C1517" s="372" t="s">
        <v>10157</v>
      </c>
      <c r="D1517" s="374">
        <v>1101112139776</v>
      </c>
      <c r="E1517" s="372" t="s">
        <v>10158</v>
      </c>
      <c r="F1517" s="372" t="s">
        <v>1381</v>
      </c>
      <c r="G1517" s="375" t="s">
        <v>1381</v>
      </c>
      <c r="H1517" s="375" t="s">
        <v>1693</v>
      </c>
      <c r="I1517" s="375" t="s">
        <v>869</v>
      </c>
      <c r="J1517" s="375">
        <v>83127.054170000003</v>
      </c>
      <c r="K1517" s="375">
        <v>3669.7845499999999</v>
      </c>
      <c r="L1517" s="375">
        <v>4926.01505</v>
      </c>
      <c r="M1517" s="375">
        <v>49810.831359999996</v>
      </c>
      <c r="N1517" s="372">
        <v>1.2290000000000001</v>
      </c>
      <c r="O1517" s="703">
        <v>3.7999199228117444</v>
      </c>
      <c r="P1517" s="375" t="s">
        <v>623</v>
      </c>
      <c r="Q1517" s="375" t="s">
        <v>623</v>
      </c>
      <c r="R1517" s="695">
        <v>20210129</v>
      </c>
      <c r="S1517" s="375" t="s">
        <v>10159</v>
      </c>
      <c r="T1517" s="696">
        <v>0.20900000000000002</v>
      </c>
      <c r="U1517" s="372" t="s">
        <v>10160</v>
      </c>
      <c r="V1517" s="722">
        <v>21.9</v>
      </c>
      <c r="W1517" s="722">
        <v>2.36</v>
      </c>
      <c r="X1517" s="722">
        <v>1.43</v>
      </c>
      <c r="Y1517" s="722">
        <v>26.73</v>
      </c>
      <c r="Z1517" s="382" t="s">
        <v>934</v>
      </c>
      <c r="AA1517" s="372">
        <v>597.51677119999999</v>
      </c>
      <c r="AB1517" s="372">
        <v>947.87590929999999</v>
      </c>
      <c r="AC1517" s="372">
        <v>901.02336019999996</v>
      </c>
      <c r="AD1517" s="372">
        <v>831.27054169999997</v>
      </c>
      <c r="AE1517" s="372">
        <v>0</v>
      </c>
      <c r="AF1517" s="372">
        <v>0</v>
      </c>
      <c r="AG1517" s="372">
        <v>0</v>
      </c>
      <c r="AH1517" s="372">
        <v>0</v>
      </c>
    </row>
    <row r="1518" spans="1:34">
      <c r="A1518" s="372" t="s">
        <v>10161</v>
      </c>
      <c r="B1518" s="373" t="s">
        <v>10162</v>
      </c>
      <c r="C1518" s="372" t="s">
        <v>10163</v>
      </c>
      <c r="D1518" s="374">
        <v>1101115059773</v>
      </c>
      <c r="E1518" s="372" t="s">
        <v>10164</v>
      </c>
      <c r="F1518" s="375" t="s">
        <v>3708</v>
      </c>
      <c r="G1518" s="375" t="s">
        <v>3708</v>
      </c>
      <c r="H1518" s="375" t="s">
        <v>868</v>
      </c>
      <c r="I1518" s="375" t="s">
        <v>869</v>
      </c>
      <c r="J1518" s="375">
        <v>0</v>
      </c>
      <c r="K1518" s="375">
        <v>-20084.44656</v>
      </c>
      <c r="L1518" s="375">
        <v>-17875.427070000002</v>
      </c>
      <c r="M1518" s="375">
        <v>71489.172829999996</v>
      </c>
      <c r="N1518" s="372">
        <v>1.091</v>
      </c>
      <c r="O1518" s="703">
        <v>8.115147371972169</v>
      </c>
      <c r="P1518" s="375" t="s">
        <v>623</v>
      </c>
      <c r="Q1518" s="372" t="s">
        <v>623</v>
      </c>
      <c r="R1518" s="695">
        <v>20210825</v>
      </c>
      <c r="S1518" s="372" t="s">
        <v>10165</v>
      </c>
      <c r="T1518" s="696" t="s">
        <v>772</v>
      </c>
      <c r="U1518" s="372" t="s">
        <v>10166</v>
      </c>
      <c r="V1518" s="722" t="s">
        <v>774</v>
      </c>
      <c r="W1518" s="722">
        <v>1.57</v>
      </c>
      <c r="X1518" s="722">
        <v>0</v>
      </c>
      <c r="Y1518" s="722" t="s">
        <v>774</v>
      </c>
      <c r="Z1518" s="382" t="s">
        <v>774</v>
      </c>
      <c r="AA1518" s="372">
        <v>0</v>
      </c>
      <c r="AB1518" s="372">
        <v>0</v>
      </c>
      <c r="AC1518" s="372">
        <v>0</v>
      </c>
      <c r="AD1518" s="372">
        <v>0</v>
      </c>
      <c r="AE1518" s="372">
        <v>0</v>
      </c>
      <c r="AF1518" s="372">
        <v>0</v>
      </c>
      <c r="AG1518" s="372">
        <v>0</v>
      </c>
      <c r="AH1518" s="372">
        <v>0</v>
      </c>
    </row>
    <row r="1519" spans="1:34">
      <c r="A1519" s="372" t="s">
        <v>10167</v>
      </c>
      <c r="B1519" s="373" t="s">
        <v>10168</v>
      </c>
      <c r="C1519" s="372" t="s">
        <v>10169</v>
      </c>
      <c r="D1519" s="374">
        <v>1101115300647</v>
      </c>
      <c r="E1519" s="372" t="s">
        <v>10170</v>
      </c>
      <c r="F1519" s="375" t="s">
        <v>1814</v>
      </c>
      <c r="G1519" s="375" t="s">
        <v>2821</v>
      </c>
      <c r="H1519" s="375" t="s">
        <v>1693</v>
      </c>
      <c r="I1519" s="375" t="s">
        <v>869</v>
      </c>
      <c r="J1519" s="375">
        <v>47101.229229999997</v>
      </c>
      <c r="K1519" s="375">
        <v>4264.0600199999999</v>
      </c>
      <c r="L1519" s="375">
        <v>5016.3762200000001</v>
      </c>
      <c r="M1519" s="375">
        <v>108670.7795</v>
      </c>
      <c r="N1519" s="372">
        <v>1.0109999999999999</v>
      </c>
      <c r="O1519" s="703">
        <v>67.847256588640789</v>
      </c>
      <c r="P1519" s="375" t="s">
        <v>623</v>
      </c>
      <c r="Q1519" s="375" t="s">
        <v>623</v>
      </c>
      <c r="R1519" s="695">
        <v>20140428</v>
      </c>
      <c r="S1519" s="375">
        <v>0</v>
      </c>
      <c r="T1519" s="696">
        <v>0.20900000000000002</v>
      </c>
      <c r="U1519" s="372" t="s">
        <v>10171</v>
      </c>
      <c r="V1519" s="722">
        <v>18.53</v>
      </c>
      <c r="W1519" s="722">
        <v>1.02</v>
      </c>
      <c r="X1519" s="722">
        <v>1.94</v>
      </c>
      <c r="Y1519" s="722">
        <v>20.03</v>
      </c>
      <c r="Z1519" s="382" t="s">
        <v>934</v>
      </c>
      <c r="AA1519" s="372">
        <v>353.10173120000002</v>
      </c>
      <c r="AB1519" s="372">
        <v>372.80494720000002</v>
      </c>
      <c r="AC1519" s="372">
        <v>431.8702394</v>
      </c>
      <c r="AD1519" s="372">
        <v>471.01229230000001</v>
      </c>
      <c r="AE1519" s="372">
        <v>0</v>
      </c>
      <c r="AF1519" s="372">
        <v>0</v>
      </c>
      <c r="AG1519" s="372">
        <v>0</v>
      </c>
      <c r="AH1519" s="372">
        <v>0</v>
      </c>
    </row>
    <row r="1520" spans="1:34">
      <c r="A1520" s="372" t="s">
        <v>10172</v>
      </c>
      <c r="B1520" s="373" t="s">
        <v>10173</v>
      </c>
      <c r="C1520" s="372" t="s">
        <v>10174</v>
      </c>
      <c r="D1520" s="374">
        <v>1101110035108</v>
      </c>
      <c r="E1520" s="372" t="s">
        <v>10175</v>
      </c>
      <c r="F1520" s="372" t="s">
        <v>10176</v>
      </c>
      <c r="G1520" s="375" t="s">
        <v>10176</v>
      </c>
      <c r="H1520" s="375" t="s">
        <v>1555</v>
      </c>
      <c r="I1520" s="375" t="s">
        <v>755</v>
      </c>
      <c r="J1520" s="375">
        <v>131921.58465</v>
      </c>
      <c r="K1520" s="375">
        <v>-4119.4872100000002</v>
      </c>
      <c r="L1520" s="375">
        <v>-3584.20298</v>
      </c>
      <c r="M1520" s="375">
        <v>193665.94034999999</v>
      </c>
      <c r="N1520" s="372">
        <v>0.98799999999999999</v>
      </c>
      <c r="O1520" s="703">
        <v>27.674821918198177</v>
      </c>
      <c r="P1520" s="375" t="s">
        <v>623</v>
      </c>
      <c r="Q1520" s="372" t="s">
        <v>623</v>
      </c>
      <c r="R1520" s="695">
        <v>19890530</v>
      </c>
      <c r="S1520" s="372" t="s">
        <v>10177</v>
      </c>
      <c r="T1520" s="696" t="s">
        <v>772</v>
      </c>
      <c r="U1520" s="372" t="s">
        <v>10178</v>
      </c>
      <c r="V1520" s="722">
        <v>174.2</v>
      </c>
      <c r="W1520" s="722">
        <v>0.44</v>
      </c>
      <c r="X1520" s="722">
        <v>0.68</v>
      </c>
      <c r="Y1520" s="722" t="s">
        <v>774</v>
      </c>
      <c r="Z1520" s="382" t="s">
        <v>934</v>
      </c>
      <c r="AA1520" s="372">
        <v>1165.4695658999999</v>
      </c>
      <c r="AB1520" s="372">
        <v>1309.7316013</v>
      </c>
      <c r="AC1520" s="372">
        <v>1557.6817344999999</v>
      </c>
      <c r="AD1520" s="372">
        <v>1319.2158465</v>
      </c>
      <c r="AE1520" s="372">
        <v>0</v>
      </c>
      <c r="AF1520" s="372">
        <v>0</v>
      </c>
      <c r="AG1520" s="372">
        <v>0</v>
      </c>
      <c r="AH1520" s="372">
        <v>0</v>
      </c>
    </row>
    <row r="1521" spans="1:34">
      <c r="A1521" s="372" t="s">
        <v>10179</v>
      </c>
      <c r="B1521" s="373" t="s">
        <v>10180</v>
      </c>
      <c r="C1521" s="372" t="s">
        <v>10181</v>
      </c>
      <c r="D1521" s="374">
        <v>1101111347940</v>
      </c>
      <c r="E1521" s="372" t="s">
        <v>10182</v>
      </c>
      <c r="F1521" s="375" t="s">
        <v>2282</v>
      </c>
      <c r="G1521" s="375" t="s">
        <v>2282</v>
      </c>
      <c r="H1521" s="375" t="s">
        <v>4894</v>
      </c>
      <c r="I1521" s="375" t="s">
        <v>869</v>
      </c>
      <c r="J1521" s="375">
        <v>50169.908990000004</v>
      </c>
      <c r="K1521" s="375">
        <v>881.11100999999996</v>
      </c>
      <c r="L1521" s="375">
        <v>8075.3330400000004</v>
      </c>
      <c r="M1521" s="375">
        <v>72299.188420000006</v>
      </c>
      <c r="N1521" s="372" t="s">
        <v>1033</v>
      </c>
      <c r="O1521" s="703">
        <v>2.4221191573272476</v>
      </c>
      <c r="P1521" s="375" t="s">
        <v>623</v>
      </c>
      <c r="Q1521" s="372" t="s">
        <v>623</v>
      </c>
      <c r="R1521" s="695">
        <v>20020102</v>
      </c>
      <c r="S1521" s="372" t="s">
        <v>10183</v>
      </c>
      <c r="T1521" s="696">
        <v>0.20900000000000002</v>
      </c>
      <c r="U1521" s="375" t="s">
        <v>10184</v>
      </c>
      <c r="V1521" s="722">
        <v>0</v>
      </c>
      <c r="W1521" s="722">
        <v>1.26</v>
      </c>
      <c r="X1521" s="722">
        <v>0</v>
      </c>
      <c r="Y1521" s="722">
        <v>0</v>
      </c>
      <c r="Z1521" s="382" t="s">
        <v>934</v>
      </c>
      <c r="AA1521" s="372">
        <v>8.9692266000000007</v>
      </c>
      <c r="AB1521" s="372">
        <v>386.25451420000002</v>
      </c>
      <c r="AC1521" s="372">
        <v>320.80799480000002</v>
      </c>
      <c r="AD1521" s="372">
        <v>501.69908989999999</v>
      </c>
      <c r="AE1521" s="372">
        <v>0</v>
      </c>
      <c r="AF1521" s="372">
        <v>0</v>
      </c>
      <c r="AG1521" s="372">
        <v>0</v>
      </c>
      <c r="AH1521" s="372">
        <v>0</v>
      </c>
    </row>
    <row r="1522" spans="1:34">
      <c r="A1522" s="372" t="s">
        <v>10185</v>
      </c>
      <c r="B1522" s="373" t="s">
        <v>10186</v>
      </c>
      <c r="C1522" s="372" t="s">
        <v>10187</v>
      </c>
      <c r="D1522" s="374">
        <v>1201110233338</v>
      </c>
      <c r="E1522" s="372" t="s">
        <v>10188</v>
      </c>
      <c r="F1522" s="375" t="s">
        <v>3266</v>
      </c>
      <c r="G1522" s="375" t="s">
        <v>3266</v>
      </c>
      <c r="H1522" s="375" t="s">
        <v>1388</v>
      </c>
      <c r="I1522" s="375" t="s">
        <v>869</v>
      </c>
      <c r="J1522" s="375">
        <v>40760.860090000002</v>
      </c>
      <c r="K1522" s="375">
        <v>-8467.7029899999998</v>
      </c>
      <c r="L1522" s="375">
        <v>-3969.1100299999998</v>
      </c>
      <c r="M1522" s="375">
        <v>186163.87716999999</v>
      </c>
      <c r="N1522" s="372">
        <v>0.996</v>
      </c>
      <c r="O1522" s="703">
        <v>1.743118146985136</v>
      </c>
      <c r="P1522" s="375" t="s">
        <v>623</v>
      </c>
      <c r="Q1522" s="375" t="s">
        <v>623</v>
      </c>
      <c r="R1522" s="695">
        <v>20171206</v>
      </c>
      <c r="S1522" s="372" t="s">
        <v>10189</v>
      </c>
      <c r="T1522" s="696" t="s">
        <v>772</v>
      </c>
      <c r="U1522" s="372" t="s">
        <v>10190</v>
      </c>
      <c r="V1522" s="722" t="s">
        <v>774</v>
      </c>
      <c r="W1522" s="722">
        <v>0.48</v>
      </c>
      <c r="X1522" s="722">
        <v>2.2400000000000002</v>
      </c>
      <c r="Y1522" s="722" t="s">
        <v>774</v>
      </c>
      <c r="Z1522" s="382" t="s">
        <v>934</v>
      </c>
      <c r="AA1522" s="372">
        <v>727.41604970000003</v>
      </c>
      <c r="AB1522" s="372">
        <v>490.32633509999999</v>
      </c>
      <c r="AC1522" s="372">
        <v>539.90901169999995</v>
      </c>
      <c r="AD1522" s="372">
        <v>407.6086009</v>
      </c>
      <c r="AE1522" s="372">
        <v>0</v>
      </c>
      <c r="AF1522" s="372">
        <v>0</v>
      </c>
      <c r="AG1522" s="372">
        <v>0</v>
      </c>
      <c r="AH1522" s="372">
        <v>0</v>
      </c>
    </row>
    <row r="1523" spans="1:34">
      <c r="A1523" s="372" t="s">
        <v>10191</v>
      </c>
      <c r="B1523" s="373" t="s">
        <v>10192</v>
      </c>
      <c r="C1523" s="372" t="s">
        <v>10193</v>
      </c>
      <c r="D1523" s="374">
        <v>1348110073536</v>
      </c>
      <c r="E1523" s="372" t="s">
        <v>10194</v>
      </c>
      <c r="F1523" s="375" t="s">
        <v>1768</v>
      </c>
      <c r="G1523" s="375" t="s">
        <v>1768</v>
      </c>
      <c r="H1523" s="375" t="s">
        <v>868</v>
      </c>
      <c r="I1523" s="375" t="s">
        <v>869</v>
      </c>
      <c r="J1523" s="375">
        <v>10839.85461</v>
      </c>
      <c r="K1523" s="375">
        <v>880.25184999999999</v>
      </c>
      <c r="L1523" s="375">
        <v>590.68596000000002</v>
      </c>
      <c r="M1523" s="375">
        <v>8716.5689199999997</v>
      </c>
      <c r="N1523" s="372">
        <v>1.278</v>
      </c>
      <c r="O1523" s="703">
        <v>9.2938378833979272</v>
      </c>
      <c r="P1523" s="375" t="s">
        <v>623</v>
      </c>
      <c r="Q1523" s="372" t="s">
        <v>623</v>
      </c>
      <c r="R1523" s="695">
        <v>20190605</v>
      </c>
      <c r="S1523" s="375" t="s">
        <v>10195</v>
      </c>
      <c r="T1523" s="696">
        <v>0.20900000000000002</v>
      </c>
      <c r="U1523" s="375" t="s">
        <v>10196</v>
      </c>
      <c r="V1523" s="722">
        <v>0</v>
      </c>
      <c r="W1523" s="722">
        <v>12.83</v>
      </c>
      <c r="X1523" s="722">
        <v>0</v>
      </c>
      <c r="Y1523" s="722">
        <v>0</v>
      </c>
      <c r="Z1523" s="382" t="s">
        <v>934</v>
      </c>
      <c r="AA1523" s="372">
        <v>22.901868700000001</v>
      </c>
      <c r="AB1523" s="372">
        <v>43.046279699999999</v>
      </c>
      <c r="AC1523" s="372">
        <v>88.836988000000005</v>
      </c>
      <c r="AD1523" s="372">
        <v>108.3985461</v>
      </c>
      <c r="AE1523" s="372">
        <v>0</v>
      </c>
      <c r="AF1523" s="372">
        <v>0</v>
      </c>
      <c r="AG1523" s="372">
        <v>0</v>
      </c>
      <c r="AH1523" s="372">
        <v>0</v>
      </c>
    </row>
    <row r="1524" spans="1:34">
      <c r="A1524" s="372" t="s">
        <v>10197</v>
      </c>
      <c r="B1524" s="373" t="s">
        <v>10198</v>
      </c>
      <c r="C1524" s="372" t="s">
        <v>10199</v>
      </c>
      <c r="D1524" s="374">
        <v>1345110059459</v>
      </c>
      <c r="E1524" s="372" t="s">
        <v>10200</v>
      </c>
      <c r="F1524" s="375" t="s">
        <v>1195</v>
      </c>
      <c r="G1524" s="375" t="s">
        <v>3144</v>
      </c>
      <c r="H1524" s="375" t="s">
        <v>868</v>
      </c>
      <c r="I1524" s="375" t="s">
        <v>869</v>
      </c>
      <c r="J1524" s="375">
        <v>38883.827389999999</v>
      </c>
      <c r="K1524" s="375">
        <v>2282.0696600000001</v>
      </c>
      <c r="L1524" s="375">
        <v>1721.81898</v>
      </c>
      <c r="M1524" s="375">
        <v>65150.598989999999</v>
      </c>
      <c r="N1524" s="372">
        <v>1.3520000000000001</v>
      </c>
      <c r="O1524" s="703">
        <v>18.978804231552704</v>
      </c>
      <c r="P1524" s="375" t="s">
        <v>623</v>
      </c>
      <c r="Q1524" s="372" t="s">
        <v>623</v>
      </c>
      <c r="R1524" s="695">
        <v>20170227</v>
      </c>
      <c r="S1524" s="372" t="s">
        <v>10201</v>
      </c>
      <c r="T1524" s="696">
        <v>0.20900000000000002</v>
      </c>
      <c r="U1524" s="372" t="s">
        <v>10202</v>
      </c>
      <c r="V1524" s="722">
        <v>17.93</v>
      </c>
      <c r="W1524" s="722">
        <v>1.41</v>
      </c>
      <c r="X1524" s="722">
        <v>2.4700000000000002</v>
      </c>
      <c r="Y1524" s="722">
        <v>54.75</v>
      </c>
      <c r="Z1524" s="382" t="s">
        <v>934</v>
      </c>
      <c r="AA1524" s="372">
        <v>919.09698690000005</v>
      </c>
      <c r="AB1524" s="372">
        <v>660.85794999999996</v>
      </c>
      <c r="AC1524" s="372">
        <v>676.42003550000004</v>
      </c>
      <c r="AD1524" s="372">
        <v>388.83827389999999</v>
      </c>
      <c r="AE1524" s="372">
        <v>1070</v>
      </c>
      <c r="AF1524" s="372">
        <v>0</v>
      </c>
      <c r="AG1524" s="372">
        <v>0</v>
      </c>
      <c r="AH1524" s="372">
        <v>0</v>
      </c>
    </row>
    <row r="1525" spans="1:34">
      <c r="A1525" s="372" t="s">
        <v>10203</v>
      </c>
      <c r="B1525" s="373" t="s">
        <v>10204</v>
      </c>
      <c r="C1525" s="372" t="s">
        <v>10205</v>
      </c>
      <c r="D1525" s="374">
        <v>1211110061910</v>
      </c>
      <c r="E1525" s="372" t="s">
        <v>10206</v>
      </c>
      <c r="F1525" s="375" t="s">
        <v>1195</v>
      </c>
      <c r="G1525" s="375" t="s">
        <v>1196</v>
      </c>
      <c r="H1525" s="375" t="s">
        <v>1388</v>
      </c>
      <c r="I1525" s="375" t="s">
        <v>869</v>
      </c>
      <c r="J1525" s="375">
        <v>47160.4588</v>
      </c>
      <c r="K1525" s="375">
        <v>2959.84195</v>
      </c>
      <c r="L1525" s="375">
        <v>5509.3854600000004</v>
      </c>
      <c r="M1525" s="375">
        <v>59789.991730000002</v>
      </c>
      <c r="N1525" s="372">
        <v>1.143</v>
      </c>
      <c r="O1525" s="703">
        <v>18.606112594221919</v>
      </c>
      <c r="P1525" s="375" t="s">
        <v>623</v>
      </c>
      <c r="Q1525" s="372" t="s">
        <v>623</v>
      </c>
      <c r="R1525" s="695">
        <v>20061027</v>
      </c>
      <c r="S1525" s="375" t="s">
        <v>10207</v>
      </c>
      <c r="T1525" s="696">
        <v>0.20900000000000002</v>
      </c>
      <c r="U1525" s="372" t="s">
        <v>10208</v>
      </c>
      <c r="V1525" s="722">
        <v>20.76</v>
      </c>
      <c r="W1525" s="722">
        <v>1.29</v>
      </c>
      <c r="X1525" s="722">
        <v>1.87</v>
      </c>
      <c r="Y1525" s="722">
        <v>16.059999999999999</v>
      </c>
      <c r="Z1525" s="382" t="s">
        <v>934</v>
      </c>
      <c r="AA1525" s="372">
        <v>446.08947030000002</v>
      </c>
      <c r="AB1525" s="372">
        <v>656.44973670000002</v>
      </c>
      <c r="AC1525" s="372">
        <v>818.58814170000005</v>
      </c>
      <c r="AD1525" s="372">
        <v>471.60458799999998</v>
      </c>
      <c r="AE1525" s="372">
        <v>701</v>
      </c>
      <c r="AF1525" s="372">
        <v>917</v>
      </c>
      <c r="AG1525" s="372">
        <v>0</v>
      </c>
      <c r="AH1525" s="372">
        <v>0</v>
      </c>
    </row>
    <row r="1526" spans="1:34">
      <c r="A1526" s="372" t="s">
        <v>10209</v>
      </c>
      <c r="B1526" s="373" t="s">
        <v>10210</v>
      </c>
      <c r="C1526" s="372" t="s">
        <v>10211</v>
      </c>
      <c r="D1526" s="374">
        <v>1845110021812</v>
      </c>
      <c r="E1526" s="372" t="s">
        <v>10212</v>
      </c>
      <c r="F1526" s="375" t="s">
        <v>10213</v>
      </c>
      <c r="G1526" s="375" t="s">
        <v>10214</v>
      </c>
      <c r="H1526" s="375" t="s">
        <v>868</v>
      </c>
      <c r="I1526" s="375" t="s">
        <v>869</v>
      </c>
      <c r="J1526" s="375">
        <v>414594.04730999999</v>
      </c>
      <c r="K1526" s="375">
        <v>24554.77434</v>
      </c>
      <c r="L1526" s="375">
        <v>27968.479029999999</v>
      </c>
      <c r="M1526" s="375">
        <v>155775.48256</v>
      </c>
      <c r="N1526" s="372">
        <v>0.748</v>
      </c>
      <c r="O1526" s="703">
        <v>31.332233505055918</v>
      </c>
      <c r="P1526" s="375" t="s">
        <v>623</v>
      </c>
      <c r="Q1526" s="375" t="s">
        <v>623</v>
      </c>
      <c r="R1526" s="695">
        <v>20031112</v>
      </c>
      <c r="S1526" s="375" t="s">
        <v>10215</v>
      </c>
      <c r="T1526" s="696">
        <v>0.23100000000000001</v>
      </c>
      <c r="U1526" s="372" t="s">
        <v>10216</v>
      </c>
      <c r="V1526" s="722">
        <v>2.93</v>
      </c>
      <c r="W1526" s="722">
        <v>0.57999999999999996</v>
      </c>
      <c r="X1526" s="722">
        <v>0.23</v>
      </c>
      <c r="Y1526" s="722">
        <v>4.49</v>
      </c>
      <c r="Z1526" s="382" t="s">
        <v>934</v>
      </c>
      <c r="AA1526" s="372">
        <v>3124.8550337000001</v>
      </c>
      <c r="AB1526" s="372">
        <v>3306.5477231</v>
      </c>
      <c r="AC1526" s="372">
        <v>4684.4851388999996</v>
      </c>
      <c r="AD1526" s="372">
        <v>4145.9404731000004</v>
      </c>
      <c r="AE1526" s="372">
        <v>3753</v>
      </c>
      <c r="AF1526" s="372">
        <v>0</v>
      </c>
      <c r="AG1526" s="372">
        <v>0</v>
      </c>
      <c r="AH1526" s="372">
        <v>0</v>
      </c>
    </row>
    <row r="1527" spans="1:34">
      <c r="A1527" s="372" t="s">
        <v>10217</v>
      </c>
      <c r="B1527" s="373" t="s">
        <v>10218</v>
      </c>
      <c r="C1527" s="372" t="s">
        <v>10219</v>
      </c>
      <c r="D1527" s="374">
        <v>1101115794478</v>
      </c>
      <c r="E1527" s="372" t="s">
        <v>10220</v>
      </c>
      <c r="F1527" s="375" t="s">
        <v>1368</v>
      </c>
      <c r="G1527" s="375" t="s">
        <v>1368</v>
      </c>
      <c r="H1527" s="375" t="s">
        <v>868</v>
      </c>
      <c r="I1527" s="375" t="s">
        <v>869</v>
      </c>
      <c r="J1527" s="375">
        <v>72910.268639999995</v>
      </c>
      <c r="K1527" s="375">
        <v>5875.3753500000003</v>
      </c>
      <c r="L1527" s="375">
        <v>696.40444000000002</v>
      </c>
      <c r="M1527" s="375">
        <v>39836.148820000002</v>
      </c>
      <c r="N1527" s="372">
        <v>0.76200000000000001</v>
      </c>
      <c r="O1527" s="703">
        <v>28.632421464257163</v>
      </c>
      <c r="P1527" s="375" t="s">
        <v>623</v>
      </c>
      <c r="Q1527" s="372" t="s">
        <v>623</v>
      </c>
      <c r="R1527" s="695">
        <v>20151105</v>
      </c>
      <c r="S1527" s="372" t="s">
        <v>9098</v>
      </c>
      <c r="T1527" s="696">
        <v>0.20900000000000002</v>
      </c>
      <c r="U1527" s="372" t="s">
        <v>10221</v>
      </c>
      <c r="V1527" s="722">
        <v>13.76</v>
      </c>
      <c r="W1527" s="722">
        <v>2.2599999999999998</v>
      </c>
      <c r="X1527" s="722">
        <v>1.0900000000000001</v>
      </c>
      <c r="Y1527" s="722" t="s">
        <v>774</v>
      </c>
      <c r="Z1527" s="382" t="s">
        <v>934</v>
      </c>
      <c r="AA1527" s="372">
        <v>360.46399630000002</v>
      </c>
      <c r="AB1527" s="372">
        <v>538.06095589999995</v>
      </c>
      <c r="AC1527" s="372">
        <v>607.20302219999996</v>
      </c>
      <c r="AD1527" s="372">
        <v>729.10268640000004</v>
      </c>
      <c r="AE1527" s="372">
        <v>1081.67</v>
      </c>
      <c r="AF1527" s="372">
        <v>1105</v>
      </c>
      <c r="AG1527" s="372">
        <v>0</v>
      </c>
      <c r="AH1527" s="372">
        <v>0</v>
      </c>
    </row>
    <row r="1528" spans="1:34">
      <c r="A1528" s="372" t="s">
        <v>10222</v>
      </c>
      <c r="B1528" s="373" t="s">
        <v>10223</v>
      </c>
      <c r="C1528" s="372" t="s">
        <v>10224</v>
      </c>
      <c r="D1528" s="374">
        <v>1101110550502</v>
      </c>
      <c r="E1528" s="372" t="s">
        <v>10225</v>
      </c>
      <c r="F1528" s="375" t="s">
        <v>2147</v>
      </c>
      <c r="G1528" s="375" t="s">
        <v>4273</v>
      </c>
      <c r="H1528" s="375" t="s">
        <v>868</v>
      </c>
      <c r="I1528" s="375" t="s">
        <v>869</v>
      </c>
      <c r="J1528" s="375">
        <v>26836.556519999998</v>
      </c>
      <c r="K1528" s="375">
        <v>-2229.1941299999999</v>
      </c>
      <c r="L1528" s="375">
        <v>-1204.5373199999999</v>
      </c>
      <c r="M1528" s="375">
        <v>53592.936320000001</v>
      </c>
      <c r="N1528" s="372">
        <v>1.151</v>
      </c>
      <c r="O1528" s="703">
        <v>0.36420357472179077</v>
      </c>
      <c r="P1528" s="375" t="s">
        <v>623</v>
      </c>
      <c r="Q1528" s="372" t="s">
        <v>623</v>
      </c>
      <c r="R1528" s="695">
        <v>20000811</v>
      </c>
      <c r="S1528" s="372" t="s">
        <v>10226</v>
      </c>
      <c r="T1528" s="696" t="s">
        <v>772</v>
      </c>
      <c r="U1528" s="372" t="s">
        <v>10227</v>
      </c>
      <c r="V1528" s="722">
        <v>312.58999999999997</v>
      </c>
      <c r="W1528" s="722">
        <v>1.86</v>
      </c>
      <c r="X1528" s="722">
        <v>3.72</v>
      </c>
      <c r="Y1528" s="722" t="s">
        <v>774</v>
      </c>
      <c r="Z1528" s="382" t="s">
        <v>934</v>
      </c>
      <c r="AA1528" s="372">
        <v>294.43386129999999</v>
      </c>
      <c r="AB1528" s="372">
        <v>357.8419791</v>
      </c>
      <c r="AC1528" s="372">
        <v>352.0066731</v>
      </c>
      <c r="AD1528" s="372">
        <v>268.36556519999999</v>
      </c>
      <c r="AE1528" s="372">
        <v>0</v>
      </c>
      <c r="AF1528" s="372">
        <v>0</v>
      </c>
      <c r="AG1528" s="372">
        <v>0</v>
      </c>
      <c r="AH1528" s="372">
        <v>0</v>
      </c>
    </row>
    <row r="1529" spans="1:34">
      <c r="A1529" s="372" t="s">
        <v>10228</v>
      </c>
      <c r="B1529" s="373" t="s">
        <v>10229</v>
      </c>
      <c r="C1529" s="372" t="s">
        <v>10230</v>
      </c>
      <c r="D1529" s="374">
        <v>2055110049363</v>
      </c>
      <c r="E1529" s="372" t="s">
        <v>10231</v>
      </c>
      <c r="F1529" s="375" t="s">
        <v>1814</v>
      </c>
      <c r="G1529" s="375" t="s">
        <v>1815</v>
      </c>
      <c r="H1529" s="375" t="s">
        <v>1693</v>
      </c>
      <c r="I1529" s="375" t="s">
        <v>869</v>
      </c>
      <c r="J1529" s="375">
        <v>0</v>
      </c>
      <c r="K1529" s="375">
        <v>0</v>
      </c>
      <c r="L1529" s="375">
        <v>0</v>
      </c>
      <c r="M1529" s="375">
        <v>44840.566800000001</v>
      </c>
      <c r="N1529" s="372" t="s">
        <v>1033</v>
      </c>
      <c r="O1529" s="703">
        <v>11.044683936764741</v>
      </c>
      <c r="P1529" s="375" t="s">
        <v>623</v>
      </c>
      <c r="Q1529" s="375" t="s">
        <v>623</v>
      </c>
      <c r="R1529" s="695">
        <v>20230726</v>
      </c>
      <c r="S1529" s="375" t="s">
        <v>10232</v>
      </c>
      <c r="T1529" s="696" t="s">
        <v>772</v>
      </c>
      <c r="U1529" s="372" t="s">
        <v>10233</v>
      </c>
      <c r="V1529" s="722">
        <v>0</v>
      </c>
      <c r="W1529" s="722">
        <v>2.25</v>
      </c>
      <c r="X1529" s="722">
        <v>0</v>
      </c>
      <c r="Y1529" s="722">
        <v>0</v>
      </c>
      <c r="Z1529" s="382" t="s">
        <v>934</v>
      </c>
      <c r="AA1529" s="372">
        <v>21.783449999999998</v>
      </c>
      <c r="AB1529" s="372">
        <v>35.688971600000002</v>
      </c>
      <c r="AC1529" s="372">
        <v>50.564939600000002</v>
      </c>
      <c r="AD1529" s="372">
        <v>65.019623699999997</v>
      </c>
      <c r="AE1529" s="372">
        <v>0</v>
      </c>
      <c r="AF1529" s="372">
        <v>0</v>
      </c>
      <c r="AG1529" s="372">
        <v>0</v>
      </c>
      <c r="AH1529" s="372">
        <v>0</v>
      </c>
    </row>
    <row r="1530" spans="1:34">
      <c r="A1530" s="372" t="s">
        <v>10234</v>
      </c>
      <c r="B1530" s="373" t="s">
        <v>10235</v>
      </c>
      <c r="C1530" s="372" t="s">
        <v>10236</v>
      </c>
      <c r="D1530" s="374">
        <v>1101111453648</v>
      </c>
      <c r="E1530" s="372" t="s">
        <v>10237</v>
      </c>
      <c r="F1530" s="375" t="s">
        <v>2147</v>
      </c>
      <c r="G1530" s="375" t="s">
        <v>4509</v>
      </c>
      <c r="H1530" s="375" t="s">
        <v>868</v>
      </c>
      <c r="I1530" s="375" t="s">
        <v>869</v>
      </c>
      <c r="J1530" s="375">
        <v>34968.54135</v>
      </c>
      <c r="K1530" s="375">
        <v>-1622.2559799999999</v>
      </c>
      <c r="L1530" s="375">
        <v>1386.50558</v>
      </c>
      <c r="M1530" s="375">
        <v>59899.715020000003</v>
      </c>
      <c r="N1530" s="372">
        <v>0.52900000000000003</v>
      </c>
      <c r="O1530" s="703">
        <v>3.9444421932595271</v>
      </c>
      <c r="P1530" s="375" t="s">
        <v>16142</v>
      </c>
      <c r="Q1530" s="375" t="s">
        <v>16145</v>
      </c>
      <c r="R1530" s="695">
        <v>20151112</v>
      </c>
      <c r="S1530" s="375" t="s">
        <v>10238</v>
      </c>
      <c r="T1530" s="696">
        <v>0.20900000000000002</v>
      </c>
      <c r="U1530" s="372" t="s">
        <v>16067</v>
      </c>
      <c r="V1530" s="722">
        <v>401.87</v>
      </c>
      <c r="W1530" s="722">
        <v>1.55</v>
      </c>
      <c r="X1530" s="722">
        <v>2.66</v>
      </c>
      <c r="Y1530" s="722">
        <v>57.14</v>
      </c>
      <c r="Z1530" s="382" t="s">
        <v>934</v>
      </c>
      <c r="AA1530" s="372">
        <v>277.75058660000002</v>
      </c>
      <c r="AB1530" s="372">
        <v>380.55373520000001</v>
      </c>
      <c r="AC1530" s="372">
        <v>411.68961919999998</v>
      </c>
      <c r="AD1530" s="372">
        <v>349.68541349999998</v>
      </c>
      <c r="AE1530" s="372">
        <v>0</v>
      </c>
      <c r="AF1530" s="372">
        <v>0</v>
      </c>
      <c r="AG1530" s="372">
        <v>0</v>
      </c>
      <c r="AH1530" s="372">
        <v>0</v>
      </c>
    </row>
    <row r="1531" spans="1:34">
      <c r="A1531" s="372" t="s">
        <v>10239</v>
      </c>
      <c r="B1531" s="373" t="s">
        <v>10240</v>
      </c>
      <c r="C1531" s="372" t="s">
        <v>10241</v>
      </c>
      <c r="D1531" s="374">
        <v>1101110775853</v>
      </c>
      <c r="E1531" s="372" t="s">
        <v>10242</v>
      </c>
      <c r="F1531" s="372" t="s">
        <v>3326</v>
      </c>
      <c r="G1531" s="375" t="s">
        <v>3326</v>
      </c>
      <c r="H1531" s="375" t="s">
        <v>3127</v>
      </c>
      <c r="I1531" s="375" t="s">
        <v>869</v>
      </c>
      <c r="J1531" s="375">
        <v>211562.47179000001</v>
      </c>
      <c r="K1531" s="375">
        <v>-5577.75702</v>
      </c>
      <c r="L1531" s="375">
        <v>-2325.0114100000001</v>
      </c>
      <c r="M1531" s="375">
        <v>109553.64001</v>
      </c>
      <c r="N1531" s="372">
        <v>0.83599999999999997</v>
      </c>
      <c r="O1531" s="703">
        <v>19.044199896473117</v>
      </c>
      <c r="P1531" s="375" t="s">
        <v>623</v>
      </c>
      <c r="Q1531" s="375" t="s">
        <v>623</v>
      </c>
      <c r="R1531" s="695">
        <v>19971110</v>
      </c>
      <c r="S1531" s="375" t="s">
        <v>10243</v>
      </c>
      <c r="T1531" s="696" t="s">
        <v>772</v>
      </c>
      <c r="U1531" s="375" t="s">
        <v>10244</v>
      </c>
      <c r="V1531" s="722" t="s">
        <v>774</v>
      </c>
      <c r="W1531" s="722">
        <v>0.88</v>
      </c>
      <c r="X1531" s="722">
        <v>0.44</v>
      </c>
      <c r="Y1531" s="722" t="s">
        <v>774</v>
      </c>
      <c r="Z1531" s="382" t="s">
        <v>934</v>
      </c>
      <c r="AA1531" s="372">
        <v>2397.8650892999999</v>
      </c>
      <c r="AB1531" s="372">
        <v>2654.3592113999998</v>
      </c>
      <c r="AC1531" s="372">
        <v>2005.6447235000001</v>
      </c>
      <c r="AD1531" s="372">
        <v>2115.6247179000002</v>
      </c>
      <c r="AE1531" s="372">
        <v>0</v>
      </c>
      <c r="AF1531" s="372">
        <v>0</v>
      </c>
      <c r="AG1531" s="372">
        <v>0</v>
      </c>
      <c r="AH1531" s="372">
        <v>0</v>
      </c>
    </row>
    <row r="1532" spans="1:34">
      <c r="A1532" s="372" t="s">
        <v>10245</v>
      </c>
      <c r="B1532" s="373" t="s">
        <v>10246</v>
      </c>
      <c r="C1532" s="372" t="s">
        <v>10247</v>
      </c>
      <c r="D1532" s="374">
        <v>1301110006270</v>
      </c>
      <c r="E1532" s="372" t="s">
        <v>10248</v>
      </c>
      <c r="F1532" s="375" t="s">
        <v>1774</v>
      </c>
      <c r="G1532" s="375" t="s">
        <v>6561</v>
      </c>
      <c r="H1532" s="375" t="s">
        <v>754</v>
      </c>
      <c r="I1532" s="375" t="s">
        <v>755</v>
      </c>
      <c r="J1532" s="375">
        <v>161220.12177999999</v>
      </c>
      <c r="K1532" s="375">
        <v>-2273.3340400000002</v>
      </c>
      <c r="L1532" s="375">
        <v>13018.028749999999</v>
      </c>
      <c r="M1532" s="375">
        <v>130789.19809000001</v>
      </c>
      <c r="N1532" s="372">
        <v>1.0609999999999999</v>
      </c>
      <c r="O1532" s="703">
        <v>6.6250313890483481</v>
      </c>
      <c r="P1532" s="375" t="s">
        <v>623</v>
      </c>
      <c r="Q1532" s="375" t="s">
        <v>623</v>
      </c>
      <c r="R1532" s="695">
        <v>19900914</v>
      </c>
      <c r="S1532" s="375" t="s">
        <v>10249</v>
      </c>
      <c r="T1532" s="696">
        <v>0.20900000000000002</v>
      </c>
      <c r="U1532" s="372" t="s">
        <v>10250</v>
      </c>
      <c r="V1532" s="722" t="s">
        <v>774</v>
      </c>
      <c r="W1532" s="722">
        <v>0.83</v>
      </c>
      <c r="X1532" s="722">
        <v>0.63</v>
      </c>
      <c r="Y1532" s="722">
        <v>10.039999999999999</v>
      </c>
      <c r="Z1532" s="382" t="s">
        <v>934</v>
      </c>
      <c r="AA1532" s="372">
        <v>1235.4832452000001</v>
      </c>
      <c r="AB1532" s="372">
        <v>1370.9277001999999</v>
      </c>
      <c r="AC1532" s="372">
        <v>1382.3935590999999</v>
      </c>
      <c r="AD1532" s="372">
        <v>1612.2012178</v>
      </c>
      <c r="AE1532" s="372">
        <v>0</v>
      </c>
      <c r="AF1532" s="372">
        <v>0</v>
      </c>
      <c r="AG1532" s="372">
        <v>0</v>
      </c>
      <c r="AH1532" s="372">
        <v>0</v>
      </c>
    </row>
    <row r="1533" spans="1:34">
      <c r="A1533" s="372" t="s">
        <v>10251</v>
      </c>
      <c r="B1533" s="373" t="s">
        <v>10252</v>
      </c>
      <c r="C1533" s="372" t="s">
        <v>10253</v>
      </c>
      <c r="D1533" s="374">
        <v>1101111647671</v>
      </c>
      <c r="E1533" s="372" t="s">
        <v>10254</v>
      </c>
      <c r="F1533" s="375" t="s">
        <v>982</v>
      </c>
      <c r="G1533" s="375" t="s">
        <v>983</v>
      </c>
      <c r="H1533" s="375" t="s">
        <v>1693</v>
      </c>
      <c r="I1533" s="375" t="s">
        <v>869</v>
      </c>
      <c r="J1533" s="375">
        <v>477140.53421000001</v>
      </c>
      <c r="K1533" s="375">
        <v>14463.11976</v>
      </c>
      <c r="L1533" s="375">
        <v>22483.268049999999</v>
      </c>
      <c r="M1533" s="375">
        <v>107842.56578999999</v>
      </c>
      <c r="N1533" s="372">
        <v>1.0289999999999999</v>
      </c>
      <c r="O1533" s="703">
        <v>25.174199957218136</v>
      </c>
      <c r="P1533" s="375" t="s">
        <v>623</v>
      </c>
      <c r="Q1533" s="372" t="s">
        <v>623</v>
      </c>
      <c r="R1533" s="695">
        <v>20000425</v>
      </c>
      <c r="S1533" s="372" t="s">
        <v>10255</v>
      </c>
      <c r="T1533" s="696">
        <v>0.23100000000000001</v>
      </c>
      <c r="U1533" s="372" t="s">
        <v>10256</v>
      </c>
      <c r="V1533" s="722">
        <v>5.75</v>
      </c>
      <c r="W1533" s="722">
        <v>0.91</v>
      </c>
      <c r="X1533" s="722">
        <v>0.2</v>
      </c>
      <c r="Y1533" s="722">
        <v>4.72</v>
      </c>
      <c r="Z1533" s="382" t="s">
        <v>934</v>
      </c>
      <c r="AA1533" s="372">
        <v>3208.9444656000001</v>
      </c>
      <c r="AB1533" s="372">
        <v>3212.2355883</v>
      </c>
      <c r="AC1533" s="372">
        <v>3894.9392403000002</v>
      </c>
      <c r="AD1533" s="372">
        <v>4771.4053420999999</v>
      </c>
      <c r="AE1533" s="372">
        <v>0</v>
      </c>
      <c r="AF1533" s="372">
        <v>0</v>
      </c>
      <c r="AG1533" s="372">
        <v>0</v>
      </c>
      <c r="AH1533" s="372">
        <v>0</v>
      </c>
    </row>
    <row r="1534" spans="1:34">
      <c r="A1534" s="372" t="s">
        <v>10257</v>
      </c>
      <c r="B1534" s="373" t="s">
        <v>10258</v>
      </c>
      <c r="C1534" s="372" t="s">
        <v>10259</v>
      </c>
      <c r="D1534" s="374">
        <v>1313110080427</v>
      </c>
      <c r="E1534" s="372" t="s">
        <v>10260</v>
      </c>
      <c r="F1534" s="375" t="s">
        <v>3326</v>
      </c>
      <c r="G1534" s="375" t="s">
        <v>3326</v>
      </c>
      <c r="H1534" s="375" t="s">
        <v>853</v>
      </c>
      <c r="I1534" s="375" t="s">
        <v>755</v>
      </c>
      <c r="J1534" s="375">
        <v>6240.8046299999996</v>
      </c>
      <c r="K1534" s="375">
        <v>-6207.1579199999996</v>
      </c>
      <c r="L1534" s="375">
        <v>19371.754099999998</v>
      </c>
      <c r="M1534" s="375">
        <v>148684.86949000001</v>
      </c>
      <c r="N1534" s="372">
        <v>1.62</v>
      </c>
      <c r="O1534" s="703">
        <v>0.63615561142675081</v>
      </c>
      <c r="P1534" s="375" t="s">
        <v>16142</v>
      </c>
      <c r="Q1534" s="375" t="s">
        <v>16145</v>
      </c>
      <c r="R1534" s="695">
        <v>20080402</v>
      </c>
      <c r="S1534" s="375" t="s">
        <v>10261</v>
      </c>
      <c r="T1534" s="696">
        <v>0.20900000000000002</v>
      </c>
      <c r="U1534" s="372" t="s">
        <v>10262</v>
      </c>
      <c r="V1534" s="722">
        <v>0</v>
      </c>
      <c r="W1534" s="722">
        <v>0.62</v>
      </c>
      <c r="X1534" s="722">
        <v>0</v>
      </c>
      <c r="Y1534" s="722">
        <v>0</v>
      </c>
      <c r="Z1534" s="382" t="s">
        <v>934</v>
      </c>
      <c r="AA1534" s="372">
        <v>102.17711610000001</v>
      </c>
      <c r="AB1534" s="372">
        <v>104.80817709999999</v>
      </c>
      <c r="AC1534" s="372">
        <v>104.19522000000001</v>
      </c>
      <c r="AD1534" s="372">
        <v>62.408046300000002</v>
      </c>
      <c r="AE1534" s="372">
        <v>0</v>
      </c>
      <c r="AF1534" s="372">
        <v>0</v>
      </c>
      <c r="AG1534" s="372">
        <v>0</v>
      </c>
      <c r="AH1534" s="372">
        <v>0</v>
      </c>
    </row>
    <row r="1535" spans="1:34">
      <c r="A1535" s="372" t="s">
        <v>10263</v>
      </c>
      <c r="B1535" s="373" t="s">
        <v>10264</v>
      </c>
      <c r="C1535" s="372" t="s">
        <v>10265</v>
      </c>
      <c r="D1535" s="374">
        <v>1348110018641</v>
      </c>
      <c r="E1535" s="372" t="s">
        <v>10266</v>
      </c>
      <c r="F1535" s="375" t="s">
        <v>900</v>
      </c>
      <c r="G1535" s="375" t="s">
        <v>901</v>
      </c>
      <c r="H1535" s="375" t="s">
        <v>862</v>
      </c>
      <c r="I1535" s="375" t="s">
        <v>755</v>
      </c>
      <c r="J1535" s="375">
        <v>628597.01922000002</v>
      </c>
      <c r="K1535" s="375">
        <v>20249.3505</v>
      </c>
      <c r="L1535" s="375">
        <v>10817.095300000001</v>
      </c>
      <c r="M1535" s="375">
        <v>252396.25925</v>
      </c>
      <c r="N1535" s="372">
        <v>0.79800000000000004</v>
      </c>
      <c r="O1535" s="703">
        <v>504.69196485152708</v>
      </c>
      <c r="P1535" s="375" t="s">
        <v>623</v>
      </c>
      <c r="Q1535" s="372" t="s">
        <v>623</v>
      </c>
      <c r="R1535" s="695">
        <v>20020205</v>
      </c>
      <c r="S1535" s="372" t="s">
        <v>10267</v>
      </c>
      <c r="T1535" s="696">
        <v>0.20900000000000002</v>
      </c>
      <c r="U1535" s="372" t="s">
        <v>10268</v>
      </c>
      <c r="V1535" s="722">
        <v>10.78</v>
      </c>
      <c r="W1535" s="722">
        <v>0.44</v>
      </c>
      <c r="X1535" s="722">
        <v>0.16</v>
      </c>
      <c r="Y1535" s="722">
        <v>11.27</v>
      </c>
      <c r="Z1535" s="382" t="s">
        <v>934</v>
      </c>
      <c r="AA1535" s="372">
        <v>5259.0430647000003</v>
      </c>
      <c r="AB1535" s="372">
        <v>5759.9820164000002</v>
      </c>
      <c r="AC1535" s="372">
        <v>6174.0377502000001</v>
      </c>
      <c r="AD1535" s="372">
        <v>6285.9701922000004</v>
      </c>
      <c r="AE1535" s="372">
        <v>0</v>
      </c>
      <c r="AF1535" s="372">
        <v>0</v>
      </c>
      <c r="AG1535" s="372">
        <v>0</v>
      </c>
      <c r="AH1535" s="372">
        <v>0</v>
      </c>
    </row>
    <row r="1536" spans="1:34">
      <c r="A1536" s="372" t="s">
        <v>10269</v>
      </c>
      <c r="B1536" s="373" t="s">
        <v>10270</v>
      </c>
      <c r="C1536" s="372" t="s">
        <v>10271</v>
      </c>
      <c r="D1536" s="374">
        <v>1201110144999</v>
      </c>
      <c r="E1536" s="372" t="s">
        <v>10272</v>
      </c>
      <c r="F1536" s="375" t="s">
        <v>852</v>
      </c>
      <c r="G1536" s="375" t="s">
        <v>852</v>
      </c>
      <c r="H1536" s="375" t="s">
        <v>3127</v>
      </c>
      <c r="I1536" s="375" t="s">
        <v>869</v>
      </c>
      <c r="J1536" s="375">
        <v>50347.819479999998</v>
      </c>
      <c r="K1536" s="375">
        <v>-9498.6902800000007</v>
      </c>
      <c r="L1536" s="375">
        <v>-11875.20304</v>
      </c>
      <c r="M1536" s="375">
        <v>21810.933260000002</v>
      </c>
      <c r="N1536" s="372">
        <v>0.747</v>
      </c>
      <c r="O1536" s="703">
        <v>19.036068783269304</v>
      </c>
      <c r="P1536" s="375" t="s">
        <v>623</v>
      </c>
      <c r="Q1536" s="372" t="s">
        <v>623</v>
      </c>
      <c r="R1536" s="695">
        <v>20050105</v>
      </c>
      <c r="S1536" s="372" t="s">
        <v>10273</v>
      </c>
      <c r="T1536" s="696" t="s">
        <v>772</v>
      </c>
      <c r="U1536" s="372" t="s">
        <v>10274</v>
      </c>
      <c r="V1536" s="722" t="s">
        <v>774</v>
      </c>
      <c r="W1536" s="722">
        <v>4.71</v>
      </c>
      <c r="X1536" s="722">
        <v>1.85</v>
      </c>
      <c r="Y1536" s="722" t="s">
        <v>774</v>
      </c>
      <c r="Z1536" s="382" t="s">
        <v>934</v>
      </c>
      <c r="AA1536" s="372">
        <v>852.6055503</v>
      </c>
      <c r="AB1536" s="372">
        <v>754.50508230000003</v>
      </c>
      <c r="AC1536" s="372">
        <v>666.83494880000001</v>
      </c>
      <c r="AD1536" s="372">
        <v>503.47819479999998</v>
      </c>
      <c r="AE1536" s="372">
        <v>0</v>
      </c>
      <c r="AF1536" s="372">
        <v>0</v>
      </c>
      <c r="AG1536" s="372">
        <v>0</v>
      </c>
      <c r="AH1536" s="372">
        <v>0</v>
      </c>
    </row>
    <row r="1537" spans="1:34">
      <c r="A1537" s="372" t="s">
        <v>10275</v>
      </c>
      <c r="B1537" s="373" t="s">
        <v>10276</v>
      </c>
      <c r="C1537" s="372" t="s">
        <v>10277</v>
      </c>
      <c r="D1537" s="374">
        <v>1201110001818</v>
      </c>
      <c r="E1537" s="372" t="s">
        <v>10278</v>
      </c>
      <c r="F1537" s="372" t="s">
        <v>10279</v>
      </c>
      <c r="G1537" s="375" t="s">
        <v>10280</v>
      </c>
      <c r="H1537" s="375" t="s">
        <v>975</v>
      </c>
      <c r="I1537" s="375" t="s">
        <v>755</v>
      </c>
      <c r="J1537" s="375">
        <v>247929.19884</v>
      </c>
      <c r="K1537" s="375">
        <v>6465.3554000000004</v>
      </c>
      <c r="L1537" s="375">
        <v>7193.3183499999996</v>
      </c>
      <c r="M1537" s="375">
        <v>262202.61313000001</v>
      </c>
      <c r="N1537" s="372">
        <v>0.81100000000000005</v>
      </c>
      <c r="O1537" s="703">
        <v>186.24296162360912</v>
      </c>
      <c r="P1537" s="375" t="s">
        <v>623</v>
      </c>
      <c r="Q1537" s="372" t="s">
        <v>623</v>
      </c>
      <c r="R1537" s="695">
        <v>19880930</v>
      </c>
      <c r="S1537" s="372" t="s">
        <v>10281</v>
      </c>
      <c r="T1537" s="696">
        <v>0.20900000000000002</v>
      </c>
      <c r="U1537" s="372" t="s">
        <v>10282</v>
      </c>
      <c r="V1537" s="722">
        <v>9.6300000000000008</v>
      </c>
      <c r="W1537" s="722">
        <v>0.35</v>
      </c>
      <c r="X1537" s="722">
        <v>0.4</v>
      </c>
      <c r="Y1537" s="722">
        <v>28.84</v>
      </c>
      <c r="Z1537" s="382" t="s">
        <v>934</v>
      </c>
      <c r="AA1537" s="372">
        <v>2478.5772014999998</v>
      </c>
      <c r="AB1537" s="372">
        <v>2954.2826782000002</v>
      </c>
      <c r="AC1537" s="372">
        <v>3256.9958738999999</v>
      </c>
      <c r="AD1537" s="372">
        <v>2479.2919883999998</v>
      </c>
      <c r="AE1537" s="372">
        <v>3781</v>
      </c>
      <c r="AF1537" s="372">
        <v>0</v>
      </c>
      <c r="AG1537" s="372">
        <v>0</v>
      </c>
      <c r="AH1537" s="372">
        <v>0</v>
      </c>
    </row>
    <row r="1538" spans="1:34">
      <c r="A1538" s="372" t="s">
        <v>10283</v>
      </c>
      <c r="B1538" s="373" t="s">
        <v>10284</v>
      </c>
      <c r="C1538" s="372" t="s">
        <v>10285</v>
      </c>
      <c r="D1538" s="374">
        <v>1101110414126</v>
      </c>
      <c r="E1538" s="372" t="s">
        <v>10286</v>
      </c>
      <c r="F1538" s="375" t="s">
        <v>10287</v>
      </c>
      <c r="G1538" s="375" t="s">
        <v>10287</v>
      </c>
      <c r="H1538" s="375" t="s">
        <v>823</v>
      </c>
      <c r="I1538" s="375" t="s">
        <v>755</v>
      </c>
      <c r="J1538" s="375">
        <v>892572.86291999999</v>
      </c>
      <c r="K1538" s="375">
        <v>15528.86133</v>
      </c>
      <c r="L1538" s="375">
        <v>8993.6699100000005</v>
      </c>
      <c r="M1538" s="375">
        <v>206973.16282</v>
      </c>
      <c r="N1538" s="372">
        <v>0.96399999999999997</v>
      </c>
      <c r="O1538" s="703">
        <v>68.083578018780116</v>
      </c>
      <c r="P1538" s="375" t="s">
        <v>623</v>
      </c>
      <c r="Q1538" s="372" t="s">
        <v>623</v>
      </c>
      <c r="R1538" s="695">
        <v>19970212</v>
      </c>
      <c r="S1538" s="372" t="s">
        <v>10288</v>
      </c>
      <c r="T1538" s="696">
        <v>0.20900000000000002</v>
      </c>
      <c r="U1538" s="372" t="s">
        <v>10289</v>
      </c>
      <c r="V1538" s="722">
        <v>5.96</v>
      </c>
      <c r="W1538" s="722">
        <v>0.59</v>
      </c>
      <c r="X1538" s="722">
        <v>0.1</v>
      </c>
      <c r="Y1538" s="722">
        <v>23.39</v>
      </c>
      <c r="Z1538" s="382" t="s">
        <v>934</v>
      </c>
      <c r="AA1538" s="372">
        <v>2386.3063713000001</v>
      </c>
      <c r="AB1538" s="372">
        <v>3825.0007005000002</v>
      </c>
      <c r="AC1538" s="372">
        <v>7098.4722186999998</v>
      </c>
      <c r="AD1538" s="372">
        <v>8925.7286292000008</v>
      </c>
      <c r="AE1538" s="372">
        <v>0</v>
      </c>
      <c r="AF1538" s="372">
        <v>0</v>
      </c>
      <c r="AG1538" s="372">
        <v>0</v>
      </c>
      <c r="AH1538" s="372">
        <v>0</v>
      </c>
    </row>
    <row r="1539" spans="1:34">
      <c r="A1539" s="372" t="s">
        <v>10290</v>
      </c>
      <c r="B1539" s="373" t="s">
        <v>10291</v>
      </c>
      <c r="C1539" s="372" t="s">
        <v>10292</v>
      </c>
      <c r="D1539" s="374">
        <v>1701110031881</v>
      </c>
      <c r="E1539" s="372" t="s">
        <v>10293</v>
      </c>
      <c r="F1539" s="375" t="s">
        <v>3924</v>
      </c>
      <c r="G1539" s="375" t="s">
        <v>7859</v>
      </c>
      <c r="H1539" s="375" t="s">
        <v>902</v>
      </c>
      <c r="I1539" s="375" t="s">
        <v>869</v>
      </c>
      <c r="J1539" s="375">
        <v>12363.26555</v>
      </c>
      <c r="K1539" s="375">
        <v>2052.5596599999999</v>
      </c>
      <c r="L1539" s="375">
        <v>2525.5857099999998</v>
      </c>
      <c r="M1539" s="375">
        <v>84933.427070000005</v>
      </c>
      <c r="N1539" s="372">
        <v>0.82799999999999996</v>
      </c>
      <c r="O1539" s="703">
        <v>0</v>
      </c>
      <c r="P1539" s="375" t="s">
        <v>623</v>
      </c>
      <c r="Q1539" s="372" t="s">
        <v>623</v>
      </c>
      <c r="R1539" s="695">
        <v>19991127</v>
      </c>
      <c r="S1539" s="372" t="s">
        <v>10294</v>
      </c>
      <c r="T1539" s="696">
        <v>0.20900000000000002</v>
      </c>
      <c r="U1539" s="372" t="s">
        <v>10295</v>
      </c>
      <c r="V1539" s="722">
        <v>0</v>
      </c>
      <c r="W1539" s="722">
        <v>1.18</v>
      </c>
      <c r="X1539" s="722">
        <v>0</v>
      </c>
      <c r="Y1539" s="722">
        <v>0</v>
      </c>
      <c r="Z1539" s="382" t="s">
        <v>934</v>
      </c>
      <c r="AA1539" s="372">
        <v>113.4215682</v>
      </c>
      <c r="AB1539" s="372">
        <v>218.7615145</v>
      </c>
      <c r="AC1539" s="372">
        <v>136.5685087</v>
      </c>
      <c r="AD1539" s="372">
        <v>123.6326555</v>
      </c>
      <c r="AE1539" s="372">
        <v>0</v>
      </c>
      <c r="AF1539" s="372">
        <v>0</v>
      </c>
      <c r="AG1539" s="372">
        <v>0</v>
      </c>
      <c r="AH1539" s="372">
        <v>0</v>
      </c>
    </row>
    <row r="1540" spans="1:34">
      <c r="A1540" s="372" t="s">
        <v>10296</v>
      </c>
      <c r="B1540" s="373" t="s">
        <v>10297</v>
      </c>
      <c r="C1540" s="372" t="s">
        <v>10298</v>
      </c>
      <c r="D1540" s="374">
        <v>1701110080458</v>
      </c>
      <c r="E1540" s="372" t="s">
        <v>10299</v>
      </c>
      <c r="F1540" s="375" t="s">
        <v>3721</v>
      </c>
      <c r="G1540" s="375" t="s">
        <v>3721</v>
      </c>
      <c r="H1540" s="375" t="s">
        <v>1950</v>
      </c>
      <c r="I1540" s="375" t="s">
        <v>869</v>
      </c>
      <c r="J1540" s="375">
        <v>43505.86896</v>
      </c>
      <c r="K1540" s="375">
        <v>4137.40218</v>
      </c>
      <c r="L1540" s="375">
        <v>7733.1413000000002</v>
      </c>
      <c r="M1540" s="375">
        <v>126363.35847000001</v>
      </c>
      <c r="N1540" s="372">
        <v>0.78400000000000003</v>
      </c>
      <c r="O1540" s="703">
        <v>0.48202019138032226</v>
      </c>
      <c r="P1540" s="375" t="s">
        <v>623</v>
      </c>
      <c r="Q1540" s="372" t="s">
        <v>623</v>
      </c>
      <c r="R1540" s="695">
        <v>20101129</v>
      </c>
      <c r="S1540" s="372" t="s">
        <v>10300</v>
      </c>
      <c r="T1540" s="696">
        <v>0.20900000000000002</v>
      </c>
      <c r="U1540" s="372" t="s">
        <v>10301</v>
      </c>
      <c r="V1540" s="722">
        <v>18.23</v>
      </c>
      <c r="W1540" s="722">
        <v>0.75</v>
      </c>
      <c r="X1540" s="722">
        <v>2.25</v>
      </c>
      <c r="Y1540" s="722">
        <v>15.82</v>
      </c>
      <c r="Z1540" s="382" t="s">
        <v>934</v>
      </c>
      <c r="AA1540" s="372">
        <v>352.91791910000001</v>
      </c>
      <c r="AB1540" s="372">
        <v>428.4254818</v>
      </c>
      <c r="AC1540" s="372">
        <v>424.8328722</v>
      </c>
      <c r="AD1540" s="372">
        <v>435.05868959999998</v>
      </c>
      <c r="AE1540" s="372">
        <v>0</v>
      </c>
      <c r="AF1540" s="372">
        <v>0</v>
      </c>
      <c r="AG1540" s="372">
        <v>0</v>
      </c>
      <c r="AH1540" s="372">
        <v>0</v>
      </c>
    </row>
    <row r="1541" spans="1:34">
      <c r="A1541" s="372" t="s">
        <v>10302</v>
      </c>
      <c r="B1541" s="373" t="s">
        <v>10303</v>
      </c>
      <c r="C1541" s="372" t="s">
        <v>10304</v>
      </c>
      <c r="D1541" s="374">
        <v>1101114778267</v>
      </c>
      <c r="E1541" s="372" t="s">
        <v>10305</v>
      </c>
      <c r="F1541" s="375" t="s">
        <v>3924</v>
      </c>
      <c r="G1541" s="375" t="s">
        <v>7859</v>
      </c>
      <c r="H1541" s="375" t="s">
        <v>902</v>
      </c>
      <c r="I1541" s="375" t="s">
        <v>869</v>
      </c>
      <c r="J1541" s="375">
        <v>33564.906110000004</v>
      </c>
      <c r="K1541" s="375">
        <v>17544.942080000001</v>
      </c>
      <c r="L1541" s="375">
        <v>17600.589090000001</v>
      </c>
      <c r="M1541" s="375">
        <v>106666.09163</v>
      </c>
      <c r="N1541" s="372">
        <v>0.84499999999999997</v>
      </c>
      <c r="O1541" s="703">
        <v>23.640957281998325</v>
      </c>
      <c r="P1541" s="375" t="s">
        <v>623</v>
      </c>
      <c r="Q1541" s="375" t="s">
        <v>623</v>
      </c>
      <c r="R1541" s="695">
        <v>20161219</v>
      </c>
      <c r="S1541" s="375" t="s">
        <v>10306</v>
      </c>
      <c r="T1541" s="696">
        <v>0.20900000000000002</v>
      </c>
      <c r="U1541" s="372" t="s">
        <v>10307</v>
      </c>
      <c r="V1541" s="722">
        <v>0</v>
      </c>
      <c r="W1541" s="722">
        <v>0.81</v>
      </c>
      <c r="X1541" s="722">
        <v>2.6</v>
      </c>
      <c r="Y1541" s="722">
        <v>5.98</v>
      </c>
      <c r="Z1541" s="382" t="s">
        <v>934</v>
      </c>
      <c r="AA1541" s="372">
        <v>387.4298594</v>
      </c>
      <c r="AB1541" s="372">
        <v>308.6932339</v>
      </c>
      <c r="AC1541" s="372">
        <v>337.75348320000001</v>
      </c>
      <c r="AD1541" s="372">
        <v>335.64906109999998</v>
      </c>
      <c r="AE1541" s="372">
        <v>0</v>
      </c>
      <c r="AF1541" s="372">
        <v>0</v>
      </c>
      <c r="AG1541" s="372">
        <v>0</v>
      </c>
      <c r="AH1541" s="372">
        <v>0</v>
      </c>
    </row>
    <row r="1542" spans="1:34">
      <c r="A1542" s="372" t="s">
        <v>10308</v>
      </c>
      <c r="B1542" s="373" t="s">
        <v>10309</v>
      </c>
      <c r="C1542" s="372" t="s">
        <v>10310</v>
      </c>
      <c r="D1542" s="374">
        <v>1311110405166</v>
      </c>
      <c r="E1542" s="372" t="s">
        <v>10311</v>
      </c>
      <c r="F1542" s="375" t="s">
        <v>1814</v>
      </c>
      <c r="G1542" s="375" t="s">
        <v>2821</v>
      </c>
      <c r="H1542" s="375" t="s">
        <v>1693</v>
      </c>
      <c r="I1542" s="375" t="s">
        <v>869</v>
      </c>
      <c r="J1542" s="375">
        <v>39668.183089999999</v>
      </c>
      <c r="K1542" s="375">
        <v>1573.38939</v>
      </c>
      <c r="L1542" s="375">
        <v>1846.84548</v>
      </c>
      <c r="M1542" s="375">
        <v>34824.150150000001</v>
      </c>
      <c r="N1542" s="372">
        <v>1.008</v>
      </c>
      <c r="O1542" s="703">
        <v>7.3018201252119486</v>
      </c>
      <c r="P1542" s="375" t="s">
        <v>623</v>
      </c>
      <c r="Q1542" s="375" t="s">
        <v>623</v>
      </c>
      <c r="R1542" s="695">
        <v>20210811</v>
      </c>
      <c r="S1542" s="375" t="s">
        <v>10312</v>
      </c>
      <c r="T1542" s="696">
        <v>0.20900000000000002</v>
      </c>
      <c r="U1542" s="372" t="s">
        <v>16068</v>
      </c>
      <c r="V1542" s="722">
        <v>31.72</v>
      </c>
      <c r="W1542" s="722">
        <v>2.2799999999999998</v>
      </c>
      <c r="X1542" s="722">
        <v>2.57</v>
      </c>
      <c r="Y1542" s="722">
        <v>72.7</v>
      </c>
      <c r="Z1542" s="382" t="s">
        <v>934</v>
      </c>
      <c r="AA1542" s="372">
        <v>146.9609313</v>
      </c>
      <c r="AB1542" s="372">
        <v>316.99211600000001</v>
      </c>
      <c r="AC1542" s="372">
        <v>502.91114349999998</v>
      </c>
      <c r="AD1542" s="372">
        <v>396.68183090000002</v>
      </c>
      <c r="AE1542" s="372">
        <v>724</v>
      </c>
      <c r="AF1542" s="372">
        <v>879</v>
      </c>
      <c r="AG1542" s="372">
        <v>0</v>
      </c>
      <c r="AH1542" s="372">
        <v>0</v>
      </c>
    </row>
    <row r="1543" spans="1:34">
      <c r="A1543" s="372" t="s">
        <v>10313</v>
      </c>
      <c r="B1543" s="373" t="s">
        <v>10314</v>
      </c>
      <c r="C1543" s="372" t="s">
        <v>10315</v>
      </c>
      <c r="D1543" s="374">
        <v>1101110027353</v>
      </c>
      <c r="E1543" s="372" t="s">
        <v>10316</v>
      </c>
      <c r="F1543" s="375" t="s">
        <v>1334</v>
      </c>
      <c r="G1543" s="375" t="s">
        <v>1334</v>
      </c>
      <c r="H1543" s="375" t="s">
        <v>868</v>
      </c>
      <c r="I1543" s="375" t="s">
        <v>869</v>
      </c>
      <c r="J1543" s="375">
        <v>102585.57621</v>
      </c>
      <c r="K1543" s="375">
        <v>6003.8463099999999</v>
      </c>
      <c r="L1543" s="375">
        <v>3994.58853</v>
      </c>
      <c r="M1543" s="375">
        <v>62090.423779999997</v>
      </c>
      <c r="N1543" s="372">
        <v>0.67200000000000004</v>
      </c>
      <c r="O1543" s="703">
        <v>53.339097710568659</v>
      </c>
      <c r="P1543" s="375" t="s">
        <v>623</v>
      </c>
      <c r="Q1543" s="372" t="s">
        <v>623</v>
      </c>
      <c r="R1543" s="695">
        <v>20170228</v>
      </c>
      <c r="S1543" s="372" t="s">
        <v>10317</v>
      </c>
      <c r="T1543" s="696">
        <v>0.20900000000000002</v>
      </c>
      <c r="U1543" s="372" t="s">
        <v>10318</v>
      </c>
      <c r="V1543" s="722">
        <v>13.94</v>
      </c>
      <c r="W1543" s="722">
        <v>1.52</v>
      </c>
      <c r="X1543" s="722">
        <v>0.92</v>
      </c>
      <c r="Y1543" s="722">
        <v>20.23</v>
      </c>
      <c r="Z1543" s="382" t="s">
        <v>934</v>
      </c>
      <c r="AA1543" s="372">
        <v>671.28841179999995</v>
      </c>
      <c r="AB1543" s="372">
        <v>740.07577819999995</v>
      </c>
      <c r="AC1543" s="372">
        <v>919.25822960000005</v>
      </c>
      <c r="AD1543" s="372">
        <v>1025.8557621</v>
      </c>
      <c r="AE1543" s="372">
        <v>0</v>
      </c>
      <c r="AF1543" s="372">
        <v>0</v>
      </c>
      <c r="AG1543" s="372">
        <v>0</v>
      </c>
      <c r="AH1543" s="372">
        <v>0</v>
      </c>
    </row>
    <row r="1544" spans="1:34">
      <c r="A1544" s="372" t="s">
        <v>10319</v>
      </c>
      <c r="B1544" s="373" t="s">
        <v>10320</v>
      </c>
      <c r="C1544" s="372" t="s">
        <v>10321</v>
      </c>
      <c r="D1544" s="374">
        <v>1341110005202</v>
      </c>
      <c r="E1544" s="372" t="s">
        <v>10322</v>
      </c>
      <c r="F1544" s="375" t="s">
        <v>2858</v>
      </c>
      <c r="G1544" s="375" t="s">
        <v>2858</v>
      </c>
      <c r="H1544" s="375" t="s">
        <v>754</v>
      </c>
      <c r="I1544" s="375" t="s">
        <v>755</v>
      </c>
      <c r="J1544" s="375">
        <v>228843.87500999999</v>
      </c>
      <c r="K1544" s="375">
        <v>17360.970120000002</v>
      </c>
      <c r="L1544" s="375">
        <v>22890.717059999999</v>
      </c>
      <c r="M1544" s="375">
        <v>161578.25714</v>
      </c>
      <c r="N1544" s="372">
        <v>0.69699999999999995</v>
      </c>
      <c r="O1544" s="703">
        <v>2.0109310242602163</v>
      </c>
      <c r="P1544" s="375" t="s">
        <v>623</v>
      </c>
      <c r="Q1544" s="375" t="s">
        <v>623</v>
      </c>
      <c r="R1544" s="695">
        <v>19910903</v>
      </c>
      <c r="S1544" s="375" t="s">
        <v>10323</v>
      </c>
      <c r="T1544" s="696">
        <v>0.23100000000000001</v>
      </c>
      <c r="U1544" s="372" t="s">
        <v>10324</v>
      </c>
      <c r="V1544" s="722">
        <v>0</v>
      </c>
      <c r="W1544" s="722">
        <v>0.51</v>
      </c>
      <c r="X1544" s="722">
        <v>0</v>
      </c>
      <c r="Y1544" s="722">
        <v>0</v>
      </c>
      <c r="Z1544" s="382" t="s">
        <v>934</v>
      </c>
      <c r="AA1544" s="372">
        <v>2012.6969658</v>
      </c>
      <c r="AB1544" s="372">
        <v>2277.0190793000002</v>
      </c>
      <c r="AC1544" s="372">
        <v>2224.7089761000002</v>
      </c>
      <c r="AD1544" s="372">
        <v>2288.4387501000001</v>
      </c>
      <c r="AE1544" s="372">
        <v>0</v>
      </c>
      <c r="AF1544" s="372">
        <v>0</v>
      </c>
      <c r="AG1544" s="372">
        <v>0</v>
      </c>
      <c r="AH1544" s="372">
        <v>0</v>
      </c>
    </row>
    <row r="1545" spans="1:34">
      <c r="A1545" s="372" t="s">
        <v>10325</v>
      </c>
      <c r="B1545" s="373" t="s">
        <v>10326</v>
      </c>
      <c r="C1545" s="372" t="s">
        <v>10327</v>
      </c>
      <c r="D1545" s="374">
        <v>1101112003640</v>
      </c>
      <c r="E1545" s="372" t="s">
        <v>10328</v>
      </c>
      <c r="F1545" s="375" t="s">
        <v>1814</v>
      </c>
      <c r="G1545" s="375" t="s">
        <v>2821</v>
      </c>
      <c r="H1545" s="375" t="s">
        <v>1693</v>
      </c>
      <c r="I1545" s="375" t="s">
        <v>869</v>
      </c>
      <c r="J1545" s="375">
        <v>0</v>
      </c>
      <c r="K1545" s="375">
        <v>0</v>
      </c>
      <c r="L1545" s="375">
        <v>0</v>
      </c>
      <c r="M1545" s="375">
        <v>35536.220809999999</v>
      </c>
      <c r="N1545" s="372" t="s">
        <v>1033</v>
      </c>
      <c r="O1545" s="703">
        <v>3.1824279524463019</v>
      </c>
      <c r="P1545" s="375" t="s">
        <v>623</v>
      </c>
      <c r="Q1545" s="375" t="s">
        <v>623</v>
      </c>
      <c r="R1545" s="695">
        <v>20231004</v>
      </c>
      <c r="S1545" s="375" t="s">
        <v>10329</v>
      </c>
      <c r="T1545" s="696" t="s">
        <v>772</v>
      </c>
      <c r="U1545" s="372" t="s">
        <v>10330</v>
      </c>
      <c r="V1545" s="722">
        <v>0</v>
      </c>
      <c r="W1545" s="722">
        <v>2.93</v>
      </c>
      <c r="X1545" s="722">
        <v>0</v>
      </c>
      <c r="Y1545" s="722">
        <v>0</v>
      </c>
      <c r="Z1545" s="382" t="s">
        <v>934</v>
      </c>
      <c r="AA1545" s="372">
        <v>155.36584819999999</v>
      </c>
      <c r="AB1545" s="372">
        <v>184.0876122</v>
      </c>
      <c r="AC1545" s="372">
        <v>219.028166</v>
      </c>
      <c r="AD1545" s="372">
        <v>240.95098859999999</v>
      </c>
      <c r="AE1545" s="372">
        <v>0</v>
      </c>
      <c r="AF1545" s="372">
        <v>0</v>
      </c>
      <c r="AG1545" s="372">
        <v>0</v>
      </c>
      <c r="AH1545" s="372">
        <v>0</v>
      </c>
    </row>
    <row r="1546" spans="1:34">
      <c r="A1546" s="372" t="s">
        <v>10331</v>
      </c>
      <c r="B1546" s="373" t="s">
        <v>10332</v>
      </c>
      <c r="C1546" s="372" t="s">
        <v>10333</v>
      </c>
      <c r="D1546" s="374">
        <v>1101110110083</v>
      </c>
      <c r="E1546" s="372" t="s">
        <v>10334</v>
      </c>
      <c r="F1546" s="372" t="s">
        <v>1607</v>
      </c>
      <c r="G1546" s="375" t="s">
        <v>1607</v>
      </c>
      <c r="H1546" s="375" t="s">
        <v>953</v>
      </c>
      <c r="I1546" s="375" t="s">
        <v>755</v>
      </c>
      <c r="J1546" s="375">
        <v>1242608</v>
      </c>
      <c r="K1546" s="375">
        <v>39375</v>
      </c>
      <c r="L1546" s="375">
        <v>11407</v>
      </c>
      <c r="M1546" s="375">
        <v>367799</v>
      </c>
      <c r="N1546" s="372">
        <v>0.78</v>
      </c>
      <c r="O1546" s="703">
        <v>839.76997835869759</v>
      </c>
      <c r="P1546" s="375" t="s">
        <v>623</v>
      </c>
      <c r="Q1546" s="375" t="s">
        <v>623</v>
      </c>
      <c r="R1546" s="695">
        <v>19560303</v>
      </c>
      <c r="S1546" s="375" t="s">
        <v>861</v>
      </c>
      <c r="T1546" s="696">
        <v>0.20900000000000002</v>
      </c>
      <c r="U1546" s="372" t="s">
        <v>10335</v>
      </c>
      <c r="V1546" s="722">
        <v>6.56</v>
      </c>
      <c r="W1546" s="722">
        <v>0.26</v>
      </c>
      <c r="X1546" s="722">
        <v>0.08</v>
      </c>
      <c r="Y1546" s="722">
        <v>12.55</v>
      </c>
      <c r="Z1546" s="382" t="s">
        <v>934</v>
      </c>
      <c r="AA1546" s="372">
        <v>7952.07</v>
      </c>
      <c r="AB1546" s="372">
        <v>8880.34</v>
      </c>
      <c r="AC1546" s="372">
        <v>14401.44</v>
      </c>
      <c r="AD1546" s="372">
        <v>12426.08</v>
      </c>
      <c r="AE1546" s="372">
        <v>0</v>
      </c>
      <c r="AF1546" s="372">
        <v>0</v>
      </c>
      <c r="AG1546" s="372">
        <v>0</v>
      </c>
      <c r="AH1546" s="372">
        <v>0</v>
      </c>
    </row>
    <row r="1547" spans="1:34">
      <c r="A1547" s="372" t="s">
        <v>10336</v>
      </c>
      <c r="B1547" s="373" t="s">
        <v>10337</v>
      </c>
      <c r="C1547" s="372" t="s">
        <v>16181</v>
      </c>
      <c r="D1547" s="374">
        <v>1942110216483</v>
      </c>
      <c r="E1547" s="372" t="s">
        <v>16182</v>
      </c>
      <c r="F1547" s="375" t="s">
        <v>4918</v>
      </c>
      <c r="G1547" s="375" t="s">
        <v>4918</v>
      </c>
      <c r="H1547" s="375" t="s">
        <v>868</v>
      </c>
      <c r="I1547" s="375" t="s">
        <v>869</v>
      </c>
      <c r="J1547" s="375">
        <v>39031.722710000002</v>
      </c>
      <c r="K1547" s="375">
        <v>-1129.2075299999999</v>
      </c>
      <c r="L1547" s="375">
        <v>-1032.6191899999999</v>
      </c>
      <c r="M1547" s="375">
        <v>30111.451690000002</v>
      </c>
      <c r="N1547" s="372">
        <v>0.55700000000000005</v>
      </c>
      <c r="O1547" s="703">
        <v>3.3857891937504485</v>
      </c>
      <c r="P1547" s="375" t="s">
        <v>623</v>
      </c>
      <c r="Q1547" s="372" t="s">
        <v>623</v>
      </c>
      <c r="R1547" s="695">
        <v>20170602</v>
      </c>
      <c r="S1547" s="375" t="s">
        <v>10338</v>
      </c>
      <c r="T1547" s="696" t="s">
        <v>772</v>
      </c>
      <c r="U1547" s="372" t="s">
        <v>10339</v>
      </c>
      <c r="V1547" s="722">
        <v>41.03</v>
      </c>
      <c r="W1547" s="722">
        <v>3.19</v>
      </c>
      <c r="X1547" s="722">
        <v>2.46</v>
      </c>
      <c r="Y1547" s="722">
        <v>131.63999999999999</v>
      </c>
      <c r="Z1547" s="382" t="s">
        <v>934</v>
      </c>
      <c r="AA1547" s="372">
        <v>385.77204769999997</v>
      </c>
      <c r="AB1547" s="372">
        <v>576.76416440000003</v>
      </c>
      <c r="AC1547" s="372">
        <v>549.47071170000004</v>
      </c>
      <c r="AD1547" s="372">
        <v>390.31722710000003</v>
      </c>
      <c r="AE1547" s="372">
        <v>1120</v>
      </c>
      <c r="AF1547" s="372">
        <v>0</v>
      </c>
      <c r="AG1547" s="372">
        <v>0</v>
      </c>
      <c r="AH1547" s="372">
        <v>0</v>
      </c>
    </row>
    <row r="1548" spans="1:34">
      <c r="A1548" s="372" t="s">
        <v>10340</v>
      </c>
      <c r="B1548" s="373" t="s">
        <v>10341</v>
      </c>
      <c r="C1548" s="372" t="s">
        <v>10342</v>
      </c>
      <c r="D1548" s="374">
        <v>1701110023002</v>
      </c>
      <c r="E1548" s="372" t="s">
        <v>10343</v>
      </c>
      <c r="F1548" s="375" t="s">
        <v>1867</v>
      </c>
      <c r="G1548" s="375" t="s">
        <v>1868</v>
      </c>
      <c r="H1548" s="375" t="s">
        <v>4894</v>
      </c>
      <c r="I1548" s="375" t="s">
        <v>869</v>
      </c>
      <c r="J1548" s="375">
        <v>621658.29569000006</v>
      </c>
      <c r="K1548" s="375">
        <v>24232.11046</v>
      </c>
      <c r="L1548" s="375">
        <v>8753.4634000000005</v>
      </c>
      <c r="M1548" s="375">
        <v>400157.97058999998</v>
      </c>
      <c r="N1548" s="372">
        <v>0.97299999999999998</v>
      </c>
      <c r="O1548" s="703">
        <v>501.84698551746709</v>
      </c>
      <c r="P1548" s="375" t="s">
        <v>623</v>
      </c>
      <c r="Q1548" s="372" t="s">
        <v>623</v>
      </c>
      <c r="R1548" s="695">
        <v>19940517</v>
      </c>
      <c r="S1548" s="372" t="s">
        <v>10344</v>
      </c>
      <c r="T1548" s="696">
        <v>0.20900000000000002</v>
      </c>
      <c r="U1548" s="372" t="s">
        <v>10345</v>
      </c>
      <c r="V1548" s="722">
        <v>11.4</v>
      </c>
      <c r="W1548" s="722">
        <v>0.25</v>
      </c>
      <c r="X1548" s="722">
        <v>0.16</v>
      </c>
      <c r="Y1548" s="722">
        <v>11.58</v>
      </c>
      <c r="Z1548" s="382" t="s">
        <v>934</v>
      </c>
      <c r="AA1548" s="372">
        <v>4852.3633092999999</v>
      </c>
      <c r="AB1548" s="372">
        <v>6088.1728125</v>
      </c>
      <c r="AC1548" s="372">
        <v>7300.3316862000001</v>
      </c>
      <c r="AD1548" s="372">
        <v>6216.5829568999998</v>
      </c>
      <c r="AE1548" s="372">
        <v>0</v>
      </c>
      <c r="AF1548" s="372">
        <v>0</v>
      </c>
      <c r="AG1548" s="372">
        <v>0</v>
      </c>
      <c r="AH1548" s="372">
        <v>0</v>
      </c>
    </row>
    <row r="1549" spans="1:34">
      <c r="A1549" s="372" t="s">
        <v>10346</v>
      </c>
      <c r="B1549" s="373" t="s">
        <v>10347</v>
      </c>
      <c r="C1549" s="372" t="s">
        <v>10348</v>
      </c>
      <c r="D1549" s="374">
        <v>1101110003212</v>
      </c>
      <c r="E1549" s="372" t="s">
        <v>10349</v>
      </c>
      <c r="F1549" s="372" t="s">
        <v>2030</v>
      </c>
      <c r="G1549" s="375" t="s">
        <v>2030</v>
      </c>
      <c r="H1549" s="375" t="s">
        <v>797</v>
      </c>
      <c r="I1549" s="375" t="s">
        <v>755</v>
      </c>
      <c r="J1549" s="375">
        <v>617171.60479000001</v>
      </c>
      <c r="K1549" s="375">
        <v>22162.989450000001</v>
      </c>
      <c r="L1549" s="375">
        <v>9934.88436</v>
      </c>
      <c r="M1549" s="375">
        <v>108625.69868</v>
      </c>
      <c r="N1549" s="372">
        <v>0.89200000000000002</v>
      </c>
      <c r="O1549" s="703">
        <v>265.85221955450561</v>
      </c>
      <c r="P1549" s="375" t="s">
        <v>623</v>
      </c>
      <c r="Q1549" s="372" t="s">
        <v>623</v>
      </c>
      <c r="R1549" s="695">
        <v>19760525</v>
      </c>
      <c r="S1549" s="372" t="s">
        <v>10350</v>
      </c>
      <c r="T1549" s="696">
        <v>0.20900000000000002</v>
      </c>
      <c r="U1549" s="372" t="s">
        <v>10351</v>
      </c>
      <c r="V1549" s="722">
        <v>8.92</v>
      </c>
      <c r="W1549" s="722">
        <v>1.27</v>
      </c>
      <c r="X1549" s="722">
        <v>0.22</v>
      </c>
      <c r="Y1549" s="722">
        <v>2087.84</v>
      </c>
      <c r="Z1549" s="382" t="s">
        <v>934</v>
      </c>
      <c r="AA1549" s="372">
        <v>4044.3283793000001</v>
      </c>
      <c r="AB1549" s="372">
        <v>4630.4589812000004</v>
      </c>
      <c r="AC1549" s="372">
        <v>5695.0276903000004</v>
      </c>
      <c r="AD1549" s="372">
        <v>6171.7160479000004</v>
      </c>
      <c r="AE1549" s="372">
        <v>0</v>
      </c>
      <c r="AF1549" s="372">
        <v>0</v>
      </c>
      <c r="AG1549" s="372">
        <v>0</v>
      </c>
      <c r="AH1549" s="372">
        <v>0</v>
      </c>
    </row>
    <row r="1550" spans="1:34">
      <c r="A1550" s="372" t="s">
        <v>10352</v>
      </c>
      <c r="B1550" s="373" t="s">
        <v>10353</v>
      </c>
      <c r="C1550" s="372" t="s">
        <v>10354</v>
      </c>
      <c r="D1550" s="374">
        <v>1501110132344</v>
      </c>
      <c r="E1550" s="372" t="s">
        <v>10355</v>
      </c>
      <c r="F1550" s="372" t="s">
        <v>1814</v>
      </c>
      <c r="G1550" s="375" t="s">
        <v>1815</v>
      </c>
      <c r="H1550" s="375" t="s">
        <v>1693</v>
      </c>
      <c r="I1550" s="375" t="s">
        <v>869</v>
      </c>
      <c r="J1550" s="375">
        <v>34492.364509999999</v>
      </c>
      <c r="K1550" s="375">
        <v>2009.1682800000001</v>
      </c>
      <c r="L1550" s="375">
        <v>3151.1822000000002</v>
      </c>
      <c r="M1550" s="375">
        <v>66341.418829999995</v>
      </c>
      <c r="N1550" s="372">
        <v>0.79</v>
      </c>
      <c r="O1550" s="703">
        <v>0.33061806955680745</v>
      </c>
      <c r="P1550" s="375" t="s">
        <v>623</v>
      </c>
      <c r="Q1550" s="372" t="s">
        <v>623</v>
      </c>
      <c r="R1550" s="695">
        <v>20211117</v>
      </c>
      <c r="S1550" s="372" t="s">
        <v>10356</v>
      </c>
      <c r="T1550" s="696">
        <v>0.20900000000000002</v>
      </c>
      <c r="U1550" s="372" t="s">
        <v>10357</v>
      </c>
      <c r="V1550" s="722">
        <v>35.53</v>
      </c>
      <c r="W1550" s="722">
        <v>1.31</v>
      </c>
      <c r="X1550" s="722">
        <v>2.77</v>
      </c>
      <c r="Y1550" s="722">
        <v>32.07</v>
      </c>
      <c r="Z1550" s="382" t="s">
        <v>934</v>
      </c>
      <c r="AA1550" s="372">
        <v>182.59560719999999</v>
      </c>
      <c r="AB1550" s="372">
        <v>216.02999969999999</v>
      </c>
      <c r="AC1550" s="372">
        <v>195.6161649</v>
      </c>
      <c r="AD1550" s="372">
        <v>344.92364509999999</v>
      </c>
      <c r="AE1550" s="372">
        <v>0</v>
      </c>
      <c r="AF1550" s="372">
        <v>0</v>
      </c>
      <c r="AG1550" s="372">
        <v>0</v>
      </c>
      <c r="AH1550" s="372">
        <v>0</v>
      </c>
    </row>
    <row r="1551" spans="1:34">
      <c r="A1551" s="372" t="s">
        <v>10358</v>
      </c>
      <c r="B1551" s="373" t="s">
        <v>10359</v>
      </c>
      <c r="C1551" s="372" t="s">
        <v>16069</v>
      </c>
      <c r="D1551" s="374">
        <v>1701110006868</v>
      </c>
      <c r="E1551" s="372" t="s">
        <v>16070</v>
      </c>
      <c r="F1551" s="375" t="s">
        <v>10360</v>
      </c>
      <c r="G1551" s="375" t="s">
        <v>10361</v>
      </c>
      <c r="H1551" s="375" t="s">
        <v>1555</v>
      </c>
      <c r="I1551" s="375" t="s">
        <v>755</v>
      </c>
      <c r="J1551" s="375">
        <v>33789.509689999999</v>
      </c>
      <c r="K1551" s="375">
        <v>-9330.4098099999992</v>
      </c>
      <c r="L1551" s="375">
        <v>-26324.431380000002</v>
      </c>
      <c r="M1551" s="375">
        <v>27055.386549999999</v>
      </c>
      <c r="N1551" s="372">
        <v>0.64900000000000002</v>
      </c>
      <c r="O1551" s="703">
        <v>73.675839774074376</v>
      </c>
      <c r="P1551" s="375" t="s">
        <v>623</v>
      </c>
      <c r="Q1551" s="375" t="s">
        <v>623</v>
      </c>
      <c r="R1551" s="695">
        <v>19951110</v>
      </c>
      <c r="S1551" s="375" t="s">
        <v>10362</v>
      </c>
      <c r="T1551" s="696" t="s">
        <v>772</v>
      </c>
      <c r="U1551" s="372" t="s">
        <v>10363</v>
      </c>
      <c r="V1551" s="722" t="s">
        <v>774</v>
      </c>
      <c r="W1551" s="722">
        <v>4.0599999999999996</v>
      </c>
      <c r="X1551" s="722">
        <v>3.09</v>
      </c>
      <c r="Y1551" s="722" t="s">
        <v>774</v>
      </c>
      <c r="Z1551" s="382" t="s">
        <v>934</v>
      </c>
      <c r="AA1551" s="372">
        <v>1280.2196328</v>
      </c>
      <c r="AB1551" s="372">
        <v>788.86125570000002</v>
      </c>
      <c r="AC1551" s="372">
        <v>525.21836610000003</v>
      </c>
      <c r="AD1551" s="372">
        <v>337.8950969</v>
      </c>
      <c r="AE1551" s="372">
        <v>0</v>
      </c>
      <c r="AF1551" s="372">
        <v>0</v>
      </c>
      <c r="AG1551" s="372">
        <v>0</v>
      </c>
      <c r="AH1551" s="372">
        <v>0</v>
      </c>
    </row>
    <row r="1552" spans="1:34">
      <c r="A1552" s="372" t="s">
        <v>10364</v>
      </c>
      <c r="B1552" s="373" t="s">
        <v>10365</v>
      </c>
      <c r="C1552" s="372" t="s">
        <v>10366</v>
      </c>
      <c r="D1552" s="374">
        <v>1545110012907</v>
      </c>
      <c r="E1552" s="372" t="s">
        <v>10367</v>
      </c>
      <c r="F1552" s="372" t="s">
        <v>786</v>
      </c>
      <c r="G1552" s="375" t="s">
        <v>786</v>
      </c>
      <c r="H1552" s="375" t="s">
        <v>868</v>
      </c>
      <c r="I1552" s="375" t="s">
        <v>869</v>
      </c>
      <c r="J1552" s="375">
        <v>76772.140710000007</v>
      </c>
      <c r="K1552" s="375">
        <v>10088.91095</v>
      </c>
      <c r="L1552" s="375">
        <v>9863.9472100000003</v>
      </c>
      <c r="M1552" s="375">
        <v>106994.35334</v>
      </c>
      <c r="N1552" s="372">
        <v>0.53500000000000003</v>
      </c>
      <c r="O1552" s="703">
        <v>14.694247641106495</v>
      </c>
      <c r="P1552" s="375" t="s">
        <v>623</v>
      </c>
      <c r="Q1552" s="375" t="s">
        <v>623</v>
      </c>
      <c r="R1552" s="695">
        <v>20100728</v>
      </c>
      <c r="S1552" s="375" t="s">
        <v>10368</v>
      </c>
      <c r="T1552" s="696">
        <v>0.20900000000000002</v>
      </c>
      <c r="U1552" s="372" t="s">
        <v>10369</v>
      </c>
      <c r="V1552" s="722">
        <v>0</v>
      </c>
      <c r="W1552" s="722">
        <v>0.62</v>
      </c>
      <c r="X1552" s="722">
        <v>0</v>
      </c>
      <c r="Y1552" s="722">
        <v>0</v>
      </c>
      <c r="Z1552" s="382" t="s">
        <v>934</v>
      </c>
      <c r="AA1552" s="372">
        <v>744.62269700000002</v>
      </c>
      <c r="AB1552" s="372">
        <v>732.87282219999997</v>
      </c>
      <c r="AC1552" s="372">
        <v>1029.4720933000001</v>
      </c>
      <c r="AD1552" s="372">
        <v>767.72140709999996</v>
      </c>
      <c r="AE1552" s="372">
        <v>0</v>
      </c>
      <c r="AF1552" s="372">
        <v>0</v>
      </c>
      <c r="AG1552" s="372">
        <v>0</v>
      </c>
      <c r="AH1552" s="372">
        <v>0</v>
      </c>
    </row>
    <row r="1553" spans="1:34">
      <c r="A1553" s="372" t="s">
        <v>10370</v>
      </c>
      <c r="B1553" s="373" t="s">
        <v>10371</v>
      </c>
      <c r="C1553" s="372" t="s">
        <v>10372</v>
      </c>
      <c r="D1553" s="374">
        <v>1101112629347</v>
      </c>
      <c r="E1553" s="372" t="s">
        <v>10373</v>
      </c>
      <c r="F1553" s="375" t="s">
        <v>4265</v>
      </c>
      <c r="G1553" s="375" t="s">
        <v>4266</v>
      </c>
      <c r="H1553" s="375" t="s">
        <v>1348</v>
      </c>
      <c r="I1553" s="375" t="s">
        <v>869</v>
      </c>
      <c r="J1553" s="375">
        <v>87910.54522</v>
      </c>
      <c r="K1553" s="375">
        <v>14191.689689999999</v>
      </c>
      <c r="L1553" s="375">
        <v>13297.50675</v>
      </c>
      <c r="M1553" s="375">
        <v>90685.561929999996</v>
      </c>
      <c r="N1553" s="372">
        <v>0.59799999999999998</v>
      </c>
      <c r="O1553" s="703">
        <v>3.6203514229059532</v>
      </c>
      <c r="P1553" s="375" t="s">
        <v>623</v>
      </c>
      <c r="Q1553" s="375" t="s">
        <v>623</v>
      </c>
      <c r="R1553" s="695">
        <v>20111222</v>
      </c>
      <c r="S1553" s="375" t="s">
        <v>10374</v>
      </c>
      <c r="T1553" s="696">
        <v>0.20900000000000002</v>
      </c>
      <c r="U1553" s="372" t="s">
        <v>10375</v>
      </c>
      <c r="V1553" s="722">
        <v>5.22</v>
      </c>
      <c r="W1553" s="722">
        <v>1.06</v>
      </c>
      <c r="X1553" s="722">
        <v>1.1000000000000001</v>
      </c>
      <c r="Y1553" s="722">
        <v>9.2899999999999991</v>
      </c>
      <c r="Z1553" s="382" t="s">
        <v>934</v>
      </c>
      <c r="AA1553" s="372">
        <v>821.96200009999995</v>
      </c>
      <c r="AB1553" s="372">
        <v>886.8439085</v>
      </c>
      <c r="AC1553" s="372">
        <v>921.89888719999999</v>
      </c>
      <c r="AD1553" s="372">
        <v>879.10545219999995</v>
      </c>
      <c r="AE1553" s="372">
        <v>968</v>
      </c>
      <c r="AF1553" s="372">
        <v>1030</v>
      </c>
      <c r="AG1553" s="372">
        <v>0</v>
      </c>
      <c r="AH1553" s="372">
        <v>0</v>
      </c>
    </row>
    <row r="1554" spans="1:34">
      <c r="A1554" s="372" t="s">
        <v>10376</v>
      </c>
      <c r="B1554" s="373" t="s">
        <v>10377</v>
      </c>
      <c r="C1554" s="372" t="s">
        <v>10378</v>
      </c>
      <c r="D1554" s="374">
        <v>1201110009268</v>
      </c>
      <c r="E1554" s="372" t="s">
        <v>10379</v>
      </c>
      <c r="F1554" s="372" t="s">
        <v>2037</v>
      </c>
      <c r="G1554" s="375" t="s">
        <v>2037</v>
      </c>
      <c r="H1554" s="375" t="s">
        <v>868</v>
      </c>
      <c r="I1554" s="375" t="s">
        <v>869</v>
      </c>
      <c r="J1554" s="375">
        <v>182141.66704999999</v>
      </c>
      <c r="K1554" s="375">
        <v>10407.620779999999</v>
      </c>
      <c r="L1554" s="375">
        <v>24247.087739999999</v>
      </c>
      <c r="M1554" s="375">
        <v>179770.75195999999</v>
      </c>
      <c r="N1554" s="372">
        <v>0.71</v>
      </c>
      <c r="O1554" s="703">
        <v>51.268161949174775</v>
      </c>
      <c r="P1554" s="375" t="s">
        <v>16142</v>
      </c>
      <c r="Q1554" s="375" t="s">
        <v>16145</v>
      </c>
      <c r="R1554" s="695">
        <v>19930630</v>
      </c>
      <c r="S1554" s="375" t="s">
        <v>10380</v>
      </c>
      <c r="T1554" s="696">
        <v>0.23100000000000001</v>
      </c>
      <c r="U1554" s="372" t="s">
        <v>10381</v>
      </c>
      <c r="V1554" s="722">
        <v>6.77</v>
      </c>
      <c r="W1554" s="722">
        <v>0.55000000000000004</v>
      </c>
      <c r="X1554" s="722">
        <v>0.5</v>
      </c>
      <c r="Y1554" s="722">
        <v>4.96</v>
      </c>
      <c r="Z1554" s="382" t="s">
        <v>934</v>
      </c>
      <c r="AA1554" s="372">
        <v>1612.2031022000001</v>
      </c>
      <c r="AB1554" s="372">
        <v>1884.3498396</v>
      </c>
      <c r="AC1554" s="372">
        <v>2069.5746961999998</v>
      </c>
      <c r="AD1554" s="372">
        <v>1821.4166705</v>
      </c>
      <c r="AE1554" s="372">
        <v>0</v>
      </c>
      <c r="AF1554" s="372">
        <v>0</v>
      </c>
      <c r="AG1554" s="372">
        <v>0</v>
      </c>
      <c r="AH1554" s="372">
        <v>0</v>
      </c>
    </row>
    <row r="1555" spans="1:34">
      <c r="A1555" s="372" t="s">
        <v>10382</v>
      </c>
      <c r="B1555" s="373" t="s">
        <v>10383</v>
      </c>
      <c r="C1555" s="372" t="s">
        <v>10384</v>
      </c>
      <c r="D1555" s="374">
        <v>1101110529820</v>
      </c>
      <c r="E1555" s="372" t="s">
        <v>10385</v>
      </c>
      <c r="F1555" s="375" t="s">
        <v>1426</v>
      </c>
      <c r="G1555" s="375" t="s">
        <v>1426</v>
      </c>
      <c r="H1555" s="375" t="s">
        <v>868</v>
      </c>
      <c r="I1555" s="375" t="s">
        <v>869</v>
      </c>
      <c r="J1555" s="375">
        <v>209704.07079999999</v>
      </c>
      <c r="K1555" s="375">
        <v>6031.5511900000001</v>
      </c>
      <c r="L1555" s="375">
        <v>21560.103230000001</v>
      </c>
      <c r="M1555" s="375">
        <v>133923.59194000001</v>
      </c>
      <c r="N1555" s="372">
        <v>1.157</v>
      </c>
      <c r="O1555" s="703">
        <v>0</v>
      </c>
      <c r="P1555" s="375" t="s">
        <v>623</v>
      </c>
      <c r="Q1555" s="375" t="s">
        <v>623</v>
      </c>
      <c r="R1555" s="695">
        <v>20010109</v>
      </c>
      <c r="S1555" s="375" t="s">
        <v>10386</v>
      </c>
      <c r="T1555" s="696">
        <v>0.23100000000000001</v>
      </c>
      <c r="U1555" s="372" t="s">
        <v>10387</v>
      </c>
      <c r="V1555" s="722">
        <v>9.76</v>
      </c>
      <c r="W1555" s="722">
        <v>0.72</v>
      </c>
      <c r="X1555" s="722">
        <v>0.46</v>
      </c>
      <c r="Y1555" s="722">
        <v>5.59</v>
      </c>
      <c r="Z1555" s="382" t="s">
        <v>934</v>
      </c>
      <c r="AA1555" s="372">
        <v>1804.0163845</v>
      </c>
      <c r="AB1555" s="372">
        <v>1842.6881939</v>
      </c>
      <c r="AC1555" s="372">
        <v>1900.720282</v>
      </c>
      <c r="AD1555" s="372">
        <v>2097.040708</v>
      </c>
      <c r="AE1555" s="372">
        <v>0</v>
      </c>
      <c r="AF1555" s="372">
        <v>0</v>
      </c>
      <c r="AG1555" s="372">
        <v>0</v>
      </c>
      <c r="AH1555" s="372">
        <v>0</v>
      </c>
    </row>
    <row r="1556" spans="1:34">
      <c r="A1556" s="372" t="s">
        <v>10388</v>
      </c>
      <c r="B1556" s="373" t="s">
        <v>10389</v>
      </c>
      <c r="C1556" s="372" t="s">
        <v>10390</v>
      </c>
      <c r="D1556" s="374">
        <v>1101111051137</v>
      </c>
      <c r="E1556" s="372" t="s">
        <v>10391</v>
      </c>
      <c r="F1556" s="375" t="s">
        <v>6425</v>
      </c>
      <c r="G1556" s="375" t="s">
        <v>6425</v>
      </c>
      <c r="H1556" s="375" t="s">
        <v>868</v>
      </c>
      <c r="I1556" s="375" t="s">
        <v>869</v>
      </c>
      <c r="J1556" s="375">
        <v>79198.082670000003</v>
      </c>
      <c r="K1556" s="375">
        <v>1113.1158499999999</v>
      </c>
      <c r="L1556" s="375">
        <v>624.82204000000002</v>
      </c>
      <c r="M1556" s="375">
        <v>85462.548590000006</v>
      </c>
      <c r="N1556" s="372">
        <v>0.88500000000000001</v>
      </c>
      <c r="O1556" s="703">
        <v>3.118809109131413</v>
      </c>
      <c r="P1556" s="375" t="s">
        <v>623</v>
      </c>
      <c r="Q1556" s="375" t="s">
        <v>623</v>
      </c>
      <c r="R1556" s="695">
        <v>20021206</v>
      </c>
      <c r="S1556" s="375" t="s">
        <v>10392</v>
      </c>
      <c r="T1556" s="696">
        <v>0.20900000000000002</v>
      </c>
      <c r="U1556" s="372" t="s">
        <v>10393</v>
      </c>
      <c r="V1556" s="722">
        <v>0</v>
      </c>
      <c r="W1556" s="722">
        <v>0.97</v>
      </c>
      <c r="X1556" s="722">
        <v>0</v>
      </c>
      <c r="Y1556" s="722">
        <v>0</v>
      </c>
      <c r="Z1556" s="382" t="s">
        <v>934</v>
      </c>
      <c r="AA1556" s="372">
        <v>753.63857069999995</v>
      </c>
      <c r="AB1556" s="372">
        <v>778.24167009999996</v>
      </c>
      <c r="AC1556" s="372">
        <v>802.29930790000003</v>
      </c>
      <c r="AD1556" s="372">
        <v>791.98082669999997</v>
      </c>
      <c r="AE1556" s="372">
        <v>0</v>
      </c>
      <c r="AF1556" s="372">
        <v>0</v>
      </c>
      <c r="AG1556" s="372">
        <v>0</v>
      </c>
      <c r="AH1556" s="372">
        <v>0</v>
      </c>
    </row>
    <row r="1557" spans="1:34">
      <c r="A1557" s="372" t="s">
        <v>10394</v>
      </c>
      <c r="B1557" s="373" t="s">
        <v>10395</v>
      </c>
      <c r="C1557" s="372" t="s">
        <v>10396</v>
      </c>
      <c r="D1557" s="374">
        <v>1101113691973</v>
      </c>
      <c r="E1557" s="372" t="s">
        <v>10397</v>
      </c>
      <c r="F1557" s="372" t="s">
        <v>6754</v>
      </c>
      <c r="G1557" s="375" t="s">
        <v>6755</v>
      </c>
      <c r="H1557" s="375" t="s">
        <v>862</v>
      </c>
      <c r="I1557" s="375" t="s">
        <v>755</v>
      </c>
      <c r="J1557" s="375">
        <v>354607.75266</v>
      </c>
      <c r="K1557" s="375">
        <v>7648.2998299999999</v>
      </c>
      <c r="L1557" s="375">
        <v>15919.043739999999</v>
      </c>
      <c r="M1557" s="375">
        <v>189535.57870000001</v>
      </c>
      <c r="N1557" s="372">
        <v>0.77800000000000002</v>
      </c>
      <c r="O1557" s="703">
        <v>53.48931331883616</v>
      </c>
      <c r="P1557" s="375" t="s">
        <v>623</v>
      </c>
      <c r="Q1557" s="372" t="s">
        <v>623</v>
      </c>
      <c r="R1557" s="695">
        <v>20201120</v>
      </c>
      <c r="S1557" s="372" t="s">
        <v>10398</v>
      </c>
      <c r="T1557" s="696">
        <v>0.20900000000000002</v>
      </c>
      <c r="U1557" s="372" t="s">
        <v>10399</v>
      </c>
      <c r="V1557" s="722">
        <v>5.0599999999999996</v>
      </c>
      <c r="W1557" s="722">
        <v>0.65</v>
      </c>
      <c r="X1557" s="722">
        <v>0.28000000000000003</v>
      </c>
      <c r="Y1557" s="722">
        <v>9.61</v>
      </c>
      <c r="Z1557" s="382" t="s">
        <v>934</v>
      </c>
      <c r="AA1557" s="372">
        <v>2851.4449639999998</v>
      </c>
      <c r="AB1557" s="372">
        <v>2580.2039356999999</v>
      </c>
      <c r="AC1557" s="372">
        <v>2707.2351804999998</v>
      </c>
      <c r="AD1557" s="372">
        <v>3546.0775266000001</v>
      </c>
      <c r="AE1557" s="372">
        <v>4284</v>
      </c>
      <c r="AF1557" s="372">
        <v>4864</v>
      </c>
      <c r="AG1557" s="372">
        <v>0</v>
      </c>
      <c r="AH1557" s="372">
        <v>0</v>
      </c>
    </row>
    <row r="1558" spans="1:34">
      <c r="A1558" s="372" t="s">
        <v>10400</v>
      </c>
      <c r="B1558" s="373" t="s">
        <v>10401</v>
      </c>
      <c r="C1558" s="372" t="s">
        <v>10402</v>
      </c>
      <c r="D1558" s="374">
        <v>1352110022823</v>
      </c>
      <c r="E1558" s="372" t="s">
        <v>10403</v>
      </c>
      <c r="F1558" s="375" t="s">
        <v>1062</v>
      </c>
      <c r="G1558" s="375" t="s">
        <v>1062</v>
      </c>
      <c r="H1558" s="375" t="s">
        <v>868</v>
      </c>
      <c r="I1558" s="375" t="s">
        <v>869</v>
      </c>
      <c r="J1558" s="375">
        <v>8429.5323000000008</v>
      </c>
      <c r="K1558" s="375">
        <v>-16131.251490000001</v>
      </c>
      <c r="L1558" s="375">
        <v>-20365.315569999999</v>
      </c>
      <c r="M1558" s="375">
        <v>37611.061130000002</v>
      </c>
      <c r="N1558" s="372">
        <v>1.351</v>
      </c>
      <c r="O1558" s="703">
        <v>29.23790314427449</v>
      </c>
      <c r="P1558" s="375" t="s">
        <v>623</v>
      </c>
      <c r="Q1558" s="372" t="s">
        <v>623</v>
      </c>
      <c r="R1558" s="695">
        <v>20170223</v>
      </c>
      <c r="S1558" s="372" t="s">
        <v>10404</v>
      </c>
      <c r="T1558" s="696" t="s">
        <v>772</v>
      </c>
      <c r="U1558" s="372" t="s">
        <v>10405</v>
      </c>
      <c r="V1558" s="722" t="s">
        <v>774</v>
      </c>
      <c r="W1558" s="722">
        <v>5.2</v>
      </c>
      <c r="X1558" s="722">
        <v>19.25</v>
      </c>
      <c r="Y1558" s="722" t="s">
        <v>774</v>
      </c>
      <c r="Z1558" s="382" t="s">
        <v>934</v>
      </c>
      <c r="AA1558" s="372">
        <v>536.8266959</v>
      </c>
      <c r="AB1558" s="372">
        <v>461.47521829999999</v>
      </c>
      <c r="AC1558" s="372">
        <v>372.1722666</v>
      </c>
      <c r="AD1558" s="372">
        <v>84.295322999999996</v>
      </c>
      <c r="AE1558" s="372">
        <v>0</v>
      </c>
      <c r="AF1558" s="372">
        <v>0</v>
      </c>
      <c r="AG1558" s="372">
        <v>0</v>
      </c>
      <c r="AH1558" s="372">
        <v>0</v>
      </c>
    </row>
    <row r="1559" spans="1:34">
      <c r="A1559" s="372" t="s">
        <v>10406</v>
      </c>
      <c r="B1559" s="373" t="s">
        <v>10407</v>
      </c>
      <c r="C1559" s="372" t="s">
        <v>10408</v>
      </c>
      <c r="D1559" s="374">
        <v>1615110003619</v>
      </c>
      <c r="E1559" s="372" t="s">
        <v>10409</v>
      </c>
      <c r="F1559" s="375" t="s">
        <v>1313</v>
      </c>
      <c r="G1559" s="375" t="s">
        <v>1313</v>
      </c>
      <c r="H1559" s="375" t="s">
        <v>868</v>
      </c>
      <c r="I1559" s="375" t="s">
        <v>869</v>
      </c>
      <c r="J1559" s="375">
        <v>61797.981910000002</v>
      </c>
      <c r="K1559" s="375">
        <v>-14353.005999999999</v>
      </c>
      <c r="L1559" s="375">
        <v>-20683.542000000001</v>
      </c>
      <c r="M1559" s="375">
        <v>33034.482000000004</v>
      </c>
      <c r="N1559" s="372">
        <v>1.2569999999999999</v>
      </c>
      <c r="O1559" s="703">
        <v>134.30497752044218</v>
      </c>
      <c r="P1559" s="375" t="s">
        <v>623</v>
      </c>
      <c r="Q1559" s="372" t="s">
        <v>623</v>
      </c>
      <c r="R1559" s="695">
        <v>20000107</v>
      </c>
      <c r="S1559" s="372" t="s">
        <v>10410</v>
      </c>
      <c r="T1559" s="696" t="s">
        <v>772</v>
      </c>
      <c r="U1559" s="372" t="s">
        <v>10411</v>
      </c>
      <c r="V1559" s="722" t="s">
        <v>774</v>
      </c>
      <c r="W1559" s="722">
        <v>1.74</v>
      </c>
      <c r="X1559" s="722">
        <v>1.69</v>
      </c>
      <c r="Y1559" s="722" t="s">
        <v>774</v>
      </c>
      <c r="Z1559" s="382" t="s">
        <v>934</v>
      </c>
      <c r="AA1559" s="372">
        <v>450.57857730000001</v>
      </c>
      <c r="AB1559" s="372">
        <v>956.93333640000003</v>
      </c>
      <c r="AC1559" s="372">
        <v>701.89076820000002</v>
      </c>
      <c r="AD1559" s="372">
        <v>617.97981909999999</v>
      </c>
      <c r="AE1559" s="372">
        <v>0</v>
      </c>
      <c r="AF1559" s="372">
        <v>0</v>
      </c>
      <c r="AG1559" s="372">
        <v>0</v>
      </c>
      <c r="AH1559" s="372">
        <v>0</v>
      </c>
    </row>
    <row r="1560" spans="1:34">
      <c r="A1560" s="372" t="s">
        <v>10412</v>
      </c>
      <c r="B1560" s="373" t="s">
        <v>10413</v>
      </c>
      <c r="C1560" s="372" t="s">
        <v>10414</v>
      </c>
      <c r="D1560" s="374">
        <v>1101117196523</v>
      </c>
      <c r="E1560" s="372" t="s">
        <v>10415</v>
      </c>
      <c r="F1560" s="372" t="s">
        <v>1020</v>
      </c>
      <c r="G1560" s="375" t="s">
        <v>1020</v>
      </c>
      <c r="H1560" s="375" t="s">
        <v>868</v>
      </c>
      <c r="I1560" s="375" t="s">
        <v>869</v>
      </c>
      <c r="J1560" s="375">
        <v>52971.603869999999</v>
      </c>
      <c r="K1560" s="375">
        <v>5293.3533100000004</v>
      </c>
      <c r="L1560" s="375">
        <v>5896.5219200000001</v>
      </c>
      <c r="M1560" s="375">
        <v>71188.267349999995</v>
      </c>
      <c r="N1560" s="372">
        <v>0.96199999999999997</v>
      </c>
      <c r="O1560" s="703">
        <v>25.319130050631067</v>
      </c>
      <c r="P1560" s="375" t="s">
        <v>623</v>
      </c>
      <c r="Q1560" s="372" t="s">
        <v>623</v>
      </c>
      <c r="R1560" s="695">
        <v>20191106</v>
      </c>
      <c r="S1560" s="372" t="s">
        <v>10416</v>
      </c>
      <c r="T1560" s="696">
        <v>0.20900000000000002</v>
      </c>
      <c r="U1560" s="372" t="s">
        <v>10417</v>
      </c>
      <c r="V1560" s="722">
        <v>19.86</v>
      </c>
      <c r="W1560" s="722">
        <v>2.25</v>
      </c>
      <c r="X1560" s="722">
        <v>1.61</v>
      </c>
      <c r="Y1560" s="722">
        <v>22.24</v>
      </c>
      <c r="Z1560" s="382" t="s">
        <v>934</v>
      </c>
      <c r="AA1560" s="372">
        <v>371.08660600000002</v>
      </c>
      <c r="AB1560" s="372">
        <v>418.95287919999998</v>
      </c>
      <c r="AC1560" s="372">
        <v>650.37011299999995</v>
      </c>
      <c r="AD1560" s="372">
        <v>529.71603870000001</v>
      </c>
      <c r="AE1560" s="372">
        <v>0</v>
      </c>
      <c r="AF1560" s="372">
        <v>0</v>
      </c>
      <c r="AG1560" s="372">
        <v>0</v>
      </c>
      <c r="AH1560" s="372">
        <v>0</v>
      </c>
    </row>
    <row r="1561" spans="1:34">
      <c r="A1561" s="372" t="s">
        <v>10418</v>
      </c>
      <c r="B1561" s="373" t="s">
        <v>10419</v>
      </c>
      <c r="C1561" s="372" t="s">
        <v>10420</v>
      </c>
      <c r="D1561" s="374">
        <v>1101110753734</v>
      </c>
      <c r="E1561" s="372" t="s">
        <v>10421</v>
      </c>
      <c r="F1561" s="375" t="s">
        <v>10422</v>
      </c>
      <c r="G1561" s="375" t="s">
        <v>10422</v>
      </c>
      <c r="H1561" s="375" t="s">
        <v>1348</v>
      </c>
      <c r="I1561" s="375" t="s">
        <v>869</v>
      </c>
      <c r="J1561" s="375">
        <v>64010.931709999997</v>
      </c>
      <c r="K1561" s="375">
        <v>-4331.6193599999997</v>
      </c>
      <c r="L1561" s="375">
        <v>-2221.1248799999998</v>
      </c>
      <c r="M1561" s="375">
        <v>52326.751239999998</v>
      </c>
      <c r="N1561" s="372">
        <v>1.06</v>
      </c>
      <c r="O1561" s="703">
        <v>38.425495455075293</v>
      </c>
      <c r="P1561" s="375" t="s">
        <v>623</v>
      </c>
      <c r="Q1561" s="375" t="s">
        <v>623</v>
      </c>
      <c r="R1561" s="695">
        <v>20100615</v>
      </c>
      <c r="S1561" s="375" t="s">
        <v>10423</v>
      </c>
      <c r="T1561" s="696" t="s">
        <v>772</v>
      </c>
      <c r="U1561" s="372" t="s">
        <v>10424</v>
      </c>
      <c r="V1561" s="722" t="s">
        <v>774</v>
      </c>
      <c r="W1561" s="722">
        <v>1.72</v>
      </c>
      <c r="X1561" s="722">
        <v>1.43</v>
      </c>
      <c r="Y1561" s="722" t="s">
        <v>774</v>
      </c>
      <c r="Z1561" s="382" t="s">
        <v>934</v>
      </c>
      <c r="AA1561" s="372">
        <v>533.95113749999996</v>
      </c>
      <c r="AB1561" s="372">
        <v>781.76335979999999</v>
      </c>
      <c r="AC1561" s="372">
        <v>592.20236560000001</v>
      </c>
      <c r="AD1561" s="372">
        <v>640.1093171</v>
      </c>
      <c r="AE1561" s="372">
        <v>0</v>
      </c>
      <c r="AF1561" s="372">
        <v>0</v>
      </c>
      <c r="AG1561" s="372">
        <v>0</v>
      </c>
      <c r="AH1561" s="372">
        <v>0</v>
      </c>
    </row>
    <row r="1562" spans="1:34">
      <c r="A1562" s="372" t="s">
        <v>10425</v>
      </c>
      <c r="B1562" s="373" t="s">
        <v>10426</v>
      </c>
      <c r="C1562" s="372" t="s">
        <v>10427</v>
      </c>
      <c r="D1562" s="374">
        <v>1201110002056</v>
      </c>
      <c r="E1562" s="372" t="s">
        <v>10428</v>
      </c>
      <c r="F1562" s="375" t="s">
        <v>2509</v>
      </c>
      <c r="G1562" s="375" t="s">
        <v>2510</v>
      </c>
      <c r="H1562" s="375" t="s">
        <v>817</v>
      </c>
      <c r="I1562" s="375" t="s">
        <v>755</v>
      </c>
      <c r="J1562" s="375">
        <v>278300.20192999998</v>
      </c>
      <c r="K1562" s="375">
        <v>2197.94148</v>
      </c>
      <c r="L1562" s="375">
        <v>-1409.9697000000001</v>
      </c>
      <c r="M1562" s="375">
        <v>87094.838820000004</v>
      </c>
      <c r="N1562" s="372">
        <v>0.94299999999999995</v>
      </c>
      <c r="O1562" s="703">
        <v>64.222560522593895</v>
      </c>
      <c r="P1562" s="375" t="s">
        <v>623</v>
      </c>
      <c r="Q1562" s="372" t="s">
        <v>623</v>
      </c>
      <c r="R1562" s="695">
        <v>19770305</v>
      </c>
      <c r="S1562" s="372" t="s">
        <v>10429</v>
      </c>
      <c r="T1562" s="696" t="s">
        <v>772</v>
      </c>
      <c r="U1562" s="372" t="s">
        <v>10430</v>
      </c>
      <c r="V1562" s="722">
        <v>15.48</v>
      </c>
      <c r="W1562" s="722">
        <v>1.1200000000000001</v>
      </c>
      <c r="X1562" s="722">
        <v>0.35</v>
      </c>
      <c r="Y1562" s="722" t="s">
        <v>774</v>
      </c>
      <c r="Z1562" s="382" t="s">
        <v>934</v>
      </c>
      <c r="AA1562" s="372">
        <v>1738.2245925</v>
      </c>
      <c r="AB1562" s="372">
        <v>1820.2120525</v>
      </c>
      <c r="AC1562" s="372">
        <v>2661.7167929000002</v>
      </c>
      <c r="AD1562" s="372">
        <v>2783.0020193</v>
      </c>
      <c r="AE1562" s="372">
        <v>0</v>
      </c>
      <c r="AF1562" s="372">
        <v>0</v>
      </c>
      <c r="AG1562" s="372">
        <v>0</v>
      </c>
      <c r="AH1562" s="372">
        <v>0</v>
      </c>
    </row>
    <row r="1563" spans="1:34">
      <c r="A1563" s="372" t="s">
        <v>10431</v>
      </c>
      <c r="B1563" s="373" t="s">
        <v>10432</v>
      </c>
      <c r="C1563" s="372" t="s">
        <v>10433</v>
      </c>
      <c r="D1563" s="374">
        <v>1760110008737</v>
      </c>
      <c r="E1563" s="372" t="s">
        <v>10434</v>
      </c>
      <c r="F1563" s="375" t="s">
        <v>1286</v>
      </c>
      <c r="G1563" s="375" t="s">
        <v>1465</v>
      </c>
      <c r="H1563" s="375" t="s">
        <v>1388</v>
      </c>
      <c r="I1563" s="375" t="s">
        <v>869</v>
      </c>
      <c r="J1563" s="375">
        <v>371742.90146000002</v>
      </c>
      <c r="K1563" s="375">
        <v>23801.779320000001</v>
      </c>
      <c r="L1563" s="375">
        <v>24522.747289999999</v>
      </c>
      <c r="M1563" s="375">
        <v>142254.35316999999</v>
      </c>
      <c r="N1563" s="372">
        <v>0.77200000000000002</v>
      </c>
      <c r="O1563" s="703">
        <v>0.41722108629268817</v>
      </c>
      <c r="P1563" s="375" t="s">
        <v>623</v>
      </c>
      <c r="Q1563" s="372" t="s">
        <v>623</v>
      </c>
      <c r="R1563" s="695">
        <v>20020111</v>
      </c>
      <c r="S1563" s="375" t="s">
        <v>10435</v>
      </c>
      <c r="T1563" s="696">
        <v>0.23100000000000001</v>
      </c>
      <c r="U1563" s="372" t="s">
        <v>10436</v>
      </c>
      <c r="V1563" s="722">
        <v>2.81</v>
      </c>
      <c r="W1563" s="722">
        <v>0.56999999999999995</v>
      </c>
      <c r="X1563" s="722">
        <v>0.23</v>
      </c>
      <c r="Y1563" s="722">
        <v>3.91</v>
      </c>
      <c r="Z1563" s="382" t="s">
        <v>934</v>
      </c>
      <c r="AA1563" s="372">
        <v>1336.8685323</v>
      </c>
      <c r="AB1563" s="372">
        <v>1945.288699</v>
      </c>
      <c r="AC1563" s="372">
        <v>4236.6037023999997</v>
      </c>
      <c r="AD1563" s="372">
        <v>3717.4290145999998</v>
      </c>
      <c r="AE1563" s="372">
        <v>4130</v>
      </c>
      <c r="AF1563" s="372">
        <v>4675</v>
      </c>
      <c r="AG1563" s="372">
        <v>0</v>
      </c>
      <c r="AH1563" s="372">
        <v>0</v>
      </c>
    </row>
    <row r="1564" spans="1:34">
      <c r="A1564" s="372" t="s">
        <v>10437</v>
      </c>
      <c r="B1564" s="373" t="s">
        <v>10438</v>
      </c>
      <c r="C1564" s="372" t="s">
        <v>10439</v>
      </c>
      <c r="D1564" s="374">
        <v>1101110179659</v>
      </c>
      <c r="E1564" s="372" t="s">
        <v>10440</v>
      </c>
      <c r="F1564" s="375" t="s">
        <v>1076</v>
      </c>
      <c r="G1564" s="375" t="s">
        <v>1076</v>
      </c>
      <c r="H1564" s="375" t="s">
        <v>853</v>
      </c>
      <c r="I1564" s="375" t="s">
        <v>755</v>
      </c>
      <c r="J1564" s="375">
        <v>72132.464139999996</v>
      </c>
      <c r="K1564" s="375">
        <v>-15890.86305</v>
      </c>
      <c r="L1564" s="375">
        <v>-65855.773149999994</v>
      </c>
      <c r="M1564" s="375">
        <v>37219.696360000002</v>
      </c>
      <c r="N1564" s="372">
        <v>1.236</v>
      </c>
      <c r="O1564" s="703">
        <v>16.674718742386236</v>
      </c>
      <c r="P1564" s="375" t="s">
        <v>16142</v>
      </c>
      <c r="Q1564" s="375" t="s">
        <v>16145</v>
      </c>
      <c r="R1564" s="695">
        <v>19970718</v>
      </c>
      <c r="S1564" s="375" t="s">
        <v>10441</v>
      </c>
      <c r="T1564" s="696" t="s">
        <v>772</v>
      </c>
      <c r="U1564" s="372" t="s">
        <v>10442</v>
      </c>
      <c r="V1564" s="722" t="s">
        <v>774</v>
      </c>
      <c r="W1564" s="722">
        <v>2.88</v>
      </c>
      <c r="X1564" s="722">
        <v>1.47</v>
      </c>
      <c r="Y1564" s="722" t="s">
        <v>774</v>
      </c>
      <c r="Z1564" s="382" t="s">
        <v>934</v>
      </c>
      <c r="AA1564" s="372">
        <v>604.31404729999997</v>
      </c>
      <c r="AB1564" s="372">
        <v>1083.7693747999999</v>
      </c>
      <c r="AC1564" s="372">
        <v>1581.1604944999999</v>
      </c>
      <c r="AD1564" s="372">
        <v>721.32464140000002</v>
      </c>
      <c r="AE1564" s="372">
        <v>0</v>
      </c>
      <c r="AF1564" s="372">
        <v>0</v>
      </c>
      <c r="AG1564" s="372">
        <v>0</v>
      </c>
      <c r="AH1564" s="372">
        <v>0</v>
      </c>
    </row>
    <row r="1565" spans="1:34">
      <c r="A1565" s="372" t="s">
        <v>10443</v>
      </c>
      <c r="B1565" s="373" t="s">
        <v>10444</v>
      </c>
      <c r="C1565" s="372" t="s">
        <v>16183</v>
      </c>
      <c r="D1565" s="374">
        <v>1101115970961</v>
      </c>
      <c r="E1565" s="372" t="s">
        <v>16184</v>
      </c>
      <c r="F1565" s="372" t="s">
        <v>2542</v>
      </c>
      <c r="G1565" s="375" t="s">
        <v>2542</v>
      </c>
      <c r="H1565" s="375" t="s">
        <v>1693</v>
      </c>
      <c r="I1565" s="375" t="s">
        <v>869</v>
      </c>
      <c r="J1565" s="375">
        <v>13837.3825</v>
      </c>
      <c r="K1565" s="375">
        <v>-6176.1984599999996</v>
      </c>
      <c r="L1565" s="375">
        <v>-6834.2820300000003</v>
      </c>
      <c r="M1565" s="375">
        <v>25818.283340000002</v>
      </c>
      <c r="N1565" s="372">
        <v>1.1559999999999999</v>
      </c>
      <c r="O1565" s="703">
        <v>1.4492996852315732</v>
      </c>
      <c r="P1565" s="375" t="s">
        <v>623</v>
      </c>
      <c r="Q1565" s="372" t="s">
        <v>623</v>
      </c>
      <c r="R1565" s="695">
        <v>20160609</v>
      </c>
      <c r="S1565" s="372" t="s">
        <v>10445</v>
      </c>
      <c r="T1565" s="696" t="s">
        <v>772</v>
      </c>
      <c r="U1565" s="372" t="s">
        <v>10446</v>
      </c>
      <c r="V1565" s="722" t="s">
        <v>774</v>
      </c>
      <c r="W1565" s="722">
        <v>3.14</v>
      </c>
      <c r="X1565" s="722">
        <v>5.73</v>
      </c>
      <c r="Y1565" s="722" t="s">
        <v>774</v>
      </c>
      <c r="Z1565" s="382" t="s">
        <v>934</v>
      </c>
      <c r="AA1565" s="372">
        <v>238.1421909</v>
      </c>
      <c r="AB1565" s="372">
        <v>287.80386700000003</v>
      </c>
      <c r="AC1565" s="372">
        <v>229.21900439999999</v>
      </c>
      <c r="AD1565" s="372">
        <v>138.37382500000001</v>
      </c>
      <c r="AE1565" s="372">
        <v>0</v>
      </c>
      <c r="AF1565" s="372">
        <v>0</v>
      </c>
      <c r="AG1565" s="372">
        <v>0</v>
      </c>
      <c r="AH1565" s="372">
        <v>0</v>
      </c>
    </row>
    <row r="1566" spans="1:34">
      <c r="A1566" s="372" t="s">
        <v>10447</v>
      </c>
      <c r="B1566" s="373" t="s">
        <v>10448</v>
      </c>
      <c r="C1566" s="372" t="s">
        <v>10449</v>
      </c>
      <c r="D1566" s="374">
        <v>1311110100021</v>
      </c>
      <c r="E1566" s="372" t="s">
        <v>10450</v>
      </c>
      <c r="F1566" s="375" t="s">
        <v>2147</v>
      </c>
      <c r="G1566" s="375" t="s">
        <v>4273</v>
      </c>
      <c r="H1566" s="375" t="s">
        <v>868</v>
      </c>
      <c r="I1566" s="375" t="s">
        <v>869</v>
      </c>
      <c r="J1566" s="375">
        <v>18536.13464</v>
      </c>
      <c r="K1566" s="375">
        <v>-2859.7123700000002</v>
      </c>
      <c r="L1566" s="375">
        <v>979.65875000000005</v>
      </c>
      <c r="M1566" s="375">
        <v>30794.429090000001</v>
      </c>
      <c r="N1566" s="372">
        <v>0.96</v>
      </c>
      <c r="O1566" s="703">
        <v>20.860753760774074</v>
      </c>
      <c r="P1566" s="375" t="s">
        <v>623</v>
      </c>
      <c r="Q1566" s="372" t="s">
        <v>623</v>
      </c>
      <c r="R1566" s="695">
        <v>20180814</v>
      </c>
      <c r="S1566" s="372" t="s">
        <v>10451</v>
      </c>
      <c r="T1566" s="696">
        <v>0.20900000000000002</v>
      </c>
      <c r="U1566" s="372" t="s">
        <v>10452</v>
      </c>
      <c r="V1566" s="722" t="s">
        <v>774</v>
      </c>
      <c r="W1566" s="722">
        <v>3.24</v>
      </c>
      <c r="X1566" s="722">
        <v>5.38</v>
      </c>
      <c r="Y1566" s="722">
        <v>125.1</v>
      </c>
      <c r="Z1566" s="382" t="s">
        <v>934</v>
      </c>
      <c r="AA1566" s="372">
        <v>166.33018680000001</v>
      </c>
      <c r="AB1566" s="372">
        <v>201.95049</v>
      </c>
      <c r="AC1566" s="372">
        <v>213.63454110000001</v>
      </c>
      <c r="AD1566" s="372">
        <v>185.3613464</v>
      </c>
      <c r="AE1566" s="372">
        <v>0</v>
      </c>
      <c r="AF1566" s="372">
        <v>0</v>
      </c>
      <c r="AG1566" s="372">
        <v>0</v>
      </c>
      <c r="AH1566" s="372">
        <v>0</v>
      </c>
    </row>
    <row r="1567" spans="1:34">
      <c r="A1567" s="372" t="s">
        <v>10453</v>
      </c>
      <c r="B1567" s="373" t="s">
        <v>10454</v>
      </c>
      <c r="C1567" s="372" t="s">
        <v>10455</v>
      </c>
      <c r="D1567" s="374">
        <v>1911110000782</v>
      </c>
      <c r="E1567" s="372" t="s">
        <v>10456</v>
      </c>
      <c r="F1567" s="375" t="s">
        <v>5414</v>
      </c>
      <c r="G1567" s="375" t="s">
        <v>5415</v>
      </c>
      <c r="H1567" s="375" t="s">
        <v>3998</v>
      </c>
      <c r="I1567" s="375" t="s">
        <v>755</v>
      </c>
      <c r="J1567" s="375">
        <v>1321885.02009</v>
      </c>
      <c r="K1567" s="375">
        <v>67783.686310000005</v>
      </c>
      <c r="L1567" s="375">
        <v>-3770.8943599999998</v>
      </c>
      <c r="M1567" s="375">
        <v>681485.92272999999</v>
      </c>
      <c r="N1567" s="372">
        <v>1.2010000000000001</v>
      </c>
      <c r="O1567" s="703">
        <v>1536.8671012398197</v>
      </c>
      <c r="P1567" s="375" t="s">
        <v>623</v>
      </c>
      <c r="Q1567" s="375" t="s">
        <v>623</v>
      </c>
      <c r="R1567" s="695">
        <v>19900609</v>
      </c>
      <c r="S1567" s="375" t="s">
        <v>10457</v>
      </c>
      <c r="T1567" s="696" t="s">
        <v>772</v>
      </c>
      <c r="U1567" s="372" t="s">
        <v>6556</v>
      </c>
      <c r="V1567" s="722">
        <v>10.199999999999999</v>
      </c>
      <c r="W1567" s="722">
        <v>0.23</v>
      </c>
      <c r="X1567" s="722">
        <v>7.0000000000000007E-2</v>
      </c>
      <c r="Y1567" s="722">
        <v>27.44</v>
      </c>
      <c r="Z1567" s="382" t="s">
        <v>934</v>
      </c>
      <c r="AA1567" s="372">
        <v>9496.5484809000009</v>
      </c>
      <c r="AB1567" s="372">
        <v>10552.7325482</v>
      </c>
      <c r="AC1567" s="372">
        <v>13991.392669299999</v>
      </c>
      <c r="AD1567" s="372">
        <v>13218.8502009</v>
      </c>
      <c r="AE1567" s="372">
        <v>0</v>
      </c>
      <c r="AF1567" s="372">
        <v>0</v>
      </c>
      <c r="AG1567" s="372">
        <v>0</v>
      </c>
      <c r="AH1567" s="372">
        <v>0</v>
      </c>
    </row>
    <row r="1568" spans="1:34">
      <c r="A1568" s="372" t="s">
        <v>10458</v>
      </c>
      <c r="B1568" s="373" t="s">
        <v>10459</v>
      </c>
      <c r="C1568" s="372" t="s">
        <v>10460</v>
      </c>
      <c r="D1568" s="374">
        <v>1760110078920</v>
      </c>
      <c r="E1568" s="372" t="s">
        <v>10461</v>
      </c>
      <c r="F1568" s="375" t="s">
        <v>1970</v>
      </c>
      <c r="G1568" s="375" t="s">
        <v>2522</v>
      </c>
      <c r="H1568" s="375" t="s">
        <v>868</v>
      </c>
      <c r="I1568" s="375" t="s">
        <v>869</v>
      </c>
      <c r="J1568" s="375">
        <v>10477.073410000001</v>
      </c>
      <c r="K1568" s="375">
        <v>-11688.87932</v>
      </c>
      <c r="L1568" s="375">
        <v>-9609.6762799999997</v>
      </c>
      <c r="M1568" s="375">
        <v>16900.04711</v>
      </c>
      <c r="N1568" s="372">
        <v>0.75</v>
      </c>
      <c r="O1568" s="703">
        <v>11.285597088576363</v>
      </c>
      <c r="P1568" s="375" t="s">
        <v>16142</v>
      </c>
      <c r="Q1568" s="375" t="s">
        <v>623</v>
      </c>
      <c r="R1568" s="695">
        <v>20200228</v>
      </c>
      <c r="S1568" s="375" t="s">
        <v>10462</v>
      </c>
      <c r="T1568" s="696" t="s">
        <v>772</v>
      </c>
      <c r="U1568" s="372" t="s">
        <v>10463</v>
      </c>
      <c r="V1568" s="722">
        <v>0</v>
      </c>
      <c r="W1568" s="722">
        <v>5.74</v>
      </c>
      <c r="X1568" s="722">
        <v>0</v>
      </c>
      <c r="Y1568" s="722">
        <v>0</v>
      </c>
      <c r="Z1568" s="382" t="s">
        <v>934</v>
      </c>
      <c r="AA1568" s="372">
        <v>801.46793290000005</v>
      </c>
      <c r="AB1568" s="372">
        <v>334.16382809999999</v>
      </c>
      <c r="AC1568" s="372">
        <v>397.6923673</v>
      </c>
      <c r="AD1568" s="372">
        <v>104.7707341</v>
      </c>
      <c r="AE1568" s="372">
        <v>0</v>
      </c>
      <c r="AF1568" s="372">
        <v>0</v>
      </c>
      <c r="AG1568" s="372">
        <v>0</v>
      </c>
      <c r="AH1568" s="372">
        <v>0</v>
      </c>
    </row>
    <row r="1569" spans="1:34">
      <c r="A1569" s="372" t="s">
        <v>10464</v>
      </c>
      <c r="B1569" s="373" t="s">
        <v>10465</v>
      </c>
      <c r="C1569" s="372" t="s">
        <v>10466</v>
      </c>
      <c r="D1569" s="374">
        <v>1101111665350</v>
      </c>
      <c r="E1569" s="372" t="s">
        <v>10467</v>
      </c>
      <c r="F1569" s="372" t="s">
        <v>1814</v>
      </c>
      <c r="G1569" s="375" t="s">
        <v>2821</v>
      </c>
      <c r="H1569" s="375" t="s">
        <v>1693</v>
      </c>
      <c r="I1569" s="375" t="s">
        <v>869</v>
      </c>
      <c r="J1569" s="375">
        <v>38340.871019999999</v>
      </c>
      <c r="K1569" s="375">
        <v>3140.5934499999998</v>
      </c>
      <c r="L1569" s="375">
        <v>3187.6990599999999</v>
      </c>
      <c r="M1569" s="375">
        <v>53768.698179999999</v>
      </c>
      <c r="N1569" s="372">
        <v>1.258</v>
      </c>
      <c r="O1569" s="703">
        <v>0.84509957689561799</v>
      </c>
      <c r="P1569" s="375" t="s">
        <v>623</v>
      </c>
      <c r="Q1569" s="375" t="s">
        <v>623</v>
      </c>
      <c r="R1569" s="695">
        <v>20101119</v>
      </c>
      <c r="S1569" s="375" t="s">
        <v>10468</v>
      </c>
      <c r="T1569" s="696">
        <v>0.20900000000000002</v>
      </c>
      <c r="U1569" s="375" t="s">
        <v>10469</v>
      </c>
      <c r="V1569" s="722">
        <v>20.05</v>
      </c>
      <c r="W1569" s="722">
        <v>1.62</v>
      </c>
      <c r="X1569" s="722">
        <v>2.2799999999999998</v>
      </c>
      <c r="Y1569" s="722">
        <v>36.74</v>
      </c>
      <c r="Z1569" s="382" t="s">
        <v>934</v>
      </c>
      <c r="AA1569" s="372">
        <v>327.87602750000002</v>
      </c>
      <c r="AB1569" s="372">
        <v>346.64171670000002</v>
      </c>
      <c r="AC1569" s="372">
        <v>385.22794759999999</v>
      </c>
      <c r="AD1569" s="372">
        <v>383.40871019999997</v>
      </c>
      <c r="AE1569" s="372">
        <v>0</v>
      </c>
      <c r="AF1569" s="372">
        <v>0</v>
      </c>
      <c r="AG1569" s="372">
        <v>0</v>
      </c>
      <c r="AH1569" s="372">
        <v>0</v>
      </c>
    </row>
    <row r="1570" spans="1:34">
      <c r="A1570" s="372" t="s">
        <v>10470</v>
      </c>
      <c r="B1570" s="373" t="s">
        <v>10471</v>
      </c>
      <c r="C1570" s="372" t="s">
        <v>10472</v>
      </c>
      <c r="D1570" s="374">
        <v>1601110095821</v>
      </c>
      <c r="E1570" s="372" t="s">
        <v>10473</v>
      </c>
      <c r="F1570" s="375" t="s">
        <v>786</v>
      </c>
      <c r="G1570" s="375" t="s">
        <v>786</v>
      </c>
      <c r="H1570" s="375" t="s">
        <v>868</v>
      </c>
      <c r="I1570" s="375" t="s">
        <v>869</v>
      </c>
      <c r="J1570" s="375">
        <v>27008.33828</v>
      </c>
      <c r="K1570" s="375">
        <v>-9463.5847300000005</v>
      </c>
      <c r="L1570" s="375">
        <v>-786.50966000000005</v>
      </c>
      <c r="M1570" s="375">
        <v>26361.794709999998</v>
      </c>
      <c r="N1570" s="372">
        <v>0.76700000000000002</v>
      </c>
      <c r="O1570" s="703">
        <v>68.132953829703553</v>
      </c>
      <c r="P1570" s="375" t="s">
        <v>623</v>
      </c>
      <c r="Q1570" s="372" t="s">
        <v>623</v>
      </c>
      <c r="R1570" s="695">
        <v>20150529</v>
      </c>
      <c r="S1570" s="372" t="s">
        <v>10474</v>
      </c>
      <c r="T1570" s="696" t="s">
        <v>772</v>
      </c>
      <c r="U1570" s="372" t="s">
        <v>10475</v>
      </c>
      <c r="V1570" s="722" t="s">
        <v>774</v>
      </c>
      <c r="W1570" s="722">
        <v>4.1399999999999997</v>
      </c>
      <c r="X1570" s="722">
        <v>3.37</v>
      </c>
      <c r="Y1570" s="722" t="s">
        <v>774</v>
      </c>
      <c r="Z1570" s="382" t="s">
        <v>934</v>
      </c>
      <c r="AA1570" s="372">
        <v>187.69177909999999</v>
      </c>
      <c r="AB1570" s="372">
        <v>258.73630100000003</v>
      </c>
      <c r="AC1570" s="372">
        <v>278.01755539999999</v>
      </c>
      <c r="AD1570" s="372">
        <v>270.08338279999998</v>
      </c>
      <c r="AE1570" s="372">
        <v>0</v>
      </c>
      <c r="AF1570" s="372">
        <v>0</v>
      </c>
      <c r="AG1570" s="372">
        <v>0</v>
      </c>
      <c r="AH1570" s="372">
        <v>0</v>
      </c>
    </row>
    <row r="1571" spans="1:34">
      <c r="A1571" s="372" t="s">
        <v>10476</v>
      </c>
      <c r="B1571" s="373" t="s">
        <v>10477</v>
      </c>
      <c r="C1571" s="372" t="s">
        <v>10478</v>
      </c>
      <c r="D1571" s="374">
        <v>1201110019225</v>
      </c>
      <c r="E1571" s="372" t="s">
        <v>10479</v>
      </c>
      <c r="F1571" s="375" t="s">
        <v>786</v>
      </c>
      <c r="G1571" s="375" t="s">
        <v>3360</v>
      </c>
      <c r="H1571" s="375" t="s">
        <v>868</v>
      </c>
      <c r="I1571" s="375" t="s">
        <v>869</v>
      </c>
      <c r="J1571" s="375">
        <v>95552.959600000002</v>
      </c>
      <c r="K1571" s="375">
        <v>-10457.80092</v>
      </c>
      <c r="L1571" s="375">
        <v>-38581.045510000004</v>
      </c>
      <c r="M1571" s="375">
        <v>23017.700219999999</v>
      </c>
      <c r="N1571" s="372">
        <v>1.0229999999999999</v>
      </c>
      <c r="O1571" s="703">
        <v>18.837120797154771</v>
      </c>
      <c r="P1571" s="375" t="s">
        <v>623</v>
      </c>
      <c r="Q1571" s="372" t="s">
        <v>623</v>
      </c>
      <c r="R1571" s="695">
        <v>20020521</v>
      </c>
      <c r="S1571" s="372" t="s">
        <v>10480</v>
      </c>
      <c r="T1571" s="696" t="s">
        <v>772</v>
      </c>
      <c r="U1571" s="372" t="s">
        <v>10481</v>
      </c>
      <c r="V1571" s="722" t="s">
        <v>774</v>
      </c>
      <c r="W1571" s="722">
        <v>4.0999999999999996</v>
      </c>
      <c r="X1571" s="722">
        <v>0.96</v>
      </c>
      <c r="Y1571" s="722" t="s">
        <v>774</v>
      </c>
      <c r="Z1571" s="382" t="s">
        <v>934</v>
      </c>
      <c r="AA1571" s="372">
        <v>731.87704020000001</v>
      </c>
      <c r="AB1571" s="372">
        <v>999.17911289999995</v>
      </c>
      <c r="AC1571" s="372">
        <v>1220.8526307</v>
      </c>
      <c r="AD1571" s="372">
        <v>955.52959599999997</v>
      </c>
      <c r="AE1571" s="372">
        <v>0</v>
      </c>
      <c r="AF1571" s="372">
        <v>0</v>
      </c>
      <c r="AG1571" s="372">
        <v>0</v>
      </c>
      <c r="AH1571" s="372">
        <v>0</v>
      </c>
    </row>
    <row r="1572" spans="1:34">
      <c r="A1572" s="372" t="s">
        <v>10482</v>
      </c>
      <c r="B1572" s="373" t="s">
        <v>10483</v>
      </c>
      <c r="C1572" s="372" t="s">
        <v>10484</v>
      </c>
      <c r="D1572" s="374">
        <v>1348110033605</v>
      </c>
      <c r="E1572" s="372" t="s">
        <v>10485</v>
      </c>
      <c r="F1572" s="372" t="s">
        <v>2139</v>
      </c>
      <c r="G1572" s="375" t="s">
        <v>2140</v>
      </c>
      <c r="H1572" s="375" t="s">
        <v>868</v>
      </c>
      <c r="I1572" s="375" t="s">
        <v>869</v>
      </c>
      <c r="J1572" s="375">
        <v>58874.226640000001</v>
      </c>
      <c r="K1572" s="375">
        <v>-8208.0074000000004</v>
      </c>
      <c r="L1572" s="375">
        <v>-15673.140960000001</v>
      </c>
      <c r="M1572" s="375">
        <v>46100.968480000003</v>
      </c>
      <c r="N1572" s="372">
        <v>1.113</v>
      </c>
      <c r="O1572" s="703">
        <v>35.541028262324986</v>
      </c>
      <c r="P1572" s="375" t="s">
        <v>623</v>
      </c>
      <c r="Q1572" s="375" t="s">
        <v>623</v>
      </c>
      <c r="R1572" s="695">
        <v>20131220</v>
      </c>
      <c r="S1572" s="375" t="s">
        <v>10486</v>
      </c>
      <c r="T1572" s="696" t="s">
        <v>772</v>
      </c>
      <c r="U1572" s="372" t="s">
        <v>10487</v>
      </c>
      <c r="V1572" s="722" t="s">
        <v>774</v>
      </c>
      <c r="W1572" s="722">
        <v>2.08</v>
      </c>
      <c r="X1572" s="722">
        <v>1.68</v>
      </c>
      <c r="Y1572" s="722" t="s">
        <v>774</v>
      </c>
      <c r="Z1572" s="382" t="s">
        <v>934</v>
      </c>
      <c r="AA1572" s="372">
        <v>626.76118799999995</v>
      </c>
      <c r="AB1572" s="372">
        <v>832.37751430000003</v>
      </c>
      <c r="AC1572" s="372">
        <v>830.07100949999995</v>
      </c>
      <c r="AD1572" s="372">
        <v>588.74226639999995</v>
      </c>
      <c r="AE1572" s="372">
        <v>1414</v>
      </c>
      <c r="AF1572" s="372">
        <v>1269</v>
      </c>
      <c r="AG1572" s="372">
        <v>0</v>
      </c>
      <c r="AH1572" s="372">
        <v>0</v>
      </c>
    </row>
    <row r="1573" spans="1:34">
      <c r="A1573" s="372" t="s">
        <v>10488</v>
      </c>
      <c r="B1573" s="373" t="s">
        <v>10489</v>
      </c>
      <c r="C1573" s="372" t="s">
        <v>10490</v>
      </c>
      <c r="D1573" s="374">
        <v>1845110000147</v>
      </c>
      <c r="E1573" s="372" t="s">
        <v>10491</v>
      </c>
      <c r="F1573" s="375" t="s">
        <v>1915</v>
      </c>
      <c r="G1573" s="375" t="s">
        <v>1916</v>
      </c>
      <c r="H1573" s="375" t="s">
        <v>868</v>
      </c>
      <c r="I1573" s="375" t="s">
        <v>869</v>
      </c>
      <c r="J1573" s="375">
        <v>189048.29680000001</v>
      </c>
      <c r="K1573" s="375">
        <v>23703.127840000001</v>
      </c>
      <c r="L1573" s="375">
        <v>23426.542280000001</v>
      </c>
      <c r="M1573" s="375">
        <v>150359.71145</v>
      </c>
      <c r="N1573" s="372">
        <v>0.73199999999999998</v>
      </c>
      <c r="O1573" s="703">
        <v>45.468954290091936</v>
      </c>
      <c r="P1573" s="375" t="s">
        <v>623</v>
      </c>
      <c r="Q1573" s="375" t="s">
        <v>623</v>
      </c>
      <c r="R1573" s="695">
        <v>19931005</v>
      </c>
      <c r="S1573" s="372" t="s">
        <v>10492</v>
      </c>
      <c r="T1573" s="696">
        <v>0.23100000000000001</v>
      </c>
      <c r="U1573" s="372" t="s">
        <v>10493</v>
      </c>
      <c r="V1573" s="722">
        <v>4.04</v>
      </c>
      <c r="W1573" s="722">
        <v>0.62</v>
      </c>
      <c r="X1573" s="722">
        <v>0.49</v>
      </c>
      <c r="Y1573" s="722">
        <v>5.0199999999999996</v>
      </c>
      <c r="Z1573" s="382" t="s">
        <v>934</v>
      </c>
      <c r="AA1573" s="372">
        <v>1463.7055022</v>
      </c>
      <c r="AB1573" s="372">
        <v>1620.489053</v>
      </c>
      <c r="AC1573" s="372">
        <v>2042.9899921000001</v>
      </c>
      <c r="AD1573" s="372">
        <v>1890.482968</v>
      </c>
      <c r="AE1573" s="372">
        <v>2363</v>
      </c>
      <c r="AF1573" s="372">
        <v>0</v>
      </c>
      <c r="AG1573" s="372">
        <v>0</v>
      </c>
      <c r="AH1573" s="372">
        <v>0</v>
      </c>
    </row>
    <row r="1574" spans="1:34">
      <c r="A1574" s="372" t="s">
        <v>10494</v>
      </c>
      <c r="B1574" s="373" t="s">
        <v>10495</v>
      </c>
      <c r="C1574" s="372" t="s">
        <v>10496</v>
      </c>
      <c r="D1574" s="374">
        <v>1101113940221</v>
      </c>
      <c r="E1574" s="372" t="s">
        <v>10497</v>
      </c>
      <c r="F1574" s="375" t="s">
        <v>1814</v>
      </c>
      <c r="G1574" s="375" t="s">
        <v>1815</v>
      </c>
      <c r="H1574" s="375" t="s">
        <v>1693</v>
      </c>
      <c r="I1574" s="375" t="s">
        <v>869</v>
      </c>
      <c r="J1574" s="375">
        <v>33247.383809999999</v>
      </c>
      <c r="K1574" s="375">
        <v>5159.2583599999998</v>
      </c>
      <c r="L1574" s="375">
        <v>5700.6883099999995</v>
      </c>
      <c r="M1574" s="375">
        <v>70691.214850000004</v>
      </c>
      <c r="N1574" s="372">
        <v>0.28799999999999998</v>
      </c>
      <c r="O1574" s="703">
        <v>0</v>
      </c>
      <c r="P1574" s="375" t="s">
        <v>623</v>
      </c>
      <c r="Q1574" s="372" t="s">
        <v>623</v>
      </c>
      <c r="R1574" s="695">
        <v>20150211</v>
      </c>
      <c r="S1574" s="372" t="s">
        <v>10498</v>
      </c>
      <c r="T1574" s="696">
        <v>0.20900000000000002</v>
      </c>
      <c r="U1574" s="372" t="s">
        <v>10499</v>
      </c>
      <c r="V1574" s="722">
        <v>14.98</v>
      </c>
      <c r="W1574" s="722">
        <v>0.4</v>
      </c>
      <c r="X1574" s="722">
        <v>0.84</v>
      </c>
      <c r="Y1574" s="722">
        <v>5.33</v>
      </c>
      <c r="Z1574" s="382" t="s">
        <v>934</v>
      </c>
      <c r="AA1574" s="372">
        <v>216.99494709999999</v>
      </c>
      <c r="AB1574" s="372">
        <v>237.0477722</v>
      </c>
      <c r="AC1574" s="372">
        <v>296.13557709999998</v>
      </c>
      <c r="AD1574" s="372">
        <v>332.47383810000002</v>
      </c>
      <c r="AE1574" s="372">
        <v>0</v>
      </c>
      <c r="AF1574" s="372">
        <v>0</v>
      </c>
      <c r="AG1574" s="372">
        <v>0</v>
      </c>
      <c r="AH1574" s="372">
        <v>0</v>
      </c>
    </row>
    <row r="1575" spans="1:34">
      <c r="A1575" s="372" t="s">
        <v>10500</v>
      </c>
      <c r="B1575" s="373" t="s">
        <v>10501</v>
      </c>
      <c r="C1575" s="372" t="s">
        <v>10502</v>
      </c>
      <c r="D1575" s="374">
        <v>1101110124969</v>
      </c>
      <c r="E1575" s="372" t="s">
        <v>10503</v>
      </c>
      <c r="F1575" s="372" t="s">
        <v>6604</v>
      </c>
      <c r="G1575" s="375" t="s">
        <v>6604</v>
      </c>
      <c r="H1575" s="375" t="s">
        <v>832</v>
      </c>
      <c r="I1575" s="375" t="s">
        <v>755</v>
      </c>
      <c r="J1575" s="375">
        <v>164275.32610000001</v>
      </c>
      <c r="K1575" s="375">
        <v>13588.67236</v>
      </c>
      <c r="L1575" s="375">
        <v>14998.135410000001</v>
      </c>
      <c r="M1575" s="375">
        <v>159950.14736</v>
      </c>
      <c r="N1575" s="372">
        <v>0.7</v>
      </c>
      <c r="O1575" s="703">
        <v>1.7943031967431946</v>
      </c>
      <c r="P1575" s="375" t="s">
        <v>623</v>
      </c>
      <c r="Q1575" s="372" t="s">
        <v>623</v>
      </c>
      <c r="R1575" s="695">
        <v>19770629</v>
      </c>
      <c r="S1575" s="372" t="s">
        <v>10504</v>
      </c>
      <c r="T1575" s="696">
        <v>0.20900000000000002</v>
      </c>
      <c r="U1575" s="372" t="s">
        <v>10505</v>
      </c>
      <c r="V1575" s="722">
        <v>5.04</v>
      </c>
      <c r="W1575" s="722">
        <v>0.53</v>
      </c>
      <c r="X1575" s="722">
        <v>0.53</v>
      </c>
      <c r="Y1575" s="722">
        <v>7.14</v>
      </c>
      <c r="Z1575" s="382" t="s">
        <v>934</v>
      </c>
      <c r="AA1575" s="372">
        <v>1295.2168509000001</v>
      </c>
      <c r="AB1575" s="372">
        <v>1340.6593413999999</v>
      </c>
      <c r="AC1575" s="372">
        <v>1467.228486</v>
      </c>
      <c r="AD1575" s="372">
        <v>1642.7532610000001</v>
      </c>
      <c r="AE1575" s="372">
        <v>0</v>
      </c>
      <c r="AF1575" s="372">
        <v>0</v>
      </c>
      <c r="AG1575" s="372">
        <v>0</v>
      </c>
      <c r="AH1575" s="372">
        <v>0</v>
      </c>
    </row>
    <row r="1576" spans="1:34">
      <c r="A1576" s="372" t="s">
        <v>10506</v>
      </c>
      <c r="B1576" s="373" t="s">
        <v>10507</v>
      </c>
      <c r="C1576" s="372" t="s">
        <v>10508</v>
      </c>
      <c r="D1576" s="374">
        <v>1101110153273</v>
      </c>
      <c r="E1576" s="372" t="s">
        <v>10509</v>
      </c>
      <c r="F1576" s="375" t="s">
        <v>10510</v>
      </c>
      <c r="G1576" s="375" t="s">
        <v>10510</v>
      </c>
      <c r="H1576" s="375" t="s">
        <v>853</v>
      </c>
      <c r="I1576" s="375" t="s">
        <v>755</v>
      </c>
      <c r="J1576" s="375">
        <v>101237.41680000001</v>
      </c>
      <c r="K1576" s="375">
        <v>4606.46738</v>
      </c>
      <c r="L1576" s="375">
        <v>2763.19029</v>
      </c>
      <c r="M1576" s="375">
        <v>56968.634409999999</v>
      </c>
      <c r="N1576" s="372">
        <v>1.127</v>
      </c>
      <c r="O1576" s="703">
        <v>18.857615388990549</v>
      </c>
      <c r="P1576" s="375" t="s">
        <v>623</v>
      </c>
      <c r="Q1576" s="375" t="s">
        <v>623</v>
      </c>
      <c r="R1576" s="695">
        <v>19860304</v>
      </c>
      <c r="S1576" s="375" t="s">
        <v>10511</v>
      </c>
      <c r="T1576" s="696">
        <v>0.20900000000000002</v>
      </c>
      <c r="U1576" s="372" t="s">
        <v>10512</v>
      </c>
      <c r="V1576" s="722">
        <v>0</v>
      </c>
      <c r="W1576" s="722">
        <v>1.47</v>
      </c>
      <c r="X1576" s="722">
        <v>0</v>
      </c>
      <c r="Y1576" s="722">
        <v>0</v>
      </c>
      <c r="Z1576" s="382" t="s">
        <v>934</v>
      </c>
      <c r="AA1576" s="372">
        <v>587.42051909999998</v>
      </c>
      <c r="AB1576" s="372">
        <v>747.42972569999995</v>
      </c>
      <c r="AC1576" s="372">
        <v>1376.7099074</v>
      </c>
      <c r="AD1576" s="372">
        <v>1012.3741680000001</v>
      </c>
      <c r="AE1576" s="372">
        <v>0</v>
      </c>
      <c r="AF1576" s="372">
        <v>0</v>
      </c>
      <c r="AG1576" s="372">
        <v>0</v>
      </c>
      <c r="AH1576" s="372">
        <v>0</v>
      </c>
    </row>
    <row r="1577" spans="1:34">
      <c r="A1577" s="372" t="s">
        <v>10513</v>
      </c>
      <c r="B1577" s="373" t="s">
        <v>10514</v>
      </c>
      <c r="C1577" s="372" t="s">
        <v>10515</v>
      </c>
      <c r="D1577" s="374">
        <v>1201110046476</v>
      </c>
      <c r="E1577" s="372" t="s">
        <v>10516</v>
      </c>
      <c r="F1577" s="372" t="s">
        <v>2450</v>
      </c>
      <c r="G1577" s="375" t="s">
        <v>6132</v>
      </c>
      <c r="H1577" s="375" t="s">
        <v>1050</v>
      </c>
      <c r="I1577" s="375" t="s">
        <v>755</v>
      </c>
      <c r="J1577" s="375">
        <v>0</v>
      </c>
      <c r="K1577" s="375">
        <v>0</v>
      </c>
      <c r="L1577" s="375">
        <v>0</v>
      </c>
      <c r="M1577" s="375">
        <v>0</v>
      </c>
      <c r="N1577" s="372">
        <v>0.59399999999999997</v>
      </c>
      <c r="O1577" s="703">
        <v>0</v>
      </c>
      <c r="P1577" s="375" t="s">
        <v>623</v>
      </c>
      <c r="Q1577" s="375" t="s">
        <v>623</v>
      </c>
      <c r="R1577" s="695">
        <v>20071030</v>
      </c>
      <c r="S1577" s="375" t="s">
        <v>10517</v>
      </c>
      <c r="T1577" s="696" t="s">
        <v>772</v>
      </c>
      <c r="U1577" s="372" t="s">
        <v>10518</v>
      </c>
      <c r="V1577" s="722">
        <v>0</v>
      </c>
      <c r="W1577" s="722">
        <v>0</v>
      </c>
      <c r="X1577" s="722">
        <v>0</v>
      </c>
      <c r="Y1577" s="722">
        <v>0</v>
      </c>
      <c r="Z1577" s="382" t="s">
        <v>774</v>
      </c>
      <c r="AA1577" s="372">
        <v>1284.5966642999999</v>
      </c>
      <c r="AB1577" s="372">
        <v>1313.2989249</v>
      </c>
      <c r="AC1577" s="372">
        <v>1444.408574</v>
      </c>
      <c r="AD1577" s="372">
        <v>0</v>
      </c>
      <c r="AE1577" s="372">
        <v>0</v>
      </c>
      <c r="AF1577" s="372">
        <v>0</v>
      </c>
      <c r="AG1577" s="372">
        <v>0</v>
      </c>
      <c r="AH1577" s="372">
        <v>0</v>
      </c>
    </row>
    <row r="1578" spans="1:34">
      <c r="A1578" s="372" t="s">
        <v>10519</v>
      </c>
      <c r="B1578" s="373" t="s">
        <v>10520</v>
      </c>
      <c r="C1578" s="372" t="s">
        <v>10521</v>
      </c>
      <c r="D1578" s="374">
        <v>1348110001181</v>
      </c>
      <c r="E1578" s="372" t="s">
        <v>10522</v>
      </c>
      <c r="F1578" s="375" t="s">
        <v>1838</v>
      </c>
      <c r="G1578" s="375" t="s">
        <v>1839</v>
      </c>
      <c r="H1578" s="375" t="s">
        <v>754</v>
      </c>
      <c r="I1578" s="375" t="s">
        <v>755</v>
      </c>
      <c r="J1578" s="375">
        <v>515401.90839</v>
      </c>
      <c r="K1578" s="375">
        <v>13130.11348</v>
      </c>
      <c r="L1578" s="375">
        <v>11862.187379999999</v>
      </c>
      <c r="M1578" s="375">
        <v>100324.0439</v>
      </c>
      <c r="N1578" s="372">
        <v>0.95399999999999996</v>
      </c>
      <c r="O1578" s="703">
        <v>12.972259006156561</v>
      </c>
      <c r="P1578" s="375" t="s">
        <v>623</v>
      </c>
      <c r="Q1578" s="372" t="s">
        <v>623</v>
      </c>
      <c r="R1578" s="695">
        <v>19880504</v>
      </c>
      <c r="S1578" s="372" t="s">
        <v>10523</v>
      </c>
      <c r="T1578" s="696">
        <v>0.20900000000000002</v>
      </c>
      <c r="U1578" s="372" t="s">
        <v>10524</v>
      </c>
      <c r="V1578" s="722">
        <v>6.19</v>
      </c>
      <c r="W1578" s="722">
        <v>0.86</v>
      </c>
      <c r="X1578" s="722">
        <v>0.17</v>
      </c>
      <c r="Y1578" s="722">
        <v>8.98</v>
      </c>
      <c r="Z1578" s="382" t="s">
        <v>934</v>
      </c>
      <c r="AA1578" s="372">
        <v>3673.1310991</v>
      </c>
      <c r="AB1578" s="372">
        <v>4749.7848670000003</v>
      </c>
      <c r="AC1578" s="372">
        <v>5624.2805827000002</v>
      </c>
      <c r="AD1578" s="372">
        <v>5154.0190838999997</v>
      </c>
      <c r="AE1578" s="372">
        <v>0</v>
      </c>
      <c r="AF1578" s="372">
        <v>0</v>
      </c>
      <c r="AG1578" s="372">
        <v>0</v>
      </c>
      <c r="AH1578" s="372">
        <v>0</v>
      </c>
    </row>
    <row r="1579" spans="1:34">
      <c r="A1579" s="372" t="s">
        <v>10525</v>
      </c>
      <c r="B1579" s="373" t="s">
        <v>10526</v>
      </c>
      <c r="C1579" s="372" t="s">
        <v>10527</v>
      </c>
      <c r="D1579" s="374">
        <v>1101112059031</v>
      </c>
      <c r="E1579" s="372" t="s">
        <v>10528</v>
      </c>
      <c r="F1579" s="375" t="s">
        <v>3266</v>
      </c>
      <c r="G1579" s="375" t="s">
        <v>3266</v>
      </c>
      <c r="H1579" s="375" t="s">
        <v>1388</v>
      </c>
      <c r="I1579" s="375" t="s">
        <v>869</v>
      </c>
      <c r="J1579" s="375">
        <v>0</v>
      </c>
      <c r="K1579" s="375">
        <v>0</v>
      </c>
      <c r="L1579" s="375">
        <v>0</v>
      </c>
      <c r="M1579" s="375">
        <v>33444.667370000003</v>
      </c>
      <c r="N1579" s="372" t="s">
        <v>1033</v>
      </c>
      <c r="O1579" s="703">
        <v>10.103991309548235</v>
      </c>
      <c r="P1579" s="375" t="s">
        <v>623</v>
      </c>
      <c r="Q1579" s="375" t="s">
        <v>623</v>
      </c>
      <c r="R1579" s="695">
        <v>20230426</v>
      </c>
      <c r="S1579" s="375" t="s">
        <v>10529</v>
      </c>
      <c r="T1579" s="696" t="s">
        <v>772</v>
      </c>
      <c r="U1579" s="372" t="s">
        <v>10530</v>
      </c>
      <c r="V1579" s="722">
        <v>0</v>
      </c>
      <c r="W1579" s="722">
        <v>2.76</v>
      </c>
      <c r="X1579" s="722">
        <v>0</v>
      </c>
      <c r="Y1579" s="722">
        <v>0</v>
      </c>
      <c r="Z1579" s="382" t="s">
        <v>934</v>
      </c>
      <c r="AA1579" s="372">
        <v>238.9596502</v>
      </c>
      <c r="AB1579" s="372">
        <v>317.06906780000003</v>
      </c>
      <c r="AC1579" s="372">
        <v>414.2495065</v>
      </c>
      <c r="AD1579" s="372">
        <v>93.702167399999993</v>
      </c>
      <c r="AE1579" s="372">
        <v>0</v>
      </c>
      <c r="AF1579" s="372">
        <v>0</v>
      </c>
      <c r="AG1579" s="372">
        <v>0</v>
      </c>
      <c r="AH1579" s="372">
        <v>0</v>
      </c>
    </row>
    <row r="1580" spans="1:34">
      <c r="A1580" s="372" t="s">
        <v>10531</v>
      </c>
      <c r="B1580" s="373" t="s">
        <v>10532</v>
      </c>
      <c r="C1580" s="372" t="s">
        <v>10533</v>
      </c>
      <c r="D1580" s="374">
        <v>1101113516105</v>
      </c>
      <c r="E1580" s="372" t="s">
        <v>10534</v>
      </c>
      <c r="F1580" s="375" t="s">
        <v>1381</v>
      </c>
      <c r="G1580" s="375" t="s">
        <v>1381</v>
      </c>
      <c r="H1580" s="375" t="s">
        <v>1693</v>
      </c>
      <c r="I1580" s="375" t="s">
        <v>869</v>
      </c>
      <c r="J1580" s="375">
        <v>54359.306570000001</v>
      </c>
      <c r="K1580" s="375">
        <v>-3849.04736</v>
      </c>
      <c r="L1580" s="375">
        <v>-9329.7097099999992</v>
      </c>
      <c r="M1580" s="375">
        <v>15370.49649</v>
      </c>
      <c r="N1580" s="372">
        <v>1.165</v>
      </c>
      <c r="O1580" s="703">
        <v>24.96284402927839</v>
      </c>
      <c r="P1580" s="375" t="s">
        <v>623</v>
      </c>
      <c r="Q1580" s="375" t="s">
        <v>623</v>
      </c>
      <c r="R1580" s="695">
        <v>20191031</v>
      </c>
      <c r="S1580" s="375" t="s">
        <v>10535</v>
      </c>
      <c r="T1580" s="696" t="s">
        <v>772</v>
      </c>
      <c r="U1580" s="372" t="s">
        <v>10536</v>
      </c>
      <c r="V1580" s="722" t="s">
        <v>774</v>
      </c>
      <c r="W1580" s="722">
        <v>5.17</v>
      </c>
      <c r="X1580" s="722">
        <v>1.53</v>
      </c>
      <c r="Y1580" s="722" t="s">
        <v>774</v>
      </c>
      <c r="Z1580" s="382" t="s">
        <v>934</v>
      </c>
      <c r="AA1580" s="372">
        <v>346.23053429999999</v>
      </c>
      <c r="AB1580" s="372">
        <v>393.26882180000001</v>
      </c>
      <c r="AC1580" s="372">
        <v>359.42703340000003</v>
      </c>
      <c r="AD1580" s="372">
        <v>543.59306570000001</v>
      </c>
      <c r="AE1580" s="372">
        <v>773</v>
      </c>
      <c r="AF1580" s="372">
        <v>884</v>
      </c>
      <c r="AG1580" s="372">
        <v>0</v>
      </c>
      <c r="AH1580" s="372">
        <v>0</v>
      </c>
    </row>
    <row r="1581" spans="1:34">
      <c r="A1581" s="372" t="s">
        <v>10537</v>
      </c>
      <c r="B1581" s="373" t="s">
        <v>10538</v>
      </c>
      <c r="C1581" s="372" t="s">
        <v>10539</v>
      </c>
      <c r="D1581" s="374">
        <v>1601110247141</v>
      </c>
      <c r="E1581" s="372" t="s">
        <v>10540</v>
      </c>
      <c r="F1581" s="375" t="s">
        <v>1259</v>
      </c>
      <c r="G1581" s="375" t="s">
        <v>1259</v>
      </c>
      <c r="H1581" s="375" t="s">
        <v>868</v>
      </c>
      <c r="I1581" s="375" t="s">
        <v>869</v>
      </c>
      <c r="J1581" s="375">
        <v>74.963629999999995</v>
      </c>
      <c r="K1581" s="375">
        <v>-12101.788430000001</v>
      </c>
      <c r="L1581" s="375">
        <v>-14246.56559</v>
      </c>
      <c r="M1581" s="375">
        <v>16584.731520000001</v>
      </c>
      <c r="N1581" s="372">
        <v>0.879</v>
      </c>
      <c r="O1581" s="703">
        <v>6.4937126974922705</v>
      </c>
      <c r="P1581" s="375" t="s">
        <v>16142</v>
      </c>
      <c r="Q1581" s="372" t="s">
        <v>16145</v>
      </c>
      <c r="R1581" s="695">
        <v>20181121</v>
      </c>
      <c r="S1581" s="372" t="s">
        <v>10541</v>
      </c>
      <c r="T1581" s="696" t="s">
        <v>772</v>
      </c>
      <c r="U1581" s="372" t="s">
        <v>10542</v>
      </c>
      <c r="V1581" s="722" t="s">
        <v>774</v>
      </c>
      <c r="W1581" s="722">
        <v>6.8</v>
      </c>
      <c r="X1581" s="722">
        <v>1295.05</v>
      </c>
      <c r="Y1581" s="722" t="s">
        <v>774</v>
      </c>
      <c r="Z1581" s="382" t="s">
        <v>934</v>
      </c>
      <c r="AA1581" s="372">
        <v>0.59818179999999999</v>
      </c>
      <c r="AB1581" s="372">
        <v>0.67698000000000003</v>
      </c>
      <c r="AC1581" s="372">
        <v>2.0659817999999999</v>
      </c>
      <c r="AD1581" s="372">
        <v>0.74963630000000003</v>
      </c>
      <c r="AE1581" s="372">
        <v>0</v>
      </c>
      <c r="AF1581" s="372">
        <v>0</v>
      </c>
      <c r="AG1581" s="372">
        <v>0</v>
      </c>
      <c r="AH1581" s="372">
        <v>0</v>
      </c>
    </row>
    <row r="1582" spans="1:34">
      <c r="A1582" s="372" t="s">
        <v>10543</v>
      </c>
      <c r="B1582" s="373" t="s">
        <v>10544</v>
      </c>
      <c r="C1582" s="372" t="s">
        <v>10545</v>
      </c>
      <c r="D1582" s="374">
        <v>1901110021119</v>
      </c>
      <c r="E1582" s="372" t="s">
        <v>10546</v>
      </c>
      <c r="F1582" s="372" t="s">
        <v>10547</v>
      </c>
      <c r="G1582" s="375" t="s">
        <v>10548</v>
      </c>
      <c r="H1582" s="375" t="s">
        <v>868</v>
      </c>
      <c r="I1582" s="375" t="s">
        <v>869</v>
      </c>
      <c r="J1582" s="375">
        <v>23076.476620000001</v>
      </c>
      <c r="K1582" s="375">
        <v>-3467.2923900000001</v>
      </c>
      <c r="L1582" s="375">
        <v>-3326.45352</v>
      </c>
      <c r="M1582" s="375">
        <v>75595.503360000002</v>
      </c>
      <c r="N1582" s="372">
        <v>1.7</v>
      </c>
      <c r="O1582" s="703">
        <v>14.308713060300166</v>
      </c>
      <c r="P1582" s="375" t="s">
        <v>16142</v>
      </c>
      <c r="Q1582" s="372" t="s">
        <v>16145</v>
      </c>
      <c r="R1582" s="695">
        <v>20040102</v>
      </c>
      <c r="S1582" s="372" t="s">
        <v>10549</v>
      </c>
      <c r="T1582" s="696" t="s">
        <v>772</v>
      </c>
      <c r="U1582" s="372" t="s">
        <v>10550</v>
      </c>
      <c r="V1582" s="722" t="s">
        <v>774</v>
      </c>
      <c r="W1582" s="722">
        <v>1.6</v>
      </c>
      <c r="X1582" s="722">
        <v>5.77</v>
      </c>
      <c r="Y1582" s="722" t="s">
        <v>774</v>
      </c>
      <c r="Z1582" s="382" t="s">
        <v>934</v>
      </c>
      <c r="AA1582" s="372">
        <v>160.87225230000001</v>
      </c>
      <c r="AB1582" s="372">
        <v>219.90446539999999</v>
      </c>
      <c r="AC1582" s="372">
        <v>228.09072879999999</v>
      </c>
      <c r="AD1582" s="372">
        <v>230.7647662</v>
      </c>
      <c r="AE1582" s="372">
        <v>0</v>
      </c>
      <c r="AF1582" s="372">
        <v>0</v>
      </c>
      <c r="AG1582" s="372">
        <v>0</v>
      </c>
      <c r="AH1582" s="372">
        <v>0</v>
      </c>
    </row>
    <row r="1583" spans="1:34">
      <c r="A1583" s="372" t="s">
        <v>10551</v>
      </c>
      <c r="B1583" s="373" t="s">
        <v>10552</v>
      </c>
      <c r="C1583" s="372" t="s">
        <v>10553</v>
      </c>
      <c r="D1583" s="374">
        <v>1101110236590</v>
      </c>
      <c r="E1583" s="372" t="s">
        <v>10554</v>
      </c>
      <c r="F1583" s="372" t="s">
        <v>5169</v>
      </c>
      <c r="G1583" s="375" t="s">
        <v>10555</v>
      </c>
      <c r="H1583" s="375" t="s">
        <v>4894</v>
      </c>
      <c r="I1583" s="375" t="s">
        <v>869</v>
      </c>
      <c r="J1583" s="375">
        <v>871724.99514000001</v>
      </c>
      <c r="K1583" s="375">
        <v>37561.158349999998</v>
      </c>
      <c r="L1583" s="375">
        <v>38585.945249999997</v>
      </c>
      <c r="M1583" s="375">
        <v>210269.74040000001</v>
      </c>
      <c r="N1583" s="372">
        <v>1.1279999999999999</v>
      </c>
      <c r="O1583" s="703">
        <v>37.526436824140298</v>
      </c>
      <c r="P1583" s="375" t="s">
        <v>623</v>
      </c>
      <c r="Q1583" s="372" t="s">
        <v>623</v>
      </c>
      <c r="R1583" s="695">
        <v>19961223</v>
      </c>
      <c r="S1583" s="372" t="s">
        <v>10556</v>
      </c>
      <c r="T1583" s="696">
        <v>0.23100000000000001</v>
      </c>
      <c r="U1583" s="372" t="s">
        <v>10557</v>
      </c>
      <c r="V1583" s="722">
        <v>2.17</v>
      </c>
      <c r="W1583" s="722">
        <v>0.43</v>
      </c>
      <c r="X1583" s="722">
        <v>0.11</v>
      </c>
      <c r="Y1583" s="722">
        <v>3.05</v>
      </c>
      <c r="Z1583" s="382" t="s">
        <v>934</v>
      </c>
      <c r="AA1583" s="372">
        <v>6412.2806578</v>
      </c>
      <c r="AB1583" s="372">
        <v>4326.4612155000004</v>
      </c>
      <c r="AC1583" s="372">
        <v>10319.694655900001</v>
      </c>
      <c r="AD1583" s="372">
        <v>8717.2499513999992</v>
      </c>
      <c r="AE1583" s="372">
        <v>0</v>
      </c>
      <c r="AF1583" s="372">
        <v>0</v>
      </c>
      <c r="AG1583" s="372">
        <v>0</v>
      </c>
      <c r="AH1583" s="372">
        <v>0</v>
      </c>
    </row>
    <row r="1584" spans="1:34">
      <c r="A1584" s="372" t="s">
        <v>10558</v>
      </c>
      <c r="B1584" s="373" t="s">
        <v>10559</v>
      </c>
      <c r="C1584" s="372" t="s">
        <v>10560</v>
      </c>
      <c r="D1584" s="374">
        <v>1101113489154</v>
      </c>
      <c r="E1584" s="372" t="s">
        <v>10561</v>
      </c>
      <c r="F1584" s="375" t="s">
        <v>3924</v>
      </c>
      <c r="G1584" s="375" t="s">
        <v>7859</v>
      </c>
      <c r="H1584" s="375" t="s">
        <v>902</v>
      </c>
      <c r="I1584" s="375" t="s">
        <v>869</v>
      </c>
      <c r="J1584" s="375">
        <v>9667.5033500000009</v>
      </c>
      <c r="K1584" s="375">
        <v>3400.2467799999999</v>
      </c>
      <c r="L1584" s="375">
        <v>4565.6399000000001</v>
      </c>
      <c r="M1584" s="375">
        <v>56397.998520000001</v>
      </c>
      <c r="N1584" s="372">
        <v>0.95899999999999996</v>
      </c>
      <c r="O1584" s="703">
        <v>0</v>
      </c>
      <c r="P1584" s="375" t="s">
        <v>623</v>
      </c>
      <c r="Q1584" s="372" t="s">
        <v>623</v>
      </c>
      <c r="R1584" s="695">
        <v>20180314</v>
      </c>
      <c r="S1584" s="372" t="s">
        <v>9621</v>
      </c>
      <c r="T1584" s="696">
        <v>0.20900000000000002</v>
      </c>
      <c r="U1584" s="372" t="s">
        <v>10562</v>
      </c>
      <c r="V1584" s="722">
        <v>0</v>
      </c>
      <c r="W1584" s="722">
        <v>1.07</v>
      </c>
      <c r="X1584" s="722">
        <v>6.88</v>
      </c>
      <c r="Y1584" s="722">
        <v>18.079999999999998</v>
      </c>
      <c r="Z1584" s="382" t="s">
        <v>934</v>
      </c>
      <c r="AA1584" s="372">
        <v>115.5134456</v>
      </c>
      <c r="AB1584" s="372">
        <v>161.9284519</v>
      </c>
      <c r="AC1584" s="372">
        <v>97.782981100000001</v>
      </c>
      <c r="AD1584" s="372">
        <v>96.675033499999998</v>
      </c>
      <c r="AE1584" s="372">
        <v>0</v>
      </c>
      <c r="AF1584" s="372">
        <v>0</v>
      </c>
      <c r="AG1584" s="372">
        <v>0</v>
      </c>
      <c r="AH1584" s="372">
        <v>0</v>
      </c>
    </row>
    <row r="1585" spans="1:34">
      <c r="A1585" s="372" t="s">
        <v>10563</v>
      </c>
      <c r="B1585" s="373" t="s">
        <v>10564</v>
      </c>
      <c r="C1585" s="372" t="s">
        <v>10565</v>
      </c>
      <c r="D1585" s="374">
        <v>1101110061666</v>
      </c>
      <c r="E1585" s="372" t="s">
        <v>10566</v>
      </c>
      <c r="F1585" s="375" t="s">
        <v>6331</v>
      </c>
      <c r="G1585" s="375" t="s">
        <v>6332</v>
      </c>
      <c r="H1585" s="375" t="s">
        <v>1348</v>
      </c>
      <c r="I1585" s="375" t="s">
        <v>869</v>
      </c>
      <c r="J1585" s="375">
        <v>341055.30884000001</v>
      </c>
      <c r="K1585" s="375">
        <v>18309.702870000001</v>
      </c>
      <c r="L1585" s="375">
        <v>23963.894550000001</v>
      </c>
      <c r="M1585" s="375">
        <v>126955.85285</v>
      </c>
      <c r="N1585" s="372">
        <v>1.032</v>
      </c>
      <c r="O1585" s="703">
        <v>11.642643470975464</v>
      </c>
      <c r="P1585" s="375" t="s">
        <v>623</v>
      </c>
      <c r="Q1585" s="372" t="s">
        <v>623</v>
      </c>
      <c r="R1585" s="695">
        <v>20020111</v>
      </c>
      <c r="S1585" s="375" t="s">
        <v>10567</v>
      </c>
      <c r="T1585" s="696">
        <v>0.23100000000000001</v>
      </c>
      <c r="U1585" s="372" t="s">
        <v>10568</v>
      </c>
      <c r="V1585" s="722">
        <v>0</v>
      </c>
      <c r="W1585" s="722">
        <v>0.78</v>
      </c>
      <c r="X1585" s="722">
        <v>0</v>
      </c>
      <c r="Y1585" s="722">
        <v>0</v>
      </c>
      <c r="Z1585" s="382" t="s">
        <v>934</v>
      </c>
      <c r="AA1585" s="372">
        <v>2122.5892491999998</v>
      </c>
      <c r="AB1585" s="372">
        <v>2622.3568197</v>
      </c>
      <c r="AC1585" s="372">
        <v>3039.6130143</v>
      </c>
      <c r="AD1585" s="372">
        <v>3410.5530884</v>
      </c>
      <c r="AE1585" s="372">
        <v>0</v>
      </c>
      <c r="AF1585" s="372">
        <v>0</v>
      </c>
      <c r="AG1585" s="372">
        <v>0</v>
      </c>
      <c r="AH1585" s="372">
        <v>0</v>
      </c>
    </row>
    <row r="1586" spans="1:34">
      <c r="A1586" s="372" t="s">
        <v>10569</v>
      </c>
      <c r="B1586" s="373" t="s">
        <v>10570</v>
      </c>
      <c r="C1586" s="372" t="s">
        <v>10571</v>
      </c>
      <c r="D1586" s="374">
        <v>1101110319320</v>
      </c>
      <c r="E1586" s="372" t="s">
        <v>10572</v>
      </c>
      <c r="F1586" s="375" t="s">
        <v>1553</v>
      </c>
      <c r="G1586" s="375" t="s">
        <v>3677</v>
      </c>
      <c r="H1586" s="375" t="s">
        <v>1555</v>
      </c>
      <c r="I1586" s="375" t="s">
        <v>755</v>
      </c>
      <c r="J1586" s="375">
        <v>295303.51108999999</v>
      </c>
      <c r="K1586" s="375">
        <v>21331.953270000002</v>
      </c>
      <c r="L1586" s="375">
        <v>26560.11304</v>
      </c>
      <c r="M1586" s="375">
        <v>260357.52906</v>
      </c>
      <c r="N1586" s="372">
        <v>0.90800000000000003</v>
      </c>
      <c r="O1586" s="703">
        <v>2.1700769623001146</v>
      </c>
      <c r="P1586" s="375" t="s">
        <v>623</v>
      </c>
      <c r="Q1586" s="375" t="s">
        <v>623</v>
      </c>
      <c r="R1586" s="695">
        <v>19900920</v>
      </c>
      <c r="S1586" s="375" t="s">
        <v>10573</v>
      </c>
      <c r="T1586" s="696">
        <v>0.23100000000000001</v>
      </c>
      <c r="U1586" s="375" t="s">
        <v>10574</v>
      </c>
      <c r="V1586" s="722">
        <v>0</v>
      </c>
      <c r="W1586" s="722">
        <v>0.34</v>
      </c>
      <c r="X1586" s="722">
        <v>0</v>
      </c>
      <c r="Y1586" s="722">
        <v>0</v>
      </c>
      <c r="Z1586" s="382" t="s">
        <v>934</v>
      </c>
      <c r="AA1586" s="372">
        <v>2531.9894561999999</v>
      </c>
      <c r="AB1586" s="372">
        <v>2878.9644105000002</v>
      </c>
      <c r="AC1586" s="372">
        <v>3193.0527959000001</v>
      </c>
      <c r="AD1586" s="372">
        <v>2953.0351108999998</v>
      </c>
      <c r="AE1586" s="372">
        <v>0</v>
      </c>
      <c r="AF1586" s="372">
        <v>0</v>
      </c>
      <c r="AG1586" s="372">
        <v>0</v>
      </c>
      <c r="AH1586" s="372">
        <v>0</v>
      </c>
    </row>
    <row r="1587" spans="1:34">
      <c r="A1587" s="372" t="s">
        <v>10575</v>
      </c>
      <c r="B1587" s="373" t="s">
        <v>10576</v>
      </c>
      <c r="C1587" s="372" t="s">
        <v>10577</v>
      </c>
      <c r="D1587" s="374">
        <v>1101112463654</v>
      </c>
      <c r="E1587" s="372" t="s">
        <v>10578</v>
      </c>
      <c r="F1587" s="375" t="s">
        <v>5569</v>
      </c>
      <c r="G1587" s="375" t="s">
        <v>5569</v>
      </c>
      <c r="H1587" s="375" t="s">
        <v>868</v>
      </c>
      <c r="I1587" s="375" t="s">
        <v>869</v>
      </c>
      <c r="J1587" s="375">
        <v>27708.93001</v>
      </c>
      <c r="K1587" s="375">
        <v>1525.7835399999999</v>
      </c>
      <c r="L1587" s="375">
        <v>5150.2267400000001</v>
      </c>
      <c r="M1587" s="375">
        <v>35832.397319999996</v>
      </c>
      <c r="N1587" s="372">
        <v>1.3520000000000001</v>
      </c>
      <c r="O1587" s="703">
        <v>33.5049367704761</v>
      </c>
      <c r="P1587" s="375" t="s">
        <v>623</v>
      </c>
      <c r="Q1587" s="375" t="s">
        <v>623</v>
      </c>
      <c r="R1587" s="695">
        <v>20211103</v>
      </c>
      <c r="S1587" s="375" t="s">
        <v>10579</v>
      </c>
      <c r="T1587" s="696">
        <v>0.20900000000000002</v>
      </c>
      <c r="U1587" s="372" t="s">
        <v>10580</v>
      </c>
      <c r="V1587" s="722">
        <v>35.659999999999997</v>
      </c>
      <c r="W1587" s="722">
        <v>2.78</v>
      </c>
      <c r="X1587" s="722">
        <v>3.65</v>
      </c>
      <c r="Y1587" s="722">
        <v>22.71</v>
      </c>
      <c r="Z1587" s="382" t="s">
        <v>934</v>
      </c>
      <c r="AA1587" s="372">
        <v>242.7273442</v>
      </c>
      <c r="AB1587" s="372">
        <v>264.31821050000002</v>
      </c>
      <c r="AC1587" s="372">
        <v>293.74438989999999</v>
      </c>
      <c r="AD1587" s="372">
        <v>277.0893001</v>
      </c>
      <c r="AE1587" s="372">
        <v>0</v>
      </c>
      <c r="AF1587" s="372">
        <v>0</v>
      </c>
      <c r="AG1587" s="372">
        <v>0</v>
      </c>
      <c r="AH1587" s="372">
        <v>0</v>
      </c>
    </row>
    <row r="1588" spans="1:34">
      <c r="A1588" s="372" t="s">
        <v>10581</v>
      </c>
      <c r="B1588" s="373" t="s">
        <v>10582</v>
      </c>
      <c r="C1588" s="372" t="s">
        <v>10583</v>
      </c>
      <c r="D1588" s="374">
        <v>1345110031382</v>
      </c>
      <c r="E1588" s="372" t="s">
        <v>10584</v>
      </c>
      <c r="F1588" s="375" t="s">
        <v>1259</v>
      </c>
      <c r="G1588" s="375" t="s">
        <v>1259</v>
      </c>
      <c r="H1588" s="375" t="s">
        <v>868</v>
      </c>
      <c r="I1588" s="375" t="s">
        <v>869</v>
      </c>
      <c r="J1588" s="375">
        <v>36307.203780000003</v>
      </c>
      <c r="K1588" s="375">
        <v>965.31560999999999</v>
      </c>
      <c r="L1588" s="375">
        <v>13948.744640000001</v>
      </c>
      <c r="M1588" s="375">
        <v>104944.53393999999</v>
      </c>
      <c r="N1588" s="372">
        <v>1.2310000000000001</v>
      </c>
      <c r="O1588" s="703">
        <v>30.50554764960286</v>
      </c>
      <c r="P1588" s="375" t="s">
        <v>623</v>
      </c>
      <c r="Q1588" s="375" t="s">
        <v>623</v>
      </c>
      <c r="R1588" s="695">
        <v>20141124</v>
      </c>
      <c r="S1588" s="375" t="s">
        <v>10585</v>
      </c>
      <c r="T1588" s="696">
        <v>0.20900000000000002</v>
      </c>
      <c r="U1588" s="372" t="s">
        <v>10586</v>
      </c>
      <c r="V1588" s="722">
        <v>21.22</v>
      </c>
      <c r="W1588" s="722">
        <v>0.97</v>
      </c>
      <c r="X1588" s="722">
        <v>2.79</v>
      </c>
      <c r="Y1588" s="722">
        <v>7.28</v>
      </c>
      <c r="Z1588" s="382" t="s">
        <v>934</v>
      </c>
      <c r="AA1588" s="372">
        <v>331.41153910000003</v>
      </c>
      <c r="AB1588" s="372">
        <v>378.4115031</v>
      </c>
      <c r="AC1588" s="372">
        <v>278.2999916</v>
      </c>
      <c r="AD1588" s="372">
        <v>363.07203779999998</v>
      </c>
      <c r="AE1588" s="372">
        <v>0</v>
      </c>
      <c r="AF1588" s="372">
        <v>0</v>
      </c>
      <c r="AG1588" s="372">
        <v>0</v>
      </c>
      <c r="AH1588" s="372">
        <v>0</v>
      </c>
    </row>
    <row r="1589" spans="1:34">
      <c r="A1589" s="372" t="s">
        <v>10587</v>
      </c>
      <c r="B1589" s="373" t="s">
        <v>10588</v>
      </c>
      <c r="C1589" s="372" t="s">
        <v>10589</v>
      </c>
      <c r="D1589" s="374">
        <v>1341110002307</v>
      </c>
      <c r="E1589" s="372" t="s">
        <v>10590</v>
      </c>
      <c r="F1589" s="375" t="s">
        <v>1334</v>
      </c>
      <c r="G1589" s="375" t="s">
        <v>1334</v>
      </c>
      <c r="H1589" s="375" t="s">
        <v>788</v>
      </c>
      <c r="I1589" s="375" t="s">
        <v>755</v>
      </c>
      <c r="J1589" s="375">
        <v>137209.58867</v>
      </c>
      <c r="K1589" s="375">
        <v>364.53712000000002</v>
      </c>
      <c r="L1589" s="375">
        <v>-5442.1453700000002</v>
      </c>
      <c r="M1589" s="375">
        <v>120355.65488</v>
      </c>
      <c r="N1589" s="372">
        <v>0.78600000000000003</v>
      </c>
      <c r="O1589" s="703">
        <v>51.756531486153293</v>
      </c>
      <c r="P1589" s="375" t="s">
        <v>623</v>
      </c>
      <c r="Q1589" s="372" t="s">
        <v>623</v>
      </c>
      <c r="R1589" s="695">
        <v>19751118</v>
      </c>
      <c r="S1589" s="372" t="s">
        <v>10591</v>
      </c>
      <c r="T1589" s="696" t="s">
        <v>772</v>
      </c>
      <c r="U1589" s="372" t="s">
        <v>10592</v>
      </c>
      <c r="V1589" s="722">
        <v>20.56</v>
      </c>
      <c r="W1589" s="722">
        <v>0.88</v>
      </c>
      <c r="X1589" s="722">
        <v>0.76</v>
      </c>
      <c r="Y1589" s="722" t="s">
        <v>774</v>
      </c>
      <c r="Z1589" s="382" t="s">
        <v>934</v>
      </c>
      <c r="AA1589" s="372">
        <v>981.19846399999994</v>
      </c>
      <c r="AB1589" s="372">
        <v>1156.5548498999999</v>
      </c>
      <c r="AC1589" s="372">
        <v>1388.8105634000001</v>
      </c>
      <c r="AD1589" s="372">
        <v>1372.0958866999999</v>
      </c>
      <c r="AE1589" s="372">
        <v>0</v>
      </c>
      <c r="AF1589" s="372">
        <v>0</v>
      </c>
      <c r="AG1589" s="372">
        <v>0</v>
      </c>
      <c r="AH1589" s="372">
        <v>0</v>
      </c>
    </row>
    <row r="1590" spans="1:34">
      <c r="A1590" s="372" t="s">
        <v>10593</v>
      </c>
      <c r="B1590" s="373" t="s">
        <v>10594</v>
      </c>
      <c r="C1590" s="372" t="s">
        <v>10595</v>
      </c>
      <c r="D1590" s="374">
        <v>2850110153481</v>
      </c>
      <c r="E1590" s="372" t="s">
        <v>10596</v>
      </c>
      <c r="F1590" s="375" t="s">
        <v>1728</v>
      </c>
      <c r="G1590" s="375" t="s">
        <v>3299</v>
      </c>
      <c r="H1590" s="375" t="s">
        <v>868</v>
      </c>
      <c r="I1590" s="375" t="s">
        <v>869</v>
      </c>
      <c r="J1590" s="375">
        <v>4144.2923000000001</v>
      </c>
      <c r="K1590" s="375">
        <v>-8667.4309300000004</v>
      </c>
      <c r="L1590" s="375">
        <v>-10361.829089999999</v>
      </c>
      <c r="M1590" s="375">
        <v>31347.195329999999</v>
      </c>
      <c r="N1590" s="372">
        <v>1.123</v>
      </c>
      <c r="O1590" s="703">
        <v>19.964239641765619</v>
      </c>
      <c r="P1590" s="375" t="s">
        <v>623</v>
      </c>
      <c r="Q1590" s="375" t="s">
        <v>623</v>
      </c>
      <c r="R1590" s="695">
        <v>20160906</v>
      </c>
      <c r="S1590" s="375" t="s">
        <v>10597</v>
      </c>
      <c r="T1590" s="696" t="s">
        <v>772</v>
      </c>
      <c r="U1590" s="372" t="s">
        <v>10598</v>
      </c>
      <c r="V1590" s="722">
        <v>0</v>
      </c>
      <c r="W1590" s="722">
        <v>2.86</v>
      </c>
      <c r="X1590" s="722">
        <v>0</v>
      </c>
      <c r="Y1590" s="722">
        <v>0</v>
      </c>
      <c r="Z1590" s="382" t="s">
        <v>934</v>
      </c>
      <c r="AA1590" s="372">
        <v>180.4064817</v>
      </c>
      <c r="AB1590" s="372">
        <v>202.4558978</v>
      </c>
      <c r="AC1590" s="372">
        <v>149.93012300000001</v>
      </c>
      <c r="AD1590" s="372">
        <v>41.442923</v>
      </c>
      <c r="AE1590" s="372">
        <v>0</v>
      </c>
      <c r="AF1590" s="372">
        <v>0</v>
      </c>
      <c r="AG1590" s="372">
        <v>0</v>
      </c>
      <c r="AH1590" s="372">
        <v>0</v>
      </c>
    </row>
    <row r="1591" spans="1:34">
      <c r="A1591" s="372" t="s">
        <v>10599</v>
      </c>
      <c r="B1591" s="373" t="s">
        <v>10600</v>
      </c>
      <c r="C1591" s="372" t="s">
        <v>10601</v>
      </c>
      <c r="D1591" s="374">
        <v>1101111955008</v>
      </c>
      <c r="E1591" s="372" t="s">
        <v>10602</v>
      </c>
      <c r="F1591" s="375" t="s">
        <v>1814</v>
      </c>
      <c r="G1591" s="375" t="s">
        <v>1815</v>
      </c>
      <c r="H1591" s="375" t="s">
        <v>1693</v>
      </c>
      <c r="I1591" s="375" t="s">
        <v>869</v>
      </c>
      <c r="J1591" s="375">
        <v>16986.316900000002</v>
      </c>
      <c r="K1591" s="375">
        <v>-5830.2652699999999</v>
      </c>
      <c r="L1591" s="375">
        <v>-5409.3112499999997</v>
      </c>
      <c r="M1591" s="375">
        <v>8204.4176000000007</v>
      </c>
      <c r="N1591" s="372" t="s">
        <v>1033</v>
      </c>
      <c r="O1591" s="703">
        <v>5.4144549599873555</v>
      </c>
      <c r="P1591" s="375" t="s">
        <v>623</v>
      </c>
      <c r="Q1591" s="372" t="s">
        <v>623</v>
      </c>
      <c r="R1591" s="695">
        <v>20230130</v>
      </c>
      <c r="S1591" s="372" t="s">
        <v>10603</v>
      </c>
      <c r="T1591" s="696" t="s">
        <v>772</v>
      </c>
      <c r="U1591" s="372" t="s">
        <v>10604</v>
      </c>
      <c r="V1591" s="722">
        <v>0</v>
      </c>
      <c r="W1591" s="722">
        <v>10.42</v>
      </c>
      <c r="X1591" s="722">
        <v>0</v>
      </c>
      <c r="Y1591" s="722">
        <v>0</v>
      </c>
      <c r="Z1591" s="382" t="s">
        <v>934</v>
      </c>
      <c r="AA1591" s="372">
        <v>151.06974399999999</v>
      </c>
      <c r="AB1591" s="372">
        <v>200.7498641</v>
      </c>
      <c r="AC1591" s="372">
        <v>259.33381120000001</v>
      </c>
      <c r="AD1591" s="372">
        <v>169.863169</v>
      </c>
      <c r="AE1591" s="372">
        <v>0</v>
      </c>
      <c r="AF1591" s="372">
        <v>0</v>
      </c>
      <c r="AG1591" s="372">
        <v>0</v>
      </c>
      <c r="AH1591" s="372">
        <v>0</v>
      </c>
    </row>
    <row r="1592" spans="1:34">
      <c r="A1592" s="372" t="s">
        <v>10605</v>
      </c>
      <c r="B1592" s="373" t="s">
        <v>10606</v>
      </c>
      <c r="C1592" s="372" t="s">
        <v>10607</v>
      </c>
      <c r="D1592" s="374">
        <v>1101110660830</v>
      </c>
      <c r="E1592" s="372" t="s">
        <v>10608</v>
      </c>
      <c r="F1592" s="372" t="s">
        <v>1774</v>
      </c>
      <c r="G1592" s="375" t="s">
        <v>6561</v>
      </c>
      <c r="H1592" s="375" t="s">
        <v>868</v>
      </c>
      <c r="I1592" s="375" t="s">
        <v>869</v>
      </c>
      <c r="J1592" s="375">
        <v>22943.695629999998</v>
      </c>
      <c r="K1592" s="375">
        <v>-12.32757</v>
      </c>
      <c r="L1592" s="375">
        <v>698.36030000000005</v>
      </c>
      <c r="M1592" s="375">
        <v>59555.853909999998</v>
      </c>
      <c r="N1592" s="372">
        <v>0.75700000000000001</v>
      </c>
      <c r="O1592" s="703">
        <v>1.4676185807590196</v>
      </c>
      <c r="P1592" s="375" t="s">
        <v>623</v>
      </c>
      <c r="Q1592" s="375" t="s">
        <v>623</v>
      </c>
      <c r="R1592" s="695">
        <v>20011026</v>
      </c>
      <c r="S1592" s="375" t="s">
        <v>10609</v>
      </c>
      <c r="T1592" s="696">
        <v>0.20900000000000002</v>
      </c>
      <c r="U1592" s="372" t="s">
        <v>10610</v>
      </c>
      <c r="V1592" s="722">
        <v>409.82</v>
      </c>
      <c r="W1592" s="722">
        <v>1.35</v>
      </c>
      <c r="X1592" s="722">
        <v>3.63</v>
      </c>
      <c r="Y1592" s="722">
        <v>113.63</v>
      </c>
      <c r="Z1592" s="382" t="s">
        <v>934</v>
      </c>
      <c r="AA1592" s="372">
        <v>183.91439080000001</v>
      </c>
      <c r="AB1592" s="372">
        <v>251.96719419999999</v>
      </c>
      <c r="AC1592" s="372">
        <v>296.31566509999999</v>
      </c>
      <c r="AD1592" s="372">
        <v>229.43695629999999</v>
      </c>
      <c r="AE1592" s="372">
        <v>0</v>
      </c>
      <c r="AF1592" s="372">
        <v>0</v>
      </c>
      <c r="AG1592" s="372">
        <v>0</v>
      </c>
      <c r="AH1592" s="372">
        <v>0</v>
      </c>
    </row>
    <row r="1593" spans="1:34">
      <c r="A1593" s="372" t="s">
        <v>10611</v>
      </c>
      <c r="B1593" s="373" t="s">
        <v>10612</v>
      </c>
      <c r="C1593" s="372" t="s">
        <v>10613</v>
      </c>
      <c r="D1593" s="374">
        <v>1701110205600</v>
      </c>
      <c r="E1593" s="372" t="s">
        <v>10614</v>
      </c>
      <c r="F1593" s="375" t="s">
        <v>1889</v>
      </c>
      <c r="G1593" s="375" t="s">
        <v>7595</v>
      </c>
      <c r="H1593" s="375" t="s">
        <v>868</v>
      </c>
      <c r="I1593" s="375" t="s">
        <v>869</v>
      </c>
      <c r="J1593" s="375">
        <v>92797.688890000005</v>
      </c>
      <c r="K1593" s="375">
        <v>-6581.0482899999997</v>
      </c>
      <c r="L1593" s="375">
        <v>-9038.4874999999993</v>
      </c>
      <c r="M1593" s="375">
        <v>74099.084359999993</v>
      </c>
      <c r="N1593" s="372" t="s">
        <v>1033</v>
      </c>
      <c r="O1593" s="703">
        <v>123.91135039366337</v>
      </c>
      <c r="P1593" s="375" t="s">
        <v>623</v>
      </c>
      <c r="Q1593" s="372" t="s">
        <v>623</v>
      </c>
      <c r="R1593" s="695">
        <v>20220822</v>
      </c>
      <c r="S1593" s="372" t="s">
        <v>10615</v>
      </c>
      <c r="T1593" s="696" t="s">
        <v>772</v>
      </c>
      <c r="U1593" s="372" t="s">
        <v>10616</v>
      </c>
      <c r="V1593" s="722" t="s">
        <v>774</v>
      </c>
      <c r="W1593" s="722">
        <v>1.2</v>
      </c>
      <c r="X1593" s="722">
        <v>0.96</v>
      </c>
      <c r="Y1593" s="722" t="s">
        <v>774</v>
      </c>
      <c r="Z1593" s="382" t="s">
        <v>934</v>
      </c>
      <c r="AA1593" s="372">
        <v>719.36377070000003</v>
      </c>
      <c r="AB1593" s="372">
        <v>1125.785995</v>
      </c>
      <c r="AC1593" s="372">
        <v>1283.7224234</v>
      </c>
      <c r="AD1593" s="372">
        <v>927.97688889999995</v>
      </c>
      <c r="AE1593" s="372">
        <v>1176</v>
      </c>
      <c r="AF1593" s="372">
        <v>1415</v>
      </c>
      <c r="AG1593" s="372">
        <v>0</v>
      </c>
      <c r="AH1593" s="372">
        <v>0</v>
      </c>
    </row>
    <row r="1594" spans="1:34">
      <c r="A1594" s="372" t="s">
        <v>10617</v>
      </c>
      <c r="B1594" s="373" t="s">
        <v>10618</v>
      </c>
      <c r="C1594" s="372" t="s">
        <v>16185</v>
      </c>
      <c r="D1594" s="374">
        <v>1101113200360</v>
      </c>
      <c r="E1594" s="372" t="s">
        <v>10619</v>
      </c>
      <c r="F1594" s="375" t="s">
        <v>1814</v>
      </c>
      <c r="G1594" s="375" t="s">
        <v>1814</v>
      </c>
      <c r="H1594" s="375" t="s">
        <v>1693</v>
      </c>
      <c r="I1594" s="375" t="s">
        <v>869</v>
      </c>
      <c r="J1594" s="375">
        <v>0</v>
      </c>
      <c r="K1594" s="375">
        <v>0</v>
      </c>
      <c r="L1594" s="375">
        <v>0</v>
      </c>
      <c r="M1594" s="375">
        <v>27416.683710000001</v>
      </c>
      <c r="N1594" s="372" t="s">
        <v>1033</v>
      </c>
      <c r="O1594" s="703">
        <v>2.1189908679730816</v>
      </c>
      <c r="P1594" s="375" t="s">
        <v>623</v>
      </c>
      <c r="Q1594" s="375" t="s">
        <v>623</v>
      </c>
      <c r="R1594" s="695">
        <v>20231109</v>
      </c>
      <c r="S1594" s="375" t="s">
        <v>10620</v>
      </c>
      <c r="T1594" s="696" t="s">
        <v>772</v>
      </c>
      <c r="U1594" s="375" t="s">
        <v>10621</v>
      </c>
      <c r="V1594" s="722">
        <v>0</v>
      </c>
      <c r="W1594" s="722">
        <v>2.4300000000000002</v>
      </c>
      <c r="X1594" s="722">
        <v>0</v>
      </c>
      <c r="Y1594" s="722">
        <v>0</v>
      </c>
      <c r="Z1594" s="382" t="s">
        <v>934</v>
      </c>
      <c r="AA1594" s="372">
        <v>175.54483830000001</v>
      </c>
      <c r="AB1594" s="372">
        <v>209.24262809999999</v>
      </c>
      <c r="AC1594" s="372">
        <v>276.59091740000002</v>
      </c>
      <c r="AD1594" s="372">
        <v>258.55874319999998</v>
      </c>
      <c r="AE1594" s="372">
        <v>0</v>
      </c>
      <c r="AF1594" s="372">
        <v>0</v>
      </c>
      <c r="AG1594" s="372">
        <v>0</v>
      </c>
      <c r="AH1594" s="372">
        <v>0</v>
      </c>
    </row>
    <row r="1595" spans="1:34">
      <c r="A1595" s="372" t="s">
        <v>10622</v>
      </c>
      <c r="B1595" s="373" t="s">
        <v>10623</v>
      </c>
      <c r="C1595" s="372" t="s">
        <v>10624</v>
      </c>
      <c r="D1595" s="374">
        <v>1101116416683</v>
      </c>
      <c r="E1595" s="372" t="s">
        <v>10625</v>
      </c>
      <c r="F1595" s="375" t="s">
        <v>2126</v>
      </c>
      <c r="G1595" s="375" t="s">
        <v>2126</v>
      </c>
      <c r="H1595" s="375" t="s">
        <v>902</v>
      </c>
      <c r="I1595" s="375" t="s">
        <v>869</v>
      </c>
      <c r="J1595" s="375">
        <v>19002.05658</v>
      </c>
      <c r="K1595" s="375">
        <v>6440.5095799999999</v>
      </c>
      <c r="L1595" s="375">
        <v>6903.19776</v>
      </c>
      <c r="M1595" s="375">
        <v>88821.588900000002</v>
      </c>
      <c r="N1595" s="372">
        <v>1.024</v>
      </c>
      <c r="O1595" s="703">
        <v>0</v>
      </c>
      <c r="P1595" s="375" t="s">
        <v>623</v>
      </c>
      <c r="Q1595" s="375" t="s">
        <v>623</v>
      </c>
      <c r="R1595" s="695">
        <v>20220225</v>
      </c>
      <c r="S1595" s="375" t="s">
        <v>10626</v>
      </c>
      <c r="T1595" s="696">
        <v>0.20900000000000002</v>
      </c>
      <c r="U1595" s="372" t="s">
        <v>16071</v>
      </c>
      <c r="V1595" s="722">
        <v>0</v>
      </c>
      <c r="W1595" s="722">
        <v>1.2</v>
      </c>
      <c r="X1595" s="722">
        <v>0</v>
      </c>
      <c r="Y1595" s="722">
        <v>0</v>
      </c>
      <c r="Z1595" s="382" t="s">
        <v>934</v>
      </c>
      <c r="AA1595" s="372">
        <v>245.08612310000001</v>
      </c>
      <c r="AB1595" s="372">
        <v>424.11460410000001</v>
      </c>
      <c r="AC1595" s="372">
        <v>295.80726670000001</v>
      </c>
      <c r="AD1595" s="372">
        <v>190.02056580000001</v>
      </c>
      <c r="AE1595" s="372">
        <v>0</v>
      </c>
      <c r="AF1595" s="372">
        <v>0</v>
      </c>
      <c r="AG1595" s="372">
        <v>0</v>
      </c>
      <c r="AH1595" s="372">
        <v>0</v>
      </c>
    </row>
    <row r="1596" spans="1:34">
      <c r="A1596" s="372" t="s">
        <v>10627</v>
      </c>
      <c r="B1596" s="373" t="s">
        <v>10628</v>
      </c>
      <c r="C1596" s="372" t="s">
        <v>10629</v>
      </c>
      <c r="D1596" s="374">
        <v>1801110828129</v>
      </c>
      <c r="E1596" s="372" t="s">
        <v>10630</v>
      </c>
      <c r="F1596" s="375" t="s">
        <v>8893</v>
      </c>
      <c r="G1596" s="375" t="s">
        <v>8894</v>
      </c>
      <c r="H1596" s="375" t="s">
        <v>832</v>
      </c>
      <c r="I1596" s="375" t="s">
        <v>755</v>
      </c>
      <c r="J1596" s="375">
        <v>357776.40642000001</v>
      </c>
      <c r="K1596" s="375">
        <v>13689.300440000001</v>
      </c>
      <c r="L1596" s="375">
        <v>10837.06904</v>
      </c>
      <c r="M1596" s="375">
        <v>223697.55295000001</v>
      </c>
      <c r="N1596" s="372">
        <v>0.72299999999999998</v>
      </c>
      <c r="O1596" s="703">
        <v>75.268542557258527</v>
      </c>
      <c r="P1596" s="375" t="s">
        <v>623</v>
      </c>
      <c r="Q1596" s="372" t="s">
        <v>623</v>
      </c>
      <c r="R1596" s="695">
        <v>20121019</v>
      </c>
      <c r="S1596" s="372" t="s">
        <v>10631</v>
      </c>
      <c r="T1596" s="696">
        <v>0.20900000000000002</v>
      </c>
      <c r="U1596" s="372" t="s">
        <v>16072</v>
      </c>
      <c r="V1596" s="722">
        <v>4.9000000000000004</v>
      </c>
      <c r="W1596" s="722">
        <v>0.39</v>
      </c>
      <c r="X1596" s="722">
        <v>0.24</v>
      </c>
      <c r="Y1596" s="722">
        <v>9</v>
      </c>
      <c r="Z1596" s="382" t="s">
        <v>934</v>
      </c>
      <c r="AA1596" s="372">
        <v>2431.8180170999999</v>
      </c>
      <c r="AB1596" s="372">
        <v>2775.1253326000001</v>
      </c>
      <c r="AC1596" s="372">
        <v>3904.3984980999999</v>
      </c>
      <c r="AD1596" s="372">
        <v>3577.7640642000001</v>
      </c>
      <c r="AE1596" s="372">
        <v>0</v>
      </c>
      <c r="AF1596" s="372">
        <v>0</v>
      </c>
      <c r="AG1596" s="372">
        <v>0</v>
      </c>
      <c r="AH1596" s="372">
        <v>0</v>
      </c>
    </row>
    <row r="1597" spans="1:34">
      <c r="A1597" s="372" t="s">
        <v>10632</v>
      </c>
      <c r="B1597" s="373" t="s">
        <v>10633</v>
      </c>
      <c r="C1597" s="372" t="s">
        <v>10634</v>
      </c>
      <c r="D1597" s="374">
        <v>1101117588506</v>
      </c>
      <c r="E1597" s="372" t="s">
        <v>10635</v>
      </c>
      <c r="F1597" s="375" t="s">
        <v>7094</v>
      </c>
      <c r="G1597" s="375" t="s">
        <v>7094</v>
      </c>
      <c r="H1597" s="375" t="s">
        <v>1348</v>
      </c>
      <c r="I1597" s="375" t="s">
        <v>869</v>
      </c>
      <c r="J1597" s="375">
        <v>23890.581880000002</v>
      </c>
      <c r="K1597" s="375">
        <v>-1902.9222600000001</v>
      </c>
      <c r="L1597" s="375">
        <v>-1887.29144</v>
      </c>
      <c r="M1597" s="375">
        <v>48961.689469999998</v>
      </c>
      <c r="N1597" s="372">
        <v>1.1439999999999999</v>
      </c>
      <c r="O1597" s="703">
        <v>18.088871734948519</v>
      </c>
      <c r="P1597" s="375" t="s">
        <v>16142</v>
      </c>
      <c r="Q1597" s="375" t="s">
        <v>623</v>
      </c>
      <c r="R1597" s="695">
        <v>20210210</v>
      </c>
      <c r="S1597" s="375" t="s">
        <v>9098</v>
      </c>
      <c r="T1597" s="696" t="s">
        <v>772</v>
      </c>
      <c r="U1597" s="372" t="s">
        <v>10636</v>
      </c>
      <c r="V1597" s="722" t="s">
        <v>774</v>
      </c>
      <c r="W1597" s="722">
        <v>2.62</v>
      </c>
      <c r="X1597" s="722">
        <v>4.38</v>
      </c>
      <c r="Y1597" s="722" t="s">
        <v>774</v>
      </c>
      <c r="Z1597" s="382" t="s">
        <v>934</v>
      </c>
      <c r="AA1597" s="372">
        <v>146.41150930000001</v>
      </c>
      <c r="AB1597" s="372">
        <v>186.85209810000001</v>
      </c>
      <c r="AC1597" s="372">
        <v>160.5040362</v>
      </c>
      <c r="AD1597" s="372">
        <v>238.90581879999999</v>
      </c>
      <c r="AE1597" s="372">
        <v>0</v>
      </c>
      <c r="AF1597" s="372">
        <v>0</v>
      </c>
      <c r="AG1597" s="372">
        <v>0</v>
      </c>
      <c r="AH1597" s="372">
        <v>0</v>
      </c>
    </row>
    <row r="1598" spans="1:34">
      <c r="A1598" s="372" t="s">
        <v>10637</v>
      </c>
      <c r="B1598" s="373" t="s">
        <v>10638</v>
      </c>
      <c r="C1598" s="372" t="s">
        <v>10639</v>
      </c>
      <c r="D1598" s="374">
        <v>2801110086726</v>
      </c>
      <c r="E1598" s="372" t="s">
        <v>10640</v>
      </c>
      <c r="F1598" s="375" t="s">
        <v>2185</v>
      </c>
      <c r="G1598" s="375" t="s">
        <v>2186</v>
      </c>
      <c r="H1598" s="375" t="s">
        <v>868</v>
      </c>
      <c r="I1598" s="375" t="s">
        <v>869</v>
      </c>
      <c r="J1598" s="375">
        <v>101121.01210000001</v>
      </c>
      <c r="K1598" s="375">
        <v>10258.667369999999</v>
      </c>
      <c r="L1598" s="375">
        <v>10484.442419999999</v>
      </c>
      <c r="M1598" s="375">
        <v>98960.039040000003</v>
      </c>
      <c r="N1598" s="372">
        <v>1.048</v>
      </c>
      <c r="O1598" s="703">
        <v>109.56728476085593</v>
      </c>
      <c r="P1598" s="375" t="s">
        <v>623</v>
      </c>
      <c r="Q1598" s="372" t="s">
        <v>623</v>
      </c>
      <c r="R1598" s="695">
        <v>20150807</v>
      </c>
      <c r="S1598" s="372" t="s">
        <v>10641</v>
      </c>
      <c r="T1598" s="696">
        <v>0.20900000000000002</v>
      </c>
      <c r="U1598" s="372" t="s">
        <v>10642</v>
      </c>
      <c r="V1598" s="722">
        <v>9.01</v>
      </c>
      <c r="W1598" s="722">
        <v>0.78</v>
      </c>
      <c r="X1598" s="722">
        <v>0.8</v>
      </c>
      <c r="Y1598" s="722">
        <v>9.41</v>
      </c>
      <c r="Z1598" s="382" t="s">
        <v>934</v>
      </c>
      <c r="AA1598" s="372">
        <v>504.14008860000001</v>
      </c>
      <c r="AB1598" s="372">
        <v>715.31049299999995</v>
      </c>
      <c r="AC1598" s="372">
        <v>972.51566939999998</v>
      </c>
      <c r="AD1598" s="372">
        <v>1011.210121</v>
      </c>
      <c r="AE1598" s="372">
        <v>1130</v>
      </c>
      <c r="AF1598" s="372">
        <v>1190</v>
      </c>
      <c r="AG1598" s="372">
        <v>0</v>
      </c>
      <c r="AH1598" s="372">
        <v>0</v>
      </c>
    </row>
    <row r="1599" spans="1:34">
      <c r="A1599" s="372" t="s">
        <v>10643</v>
      </c>
      <c r="B1599" s="373" t="s">
        <v>10644</v>
      </c>
      <c r="C1599" s="372" t="s">
        <v>16186</v>
      </c>
      <c r="D1599" s="374">
        <v>1101110730732</v>
      </c>
      <c r="E1599" s="372" t="s">
        <v>16073</v>
      </c>
      <c r="F1599" s="375" t="s">
        <v>1592</v>
      </c>
      <c r="G1599" s="375" t="s">
        <v>6376</v>
      </c>
      <c r="H1599" s="375" t="s">
        <v>868</v>
      </c>
      <c r="I1599" s="375" t="s">
        <v>869</v>
      </c>
      <c r="J1599" s="375">
        <v>218078.4944</v>
      </c>
      <c r="K1599" s="375">
        <v>28946.84648</v>
      </c>
      <c r="L1599" s="375">
        <v>31490.74351</v>
      </c>
      <c r="M1599" s="375">
        <v>113952.50152000001</v>
      </c>
      <c r="N1599" s="372">
        <v>1.1180000000000001</v>
      </c>
      <c r="O1599" s="703">
        <v>43.198779722015807</v>
      </c>
      <c r="P1599" s="375" t="s">
        <v>623</v>
      </c>
      <c r="Q1599" s="375" t="s">
        <v>623</v>
      </c>
      <c r="R1599" s="695">
        <v>20140801</v>
      </c>
      <c r="S1599" s="375" t="s">
        <v>10645</v>
      </c>
      <c r="T1599" s="696">
        <v>0.23100000000000001</v>
      </c>
      <c r="U1599" s="372" t="s">
        <v>10646</v>
      </c>
      <c r="V1599" s="722">
        <v>2.79</v>
      </c>
      <c r="W1599" s="722">
        <v>0.8</v>
      </c>
      <c r="X1599" s="722">
        <v>0.42</v>
      </c>
      <c r="Y1599" s="722">
        <v>3.79</v>
      </c>
      <c r="Z1599" s="382" t="s">
        <v>934</v>
      </c>
      <c r="AA1599" s="372">
        <v>1231.8222269</v>
      </c>
      <c r="AB1599" s="372">
        <v>1528.8386765</v>
      </c>
      <c r="AC1599" s="372">
        <v>2016.0820022</v>
      </c>
      <c r="AD1599" s="372">
        <v>2180.784944</v>
      </c>
      <c r="AE1599" s="372">
        <v>0</v>
      </c>
      <c r="AF1599" s="372">
        <v>0</v>
      </c>
      <c r="AG1599" s="372">
        <v>0</v>
      </c>
      <c r="AH1599" s="372">
        <v>0</v>
      </c>
    </row>
    <row r="1600" spans="1:34">
      <c r="A1600" s="372" t="s">
        <v>10647</v>
      </c>
      <c r="B1600" s="373" t="s">
        <v>10648</v>
      </c>
      <c r="C1600" s="372" t="s">
        <v>10649</v>
      </c>
      <c r="D1600" s="374">
        <v>1352110032202</v>
      </c>
      <c r="E1600" s="372" t="s">
        <v>10650</v>
      </c>
      <c r="F1600" s="375" t="s">
        <v>10651</v>
      </c>
      <c r="G1600" s="375" t="s">
        <v>10651</v>
      </c>
      <c r="H1600" s="375" t="s">
        <v>3127</v>
      </c>
      <c r="I1600" s="375" t="s">
        <v>869</v>
      </c>
      <c r="J1600" s="375">
        <v>60355.291290000001</v>
      </c>
      <c r="K1600" s="375">
        <v>-2802.7193299999999</v>
      </c>
      <c r="L1600" s="375">
        <v>-1148.4533799999999</v>
      </c>
      <c r="M1600" s="375">
        <v>28934.630099999998</v>
      </c>
      <c r="N1600" s="372">
        <v>1.0620000000000001</v>
      </c>
      <c r="O1600" s="703">
        <v>30.197675569122794</v>
      </c>
      <c r="P1600" s="375" t="s">
        <v>623</v>
      </c>
      <c r="Q1600" s="372" t="s">
        <v>623</v>
      </c>
      <c r="R1600" s="695">
        <v>20220120</v>
      </c>
      <c r="S1600" s="372" t="s">
        <v>10652</v>
      </c>
      <c r="T1600" s="696" t="s">
        <v>772</v>
      </c>
      <c r="U1600" s="372" t="s">
        <v>10653</v>
      </c>
      <c r="V1600" s="722" t="s">
        <v>774</v>
      </c>
      <c r="W1600" s="722">
        <v>3.42</v>
      </c>
      <c r="X1600" s="722">
        <v>1.64</v>
      </c>
      <c r="Y1600" s="722" t="s">
        <v>774</v>
      </c>
      <c r="Z1600" s="382" t="s">
        <v>934</v>
      </c>
      <c r="AA1600" s="372">
        <v>494.4494244</v>
      </c>
      <c r="AB1600" s="372">
        <v>503.41205170000001</v>
      </c>
      <c r="AC1600" s="372">
        <v>478.43108269999999</v>
      </c>
      <c r="AD1600" s="372">
        <v>603.55291290000002</v>
      </c>
      <c r="AE1600" s="372">
        <v>0</v>
      </c>
      <c r="AF1600" s="372">
        <v>0</v>
      </c>
      <c r="AG1600" s="372">
        <v>0</v>
      </c>
      <c r="AH1600" s="372">
        <v>0</v>
      </c>
    </row>
    <row r="1601" spans="1:34">
      <c r="A1601" s="372" t="s">
        <v>10654</v>
      </c>
      <c r="B1601" s="373" t="s">
        <v>10655</v>
      </c>
      <c r="C1601" s="372" t="s">
        <v>10656</v>
      </c>
      <c r="D1601" s="374">
        <v>1101113856618</v>
      </c>
      <c r="E1601" s="372" t="s">
        <v>10657</v>
      </c>
      <c r="F1601" s="375" t="s">
        <v>5532</v>
      </c>
      <c r="G1601" s="375" t="s">
        <v>10658</v>
      </c>
      <c r="H1601" s="375" t="s">
        <v>868</v>
      </c>
      <c r="I1601" s="375" t="s">
        <v>869</v>
      </c>
      <c r="J1601" s="375">
        <v>203710.08269000001</v>
      </c>
      <c r="K1601" s="375">
        <v>15427.64374</v>
      </c>
      <c r="L1601" s="375">
        <v>15522.87103</v>
      </c>
      <c r="M1601" s="375">
        <v>136436.79918999999</v>
      </c>
      <c r="N1601" s="372">
        <v>0.81899999999999995</v>
      </c>
      <c r="O1601" s="703">
        <v>57.637229321540175</v>
      </c>
      <c r="P1601" s="375" t="s">
        <v>623</v>
      </c>
      <c r="Q1601" s="372" t="s">
        <v>623</v>
      </c>
      <c r="R1601" s="695">
        <v>20191118</v>
      </c>
      <c r="S1601" s="372" t="s">
        <v>10659</v>
      </c>
      <c r="T1601" s="696">
        <v>0.20900000000000002</v>
      </c>
      <c r="U1601" s="372" t="s">
        <v>10660</v>
      </c>
      <c r="V1601" s="722">
        <v>4.09</v>
      </c>
      <c r="W1601" s="722">
        <v>0.67</v>
      </c>
      <c r="X1601" s="722">
        <v>0.45</v>
      </c>
      <c r="Y1601" s="722">
        <v>7.05</v>
      </c>
      <c r="Z1601" s="382" t="s">
        <v>934</v>
      </c>
      <c r="AA1601" s="372">
        <v>1071.0673351</v>
      </c>
      <c r="AB1601" s="372">
        <v>1497.307395</v>
      </c>
      <c r="AC1601" s="372">
        <v>1978.6279681999999</v>
      </c>
      <c r="AD1601" s="372">
        <v>2037.1008268999999</v>
      </c>
      <c r="AE1601" s="372">
        <v>2460</v>
      </c>
      <c r="AF1601" s="372">
        <v>0</v>
      </c>
      <c r="AG1601" s="372">
        <v>0</v>
      </c>
      <c r="AH1601" s="372">
        <v>0</v>
      </c>
    </row>
    <row r="1602" spans="1:34">
      <c r="A1602" s="372" t="s">
        <v>10661</v>
      </c>
      <c r="B1602" s="373" t="s">
        <v>10662</v>
      </c>
      <c r="C1602" s="372" t="s">
        <v>10663</v>
      </c>
      <c r="D1602" s="374">
        <v>1101110217607</v>
      </c>
      <c r="E1602" s="372" t="s">
        <v>10664</v>
      </c>
      <c r="F1602" s="375" t="s">
        <v>10665</v>
      </c>
      <c r="G1602" s="375" t="s">
        <v>10665</v>
      </c>
      <c r="H1602" s="375" t="s">
        <v>8085</v>
      </c>
      <c r="I1602" s="375" t="s">
        <v>869</v>
      </c>
      <c r="J1602" s="375">
        <v>237322.79545000001</v>
      </c>
      <c r="K1602" s="375">
        <v>2095.34753</v>
      </c>
      <c r="L1602" s="375">
        <v>80323.435899999997</v>
      </c>
      <c r="M1602" s="375">
        <v>465004.28852</v>
      </c>
      <c r="N1602" s="372">
        <v>0.90200000000000002</v>
      </c>
      <c r="O1602" s="703">
        <v>141.81978651994066</v>
      </c>
      <c r="P1602" s="375" t="s">
        <v>623</v>
      </c>
      <c r="Q1602" s="375" t="s">
        <v>623</v>
      </c>
      <c r="R1602" s="695">
        <v>19991208</v>
      </c>
      <c r="S1602" s="375" t="s">
        <v>10666</v>
      </c>
      <c r="T1602" s="696">
        <v>0.23100000000000001</v>
      </c>
      <c r="U1602" s="372" t="s">
        <v>10667</v>
      </c>
      <c r="V1602" s="722">
        <v>45.6</v>
      </c>
      <c r="W1602" s="722">
        <v>0.19</v>
      </c>
      <c r="X1602" s="722">
        <v>0.35</v>
      </c>
      <c r="Y1602" s="722">
        <v>1.47</v>
      </c>
      <c r="Z1602" s="382" t="s">
        <v>934</v>
      </c>
      <c r="AA1602" s="372">
        <v>2940.9330455999998</v>
      </c>
      <c r="AB1602" s="372">
        <v>2805.3901993999998</v>
      </c>
      <c r="AC1602" s="372">
        <v>2767.7097551000002</v>
      </c>
      <c r="AD1602" s="372">
        <v>2373.2279545000001</v>
      </c>
      <c r="AE1602" s="372">
        <v>0</v>
      </c>
      <c r="AF1602" s="372">
        <v>0</v>
      </c>
      <c r="AG1602" s="372">
        <v>0</v>
      </c>
      <c r="AH1602" s="372">
        <v>0</v>
      </c>
    </row>
    <row r="1603" spans="1:34">
      <c r="A1603" s="372" t="s">
        <v>10668</v>
      </c>
      <c r="B1603" s="373" t="s">
        <v>10669</v>
      </c>
      <c r="C1603" s="372" t="s">
        <v>10670</v>
      </c>
      <c r="D1603" s="374">
        <v>1101114361161</v>
      </c>
      <c r="E1603" s="372" t="s">
        <v>10671</v>
      </c>
      <c r="F1603" s="375" t="s">
        <v>1814</v>
      </c>
      <c r="G1603" s="375" t="s">
        <v>2821</v>
      </c>
      <c r="H1603" s="375" t="s">
        <v>1693</v>
      </c>
      <c r="I1603" s="375" t="s">
        <v>869</v>
      </c>
      <c r="J1603" s="375">
        <v>14100.76117</v>
      </c>
      <c r="K1603" s="375">
        <v>-9771.1542700000009</v>
      </c>
      <c r="L1603" s="375">
        <v>-6213.04468</v>
      </c>
      <c r="M1603" s="375">
        <v>20628.537909999999</v>
      </c>
      <c r="N1603" s="372" t="s">
        <v>1033</v>
      </c>
      <c r="O1603" s="703">
        <v>25.911877398767629</v>
      </c>
      <c r="P1603" s="375" t="s">
        <v>623</v>
      </c>
      <c r="Q1603" s="375" t="s">
        <v>623</v>
      </c>
      <c r="R1603" s="695">
        <v>20230519</v>
      </c>
      <c r="S1603" s="375" t="s">
        <v>10672</v>
      </c>
      <c r="T1603" s="696" t="s">
        <v>772</v>
      </c>
      <c r="U1603" s="372" t="s">
        <v>10673</v>
      </c>
      <c r="V1603" s="722">
        <v>0</v>
      </c>
      <c r="W1603" s="722">
        <v>4.05</v>
      </c>
      <c r="X1603" s="722">
        <v>0</v>
      </c>
      <c r="Y1603" s="722">
        <v>0</v>
      </c>
      <c r="Z1603" s="382" t="s">
        <v>934</v>
      </c>
      <c r="AA1603" s="372">
        <v>100.6771952</v>
      </c>
      <c r="AB1603" s="372">
        <v>122.7315701</v>
      </c>
      <c r="AC1603" s="372">
        <v>168.0702034</v>
      </c>
      <c r="AD1603" s="372">
        <v>141.00761170000001</v>
      </c>
      <c r="AE1603" s="372">
        <v>0</v>
      </c>
      <c r="AF1603" s="372">
        <v>0</v>
      </c>
      <c r="AG1603" s="372">
        <v>0</v>
      </c>
      <c r="AH1603" s="372">
        <v>0</v>
      </c>
    </row>
    <row r="1604" spans="1:34">
      <c r="A1604" s="372" t="s">
        <v>10674</v>
      </c>
      <c r="B1604" s="373" t="s">
        <v>10675</v>
      </c>
      <c r="C1604" s="372" t="s">
        <v>10676</v>
      </c>
      <c r="D1604" s="374">
        <v>1101110200579</v>
      </c>
      <c r="E1604" s="372" t="s">
        <v>10677</v>
      </c>
      <c r="F1604" s="372" t="s">
        <v>1479</v>
      </c>
      <c r="G1604" s="375" t="s">
        <v>1480</v>
      </c>
      <c r="H1604" s="375" t="s">
        <v>1481</v>
      </c>
      <c r="I1604" s="375" t="s">
        <v>755</v>
      </c>
      <c r="J1604" s="375">
        <v>224649.75555999999</v>
      </c>
      <c r="K1604" s="375">
        <v>-1992.4521199999999</v>
      </c>
      <c r="L1604" s="375">
        <v>1710.7113199999999</v>
      </c>
      <c r="M1604" s="375">
        <v>176099.55637000001</v>
      </c>
      <c r="N1604" s="372">
        <v>0.72199999999999998</v>
      </c>
      <c r="O1604" s="703">
        <v>171.66783941369908</v>
      </c>
      <c r="P1604" s="375" t="s">
        <v>623</v>
      </c>
      <c r="Q1604" s="372" t="s">
        <v>623</v>
      </c>
      <c r="R1604" s="695">
        <v>19960703</v>
      </c>
      <c r="S1604" s="372" t="s">
        <v>10678</v>
      </c>
      <c r="T1604" s="696">
        <v>0.20900000000000002</v>
      </c>
      <c r="U1604" s="372" t="s">
        <v>10679</v>
      </c>
      <c r="V1604" s="722">
        <v>26.88</v>
      </c>
      <c r="W1604" s="722">
        <v>0.67</v>
      </c>
      <c r="X1604" s="722">
        <v>0.38</v>
      </c>
      <c r="Y1604" s="722">
        <v>11.82</v>
      </c>
      <c r="Z1604" s="382" t="s">
        <v>934</v>
      </c>
      <c r="AA1604" s="372">
        <v>1891.9265301</v>
      </c>
      <c r="AB1604" s="372">
        <v>2159.2262590999999</v>
      </c>
      <c r="AC1604" s="372">
        <v>2349.8117677999999</v>
      </c>
      <c r="AD1604" s="372">
        <v>2246.4975555999999</v>
      </c>
      <c r="AE1604" s="372">
        <v>0</v>
      </c>
      <c r="AF1604" s="372">
        <v>0</v>
      </c>
      <c r="AG1604" s="372">
        <v>0</v>
      </c>
      <c r="AH1604" s="372">
        <v>0</v>
      </c>
    </row>
    <row r="1605" spans="1:34">
      <c r="A1605" s="372" t="s">
        <v>10680</v>
      </c>
      <c r="B1605" s="373" t="s">
        <v>10681</v>
      </c>
      <c r="C1605" s="372" t="s">
        <v>10682</v>
      </c>
      <c r="D1605" s="374">
        <v>1101117471470</v>
      </c>
      <c r="E1605" s="372" t="s">
        <v>10683</v>
      </c>
      <c r="F1605" s="375" t="s">
        <v>3266</v>
      </c>
      <c r="G1605" s="375" t="s">
        <v>3266</v>
      </c>
      <c r="H1605" s="375" t="s">
        <v>1388</v>
      </c>
      <c r="I1605" s="375" t="s">
        <v>869</v>
      </c>
      <c r="J1605" s="375">
        <v>11549.32243</v>
      </c>
      <c r="K1605" s="375">
        <v>-1319.886</v>
      </c>
      <c r="L1605" s="375">
        <v>-11038.7356</v>
      </c>
      <c r="M1605" s="375">
        <v>25858.71098</v>
      </c>
      <c r="N1605" s="372" t="s">
        <v>1033</v>
      </c>
      <c r="O1605" s="703">
        <v>14.949876697651307</v>
      </c>
      <c r="P1605" s="375" t="s">
        <v>623</v>
      </c>
      <c r="Q1605" s="372" t="s">
        <v>623</v>
      </c>
      <c r="R1605" s="695">
        <v>20200918</v>
      </c>
      <c r="S1605" s="372" t="s">
        <v>10684</v>
      </c>
      <c r="T1605" s="696" t="s">
        <v>772</v>
      </c>
      <c r="U1605" s="372" t="s">
        <v>10685</v>
      </c>
      <c r="V1605" s="722">
        <v>0</v>
      </c>
      <c r="W1605" s="722">
        <v>3.24</v>
      </c>
      <c r="X1605" s="722">
        <v>0</v>
      </c>
      <c r="Y1605" s="722">
        <v>0</v>
      </c>
      <c r="Z1605" s="382" t="s">
        <v>934</v>
      </c>
      <c r="AA1605" s="372">
        <v>77.272818599999994</v>
      </c>
      <c r="AB1605" s="372">
        <v>103.58196580000001</v>
      </c>
      <c r="AC1605" s="372">
        <v>253.51771679999999</v>
      </c>
      <c r="AD1605" s="372">
        <v>115.49322429999999</v>
      </c>
      <c r="AE1605" s="372">
        <v>0</v>
      </c>
      <c r="AF1605" s="372">
        <v>0</v>
      </c>
      <c r="AG1605" s="372">
        <v>0</v>
      </c>
      <c r="AH1605" s="372">
        <v>0</v>
      </c>
    </row>
    <row r="1606" spans="1:34">
      <c r="A1606" s="372" t="s">
        <v>10686</v>
      </c>
      <c r="B1606" s="373" t="s">
        <v>10687</v>
      </c>
      <c r="C1606" s="372" t="s">
        <v>10688</v>
      </c>
      <c r="D1606" s="374">
        <v>1701110020397</v>
      </c>
      <c r="E1606" s="372" t="s">
        <v>10689</v>
      </c>
      <c r="F1606" s="375" t="s">
        <v>10690</v>
      </c>
      <c r="G1606" s="375" t="s">
        <v>10691</v>
      </c>
      <c r="H1606" s="375" t="s">
        <v>868</v>
      </c>
      <c r="I1606" s="375" t="s">
        <v>869</v>
      </c>
      <c r="J1606" s="375">
        <v>110445.48987</v>
      </c>
      <c r="K1606" s="375">
        <v>12368.05783</v>
      </c>
      <c r="L1606" s="375">
        <v>406.85340000000002</v>
      </c>
      <c r="M1606" s="375">
        <v>150584.45684</v>
      </c>
      <c r="N1606" s="372">
        <v>0.79500000000000004</v>
      </c>
      <c r="O1606" s="703">
        <v>0</v>
      </c>
      <c r="P1606" s="375" t="s">
        <v>623</v>
      </c>
      <c r="Q1606" s="375" t="s">
        <v>623</v>
      </c>
      <c r="R1606" s="695">
        <v>20090728</v>
      </c>
      <c r="S1606" s="375" t="s">
        <v>10692</v>
      </c>
      <c r="T1606" s="696">
        <v>0.20900000000000002</v>
      </c>
      <c r="U1606" s="372" t="s">
        <v>10693</v>
      </c>
      <c r="V1606" s="722">
        <v>5.83</v>
      </c>
      <c r="W1606" s="722">
        <v>0.53</v>
      </c>
      <c r="X1606" s="722">
        <v>0.74</v>
      </c>
      <c r="Y1606" s="722">
        <v>270.45</v>
      </c>
      <c r="Z1606" s="382" t="s">
        <v>934</v>
      </c>
      <c r="AA1606" s="372">
        <v>586.12069359999998</v>
      </c>
      <c r="AB1606" s="372">
        <v>693.830151</v>
      </c>
      <c r="AC1606" s="372">
        <v>1114.3911338</v>
      </c>
      <c r="AD1606" s="372">
        <v>1104.4548987000001</v>
      </c>
      <c r="AE1606" s="372">
        <v>0</v>
      </c>
      <c r="AF1606" s="372">
        <v>0</v>
      </c>
      <c r="AG1606" s="372">
        <v>0</v>
      </c>
      <c r="AH1606" s="372">
        <v>0</v>
      </c>
    </row>
    <row r="1607" spans="1:34">
      <c r="A1607" s="372" t="s">
        <v>10694</v>
      </c>
      <c r="B1607" s="373" t="s">
        <v>10695</v>
      </c>
      <c r="C1607" s="372" t="s">
        <v>10696</v>
      </c>
      <c r="D1607" s="374">
        <v>1101114097518</v>
      </c>
      <c r="E1607" s="372" t="s">
        <v>10697</v>
      </c>
      <c r="F1607" s="375" t="s">
        <v>10698</v>
      </c>
      <c r="G1607" s="375" t="s">
        <v>10698</v>
      </c>
      <c r="H1607" s="375" t="s">
        <v>868</v>
      </c>
      <c r="I1607" s="375" t="s">
        <v>869</v>
      </c>
      <c r="J1607" s="375">
        <v>84547.280400000003</v>
      </c>
      <c r="K1607" s="375">
        <v>-4408.7235899999996</v>
      </c>
      <c r="L1607" s="375">
        <v>-25791.391790000001</v>
      </c>
      <c r="M1607" s="375">
        <v>25450.113789999999</v>
      </c>
      <c r="N1607" s="372">
        <v>0.57599999999999996</v>
      </c>
      <c r="O1607" s="703">
        <v>79.397430471153299</v>
      </c>
      <c r="P1607" s="375" t="s">
        <v>623</v>
      </c>
      <c r="Q1607" s="372" t="s">
        <v>623</v>
      </c>
      <c r="R1607" s="695">
        <v>20170822</v>
      </c>
      <c r="S1607" s="372" t="s">
        <v>10699</v>
      </c>
      <c r="T1607" s="696" t="s">
        <v>772</v>
      </c>
      <c r="U1607" s="372" t="s">
        <v>10700</v>
      </c>
      <c r="V1607" s="722" t="s">
        <v>774</v>
      </c>
      <c r="W1607" s="722">
        <v>5.25</v>
      </c>
      <c r="X1607" s="722">
        <v>1.45</v>
      </c>
      <c r="Y1607" s="722" t="s">
        <v>774</v>
      </c>
      <c r="Z1607" s="382" t="s">
        <v>934</v>
      </c>
      <c r="AA1607" s="372">
        <v>114.908642</v>
      </c>
      <c r="AB1607" s="372">
        <v>529.23301509999999</v>
      </c>
      <c r="AC1607" s="372">
        <v>778.42947809999998</v>
      </c>
      <c r="AD1607" s="372">
        <v>845.472804</v>
      </c>
      <c r="AE1607" s="372">
        <v>0</v>
      </c>
      <c r="AF1607" s="372">
        <v>0</v>
      </c>
      <c r="AG1607" s="372">
        <v>0</v>
      </c>
      <c r="AH1607" s="372">
        <v>0</v>
      </c>
    </row>
    <row r="1608" spans="1:34">
      <c r="A1608" s="372" t="s">
        <v>10701</v>
      </c>
      <c r="B1608" s="373" t="s">
        <v>10702</v>
      </c>
      <c r="C1608" s="372" t="s">
        <v>10703</v>
      </c>
      <c r="D1608" s="374">
        <v>1311110115054</v>
      </c>
      <c r="E1608" s="372" t="s">
        <v>10704</v>
      </c>
      <c r="F1608" s="375" t="s">
        <v>1381</v>
      </c>
      <c r="G1608" s="375" t="s">
        <v>1381</v>
      </c>
      <c r="H1608" s="375" t="s">
        <v>1693</v>
      </c>
      <c r="I1608" s="375" t="s">
        <v>869</v>
      </c>
      <c r="J1608" s="375">
        <v>49804.458550000003</v>
      </c>
      <c r="K1608" s="375">
        <v>452.46827999999999</v>
      </c>
      <c r="L1608" s="375">
        <v>1733.1022599999999</v>
      </c>
      <c r="M1608" s="375">
        <v>48264.931120000001</v>
      </c>
      <c r="N1608" s="372">
        <v>0.96499999999999997</v>
      </c>
      <c r="O1608" s="703">
        <v>15.242943611795717</v>
      </c>
      <c r="P1608" s="375" t="s">
        <v>623</v>
      </c>
      <c r="Q1608" s="372" t="s">
        <v>623</v>
      </c>
      <c r="R1608" s="695">
        <v>20170224</v>
      </c>
      <c r="S1608" s="375" t="s">
        <v>10705</v>
      </c>
      <c r="T1608" s="696">
        <v>0.20900000000000002</v>
      </c>
      <c r="U1608" s="372" t="s">
        <v>10706</v>
      </c>
      <c r="V1608" s="722">
        <v>37.96</v>
      </c>
      <c r="W1608" s="722">
        <v>1.94</v>
      </c>
      <c r="X1608" s="722">
        <v>1.88</v>
      </c>
      <c r="Y1608" s="722">
        <v>44.27</v>
      </c>
      <c r="Z1608" s="382" t="s">
        <v>934</v>
      </c>
      <c r="AA1608" s="372">
        <v>416.17745630000002</v>
      </c>
      <c r="AB1608" s="372">
        <v>477.75376069999999</v>
      </c>
      <c r="AC1608" s="372">
        <v>524.71269380000001</v>
      </c>
      <c r="AD1608" s="372">
        <v>498.04458549999998</v>
      </c>
      <c r="AE1608" s="372">
        <v>0</v>
      </c>
      <c r="AF1608" s="372">
        <v>0</v>
      </c>
      <c r="AG1608" s="372">
        <v>0</v>
      </c>
      <c r="AH1608" s="372">
        <v>0</v>
      </c>
    </row>
    <row r="1609" spans="1:34">
      <c r="A1609" s="372" t="s">
        <v>10707</v>
      </c>
      <c r="B1609" s="373" t="s">
        <v>10708</v>
      </c>
      <c r="C1609" s="372" t="s">
        <v>10709</v>
      </c>
      <c r="D1609" s="374">
        <v>1101111626063</v>
      </c>
      <c r="E1609" s="372" t="s">
        <v>10710</v>
      </c>
      <c r="F1609" s="372" t="s">
        <v>10711</v>
      </c>
      <c r="G1609" s="375" t="s">
        <v>10711</v>
      </c>
      <c r="H1609" s="375" t="s">
        <v>868</v>
      </c>
      <c r="I1609" s="375" t="s">
        <v>869</v>
      </c>
      <c r="J1609" s="375">
        <v>47318.501510000002</v>
      </c>
      <c r="K1609" s="375">
        <v>2685.3605499999999</v>
      </c>
      <c r="L1609" s="375">
        <v>5119.4513200000001</v>
      </c>
      <c r="M1609" s="375">
        <v>57007.605130000004</v>
      </c>
      <c r="N1609" s="372">
        <v>1.0640000000000001</v>
      </c>
      <c r="O1609" s="703">
        <v>1.2003541394485695</v>
      </c>
      <c r="P1609" s="375" t="s">
        <v>623</v>
      </c>
      <c r="Q1609" s="372" t="s">
        <v>623</v>
      </c>
      <c r="R1609" s="695">
        <v>20020528</v>
      </c>
      <c r="S1609" s="372" t="s">
        <v>10712</v>
      </c>
      <c r="T1609" s="696">
        <v>0.20900000000000002</v>
      </c>
      <c r="U1609" s="372" t="s">
        <v>10713</v>
      </c>
      <c r="V1609" s="722">
        <v>24.56</v>
      </c>
      <c r="W1609" s="722">
        <v>1.56</v>
      </c>
      <c r="X1609" s="722">
        <v>1.89</v>
      </c>
      <c r="Y1609" s="722">
        <v>18.829999999999998</v>
      </c>
      <c r="Z1609" s="382" t="s">
        <v>934</v>
      </c>
      <c r="AA1609" s="372">
        <v>291.66372660000002</v>
      </c>
      <c r="AB1609" s="372">
        <v>451.94027690000001</v>
      </c>
      <c r="AC1609" s="372">
        <v>407.32157230000001</v>
      </c>
      <c r="AD1609" s="372">
        <v>473.18501509999999</v>
      </c>
      <c r="AE1609" s="372">
        <v>0</v>
      </c>
      <c r="AF1609" s="372">
        <v>0</v>
      </c>
      <c r="AG1609" s="372">
        <v>0</v>
      </c>
      <c r="AH1609" s="372">
        <v>0</v>
      </c>
    </row>
    <row r="1610" spans="1:34">
      <c r="A1610" s="372" t="s">
        <v>10714</v>
      </c>
      <c r="B1610" s="373" t="s">
        <v>10715</v>
      </c>
      <c r="C1610" s="372" t="s">
        <v>10716</v>
      </c>
      <c r="D1610" s="374">
        <v>1101117042271</v>
      </c>
      <c r="E1610" s="372" t="s">
        <v>10717</v>
      </c>
      <c r="F1610" s="375" t="s">
        <v>3266</v>
      </c>
      <c r="G1610" s="375" t="s">
        <v>3266</v>
      </c>
      <c r="H1610" s="375" t="s">
        <v>868</v>
      </c>
      <c r="I1610" s="375" t="s">
        <v>869</v>
      </c>
      <c r="J1610" s="375">
        <v>33363.102489999997</v>
      </c>
      <c r="K1610" s="375">
        <v>1468.89391</v>
      </c>
      <c r="L1610" s="375">
        <v>3420.0469499999999</v>
      </c>
      <c r="M1610" s="375">
        <v>36888.606959999997</v>
      </c>
      <c r="N1610" s="372">
        <v>0.97099999999999997</v>
      </c>
      <c r="O1610" s="703">
        <v>3.016019494824457</v>
      </c>
      <c r="P1610" s="375" t="s">
        <v>623</v>
      </c>
      <c r="Q1610" s="372" t="s">
        <v>623</v>
      </c>
      <c r="R1610" s="695">
        <v>20190531</v>
      </c>
      <c r="S1610" s="372" t="s">
        <v>10718</v>
      </c>
      <c r="T1610" s="696">
        <v>0.20900000000000002</v>
      </c>
      <c r="U1610" s="372" t="s">
        <v>10719</v>
      </c>
      <c r="V1610" s="722">
        <v>28.88</v>
      </c>
      <c r="W1610" s="722">
        <v>2.04</v>
      </c>
      <c r="X1610" s="722">
        <v>2.2599999999999998</v>
      </c>
      <c r="Y1610" s="722">
        <v>21.83</v>
      </c>
      <c r="Z1610" s="382" t="s">
        <v>934</v>
      </c>
      <c r="AA1610" s="372">
        <v>288.41106339999999</v>
      </c>
      <c r="AB1610" s="372">
        <v>347.50746629999998</v>
      </c>
      <c r="AC1610" s="372">
        <v>381.91882049999998</v>
      </c>
      <c r="AD1610" s="372">
        <v>333.6310249</v>
      </c>
      <c r="AE1610" s="372">
        <v>400</v>
      </c>
      <c r="AF1610" s="372">
        <v>592</v>
      </c>
      <c r="AG1610" s="372">
        <v>0</v>
      </c>
      <c r="AH1610" s="372">
        <v>0</v>
      </c>
    </row>
    <row r="1611" spans="1:34">
      <c r="A1611" s="372" t="s">
        <v>10720</v>
      </c>
      <c r="B1611" s="373" t="s">
        <v>10721</v>
      </c>
      <c r="C1611" s="372" t="s">
        <v>10722</v>
      </c>
      <c r="D1611" s="374">
        <v>1760110032132</v>
      </c>
      <c r="E1611" s="372" t="s">
        <v>10723</v>
      </c>
      <c r="F1611" s="375" t="s">
        <v>982</v>
      </c>
      <c r="G1611" s="375" t="s">
        <v>983</v>
      </c>
      <c r="H1611" s="375" t="s">
        <v>1693</v>
      </c>
      <c r="I1611" s="375" t="s">
        <v>869</v>
      </c>
      <c r="J1611" s="375">
        <v>47725.941120000003</v>
      </c>
      <c r="K1611" s="375">
        <v>3154.8888499999998</v>
      </c>
      <c r="L1611" s="375">
        <v>3352.1484700000001</v>
      </c>
      <c r="M1611" s="375">
        <v>19427.365570000002</v>
      </c>
      <c r="N1611" s="372">
        <v>0.72799999999999998</v>
      </c>
      <c r="O1611" s="703">
        <v>1.8038540514313437</v>
      </c>
      <c r="P1611" s="375" t="s">
        <v>623</v>
      </c>
      <c r="Q1611" s="375" t="s">
        <v>623</v>
      </c>
      <c r="R1611" s="695">
        <v>20100414</v>
      </c>
      <c r="S1611" s="372" t="s">
        <v>10724</v>
      </c>
      <c r="T1611" s="696">
        <v>0.20900000000000002</v>
      </c>
      <c r="U1611" s="372" t="s">
        <v>10725</v>
      </c>
      <c r="V1611" s="722">
        <v>0</v>
      </c>
      <c r="W1611" s="722">
        <v>4.2699999999999996</v>
      </c>
      <c r="X1611" s="722">
        <v>0</v>
      </c>
      <c r="Y1611" s="722">
        <v>0</v>
      </c>
      <c r="Z1611" s="382" t="s">
        <v>934</v>
      </c>
      <c r="AA1611" s="372">
        <v>305.1003801</v>
      </c>
      <c r="AB1611" s="372">
        <v>395.4897302</v>
      </c>
      <c r="AC1611" s="372">
        <v>416.88296300000002</v>
      </c>
      <c r="AD1611" s="372">
        <v>477.25941119999999</v>
      </c>
      <c r="AE1611" s="372">
        <v>0</v>
      </c>
      <c r="AF1611" s="372">
        <v>0</v>
      </c>
      <c r="AG1611" s="372">
        <v>0</v>
      </c>
      <c r="AH1611" s="372">
        <v>0</v>
      </c>
    </row>
    <row r="1612" spans="1:34">
      <c r="A1612" s="372" t="s">
        <v>10726</v>
      </c>
      <c r="B1612" s="373" t="s">
        <v>10727</v>
      </c>
      <c r="C1612" s="372" t="s">
        <v>10728</v>
      </c>
      <c r="D1612" s="374">
        <v>1101110250136</v>
      </c>
      <c r="E1612" s="372" t="s">
        <v>10729</v>
      </c>
      <c r="F1612" s="375" t="s">
        <v>10730</v>
      </c>
      <c r="G1612" s="375" t="s">
        <v>10731</v>
      </c>
      <c r="H1612" s="375" t="s">
        <v>3127</v>
      </c>
      <c r="I1612" s="375" t="s">
        <v>869</v>
      </c>
      <c r="J1612" s="375">
        <v>106783.29751999999</v>
      </c>
      <c r="K1612" s="375">
        <v>-6290.3893399999997</v>
      </c>
      <c r="L1612" s="375">
        <v>3205.3548999999998</v>
      </c>
      <c r="M1612" s="375">
        <v>157350.84346</v>
      </c>
      <c r="N1612" s="372">
        <v>0.876</v>
      </c>
      <c r="O1612" s="703">
        <v>64.115253195908792</v>
      </c>
      <c r="P1612" s="375" t="s">
        <v>623</v>
      </c>
      <c r="Q1612" s="375" t="s">
        <v>623</v>
      </c>
      <c r="R1612" s="695">
        <v>19941228</v>
      </c>
      <c r="S1612" s="372" t="s">
        <v>10732</v>
      </c>
      <c r="T1612" s="696">
        <v>0.20900000000000002</v>
      </c>
      <c r="U1612" s="372" t="s">
        <v>10733</v>
      </c>
      <c r="V1612" s="722" t="s">
        <v>774</v>
      </c>
      <c r="W1612" s="722">
        <v>0.83</v>
      </c>
      <c r="X1612" s="722">
        <v>0.81</v>
      </c>
      <c r="Y1612" s="722">
        <v>16.93</v>
      </c>
      <c r="Z1612" s="382" t="s">
        <v>934</v>
      </c>
      <c r="AA1612" s="372">
        <v>1208.4993724000001</v>
      </c>
      <c r="AB1612" s="372">
        <v>1272.6843196</v>
      </c>
      <c r="AC1612" s="372">
        <v>1131.0390424</v>
      </c>
      <c r="AD1612" s="372">
        <v>1067.8329752</v>
      </c>
      <c r="AE1612" s="372">
        <v>0</v>
      </c>
      <c r="AF1612" s="372">
        <v>0</v>
      </c>
      <c r="AG1612" s="372">
        <v>0</v>
      </c>
      <c r="AH1612" s="372">
        <v>0</v>
      </c>
    </row>
    <row r="1613" spans="1:34">
      <c r="A1613" s="372" t="s">
        <v>10734</v>
      </c>
      <c r="B1613" s="373" t="s">
        <v>10735</v>
      </c>
      <c r="C1613" s="372" t="s">
        <v>10736</v>
      </c>
      <c r="D1613" s="374">
        <v>1644110000820</v>
      </c>
      <c r="E1613" s="372" t="s">
        <v>10737</v>
      </c>
      <c r="F1613" s="375" t="s">
        <v>9322</v>
      </c>
      <c r="G1613" s="375" t="s">
        <v>9322</v>
      </c>
      <c r="H1613" s="375" t="s">
        <v>868</v>
      </c>
      <c r="I1613" s="375" t="s">
        <v>869</v>
      </c>
      <c r="J1613" s="375">
        <v>191294.81401</v>
      </c>
      <c r="K1613" s="375">
        <v>1300.00701</v>
      </c>
      <c r="L1613" s="375">
        <v>-3431.3571099999999</v>
      </c>
      <c r="M1613" s="375">
        <v>41938.092239999998</v>
      </c>
      <c r="N1613" s="372">
        <v>1.173</v>
      </c>
      <c r="O1613" s="703">
        <v>96.890761560093836</v>
      </c>
      <c r="P1613" s="375" t="s">
        <v>623</v>
      </c>
      <c r="Q1613" s="375" t="s">
        <v>623</v>
      </c>
      <c r="R1613" s="695">
        <v>20191120</v>
      </c>
      <c r="S1613" s="375" t="s">
        <v>10738</v>
      </c>
      <c r="T1613" s="696" t="s">
        <v>772</v>
      </c>
      <c r="U1613" s="372" t="s">
        <v>10739</v>
      </c>
      <c r="V1613" s="722">
        <v>0</v>
      </c>
      <c r="W1613" s="722">
        <v>1.94</v>
      </c>
      <c r="X1613" s="722">
        <v>0</v>
      </c>
      <c r="Y1613" s="722">
        <v>0</v>
      </c>
      <c r="Z1613" s="382" t="s">
        <v>934</v>
      </c>
      <c r="AA1613" s="372">
        <v>1330.5933520999999</v>
      </c>
      <c r="AB1613" s="372">
        <v>1391.6826581</v>
      </c>
      <c r="AC1613" s="372">
        <v>1634.1292702999999</v>
      </c>
      <c r="AD1613" s="372">
        <v>1912.9481401</v>
      </c>
      <c r="AE1613" s="372">
        <v>0</v>
      </c>
      <c r="AF1613" s="372">
        <v>0</v>
      </c>
      <c r="AG1613" s="372">
        <v>0</v>
      </c>
      <c r="AH1613" s="372">
        <v>0</v>
      </c>
    </row>
    <row r="1614" spans="1:34">
      <c r="A1614" s="372" t="s">
        <v>10740</v>
      </c>
      <c r="B1614" s="373" t="s">
        <v>10741</v>
      </c>
      <c r="C1614" s="372" t="s">
        <v>10742</v>
      </c>
      <c r="D1614" s="374">
        <v>1101110094964</v>
      </c>
      <c r="E1614" s="372" t="s">
        <v>10743</v>
      </c>
      <c r="F1614" s="375" t="s">
        <v>5328</v>
      </c>
      <c r="G1614" s="375" t="s">
        <v>5328</v>
      </c>
      <c r="H1614" s="375" t="s">
        <v>1555</v>
      </c>
      <c r="I1614" s="375" t="s">
        <v>755</v>
      </c>
      <c r="J1614" s="375">
        <v>202775.16875000001</v>
      </c>
      <c r="K1614" s="375">
        <v>2157.2946000000002</v>
      </c>
      <c r="L1614" s="375">
        <v>6376.10646</v>
      </c>
      <c r="M1614" s="375">
        <v>365678.21574999997</v>
      </c>
      <c r="N1614" s="372">
        <v>0.58499999999999996</v>
      </c>
      <c r="O1614" s="703">
        <v>5.3559116475917978</v>
      </c>
      <c r="P1614" s="375" t="s">
        <v>623</v>
      </c>
      <c r="Q1614" s="372" t="s">
        <v>623</v>
      </c>
      <c r="R1614" s="695">
        <v>19761228</v>
      </c>
      <c r="S1614" s="372" t="s">
        <v>10744</v>
      </c>
      <c r="T1614" s="696">
        <v>0.20900000000000002</v>
      </c>
      <c r="U1614" s="372" t="s">
        <v>10745</v>
      </c>
      <c r="V1614" s="722">
        <v>13.01</v>
      </c>
      <c r="W1614" s="722">
        <v>0.23</v>
      </c>
      <c r="X1614" s="722">
        <v>0.42</v>
      </c>
      <c r="Y1614" s="722">
        <v>16.96</v>
      </c>
      <c r="Z1614" s="382" t="s">
        <v>934</v>
      </c>
      <c r="AA1614" s="372">
        <v>1779.8140727</v>
      </c>
      <c r="AB1614" s="372">
        <v>1894.1282675</v>
      </c>
      <c r="AC1614" s="372">
        <v>2014.4394494000001</v>
      </c>
      <c r="AD1614" s="372">
        <v>2027.7516874999999</v>
      </c>
      <c r="AE1614" s="372">
        <v>0</v>
      </c>
      <c r="AF1614" s="372">
        <v>0</v>
      </c>
      <c r="AG1614" s="372">
        <v>0</v>
      </c>
      <c r="AH1614" s="372">
        <v>0</v>
      </c>
    </row>
    <row r="1615" spans="1:34">
      <c r="A1615" s="372" t="s">
        <v>10746</v>
      </c>
      <c r="B1615" s="373" t="s">
        <v>10747</v>
      </c>
      <c r="C1615" s="372" t="s">
        <v>10748</v>
      </c>
      <c r="D1615" s="374">
        <v>1201110780818</v>
      </c>
      <c r="E1615" s="372" t="s">
        <v>10749</v>
      </c>
      <c r="F1615" s="375" t="s">
        <v>1814</v>
      </c>
      <c r="G1615" s="375" t="s">
        <v>2821</v>
      </c>
      <c r="H1615" s="375" t="s">
        <v>1693</v>
      </c>
      <c r="I1615" s="375" t="s">
        <v>869</v>
      </c>
      <c r="J1615" s="375">
        <v>0</v>
      </c>
      <c r="K1615" s="375">
        <v>0</v>
      </c>
      <c r="L1615" s="375">
        <v>0</v>
      </c>
      <c r="M1615" s="375">
        <v>16999.93289</v>
      </c>
      <c r="N1615" s="372" t="s">
        <v>1033</v>
      </c>
      <c r="O1615" s="703">
        <v>2.6589761440824802</v>
      </c>
      <c r="P1615" s="375" t="s">
        <v>16142</v>
      </c>
      <c r="Q1615" s="372" t="s">
        <v>16145</v>
      </c>
      <c r="R1615" s="695">
        <v>20230824</v>
      </c>
      <c r="S1615" s="372" t="s">
        <v>10750</v>
      </c>
      <c r="T1615" s="696" t="s">
        <v>772</v>
      </c>
      <c r="U1615" s="372" t="s">
        <v>10751</v>
      </c>
      <c r="V1615" s="722">
        <v>0</v>
      </c>
      <c r="W1615" s="722">
        <v>4.3899999999999997</v>
      </c>
      <c r="X1615" s="722">
        <v>0</v>
      </c>
      <c r="Y1615" s="722">
        <v>0</v>
      </c>
      <c r="Z1615" s="382" t="s">
        <v>934</v>
      </c>
      <c r="AA1615" s="372">
        <v>11.8814259</v>
      </c>
      <c r="AB1615" s="372">
        <v>19.1884823</v>
      </c>
      <c r="AC1615" s="372">
        <v>27.703825500000001</v>
      </c>
      <c r="AD1615" s="372">
        <v>25.8266572</v>
      </c>
      <c r="AE1615" s="372">
        <v>0</v>
      </c>
      <c r="AF1615" s="372">
        <v>0</v>
      </c>
      <c r="AG1615" s="372">
        <v>0</v>
      </c>
      <c r="AH1615" s="372">
        <v>0</v>
      </c>
    </row>
    <row r="1616" spans="1:34">
      <c r="A1616" s="372" t="s">
        <v>10752</v>
      </c>
      <c r="B1616" s="373" t="s">
        <v>10753</v>
      </c>
      <c r="C1616" s="372" t="s">
        <v>10754</v>
      </c>
      <c r="D1616" s="374">
        <v>1101113820738</v>
      </c>
      <c r="E1616" s="372" t="s">
        <v>10755</v>
      </c>
      <c r="F1616" s="372" t="s">
        <v>1381</v>
      </c>
      <c r="G1616" s="375" t="s">
        <v>1381</v>
      </c>
      <c r="H1616" s="375" t="s">
        <v>1693</v>
      </c>
      <c r="I1616" s="375" t="s">
        <v>869</v>
      </c>
      <c r="J1616" s="375">
        <v>84032.973549999995</v>
      </c>
      <c r="K1616" s="375">
        <v>635.75548000000003</v>
      </c>
      <c r="L1616" s="375">
        <v>1064.64444</v>
      </c>
      <c r="M1616" s="375">
        <v>39183.677940000001</v>
      </c>
      <c r="N1616" s="372">
        <v>1.2869999999999999</v>
      </c>
      <c r="O1616" s="703">
        <v>2.9980586654504187</v>
      </c>
      <c r="P1616" s="375" t="s">
        <v>623</v>
      </c>
      <c r="Q1616" s="375" t="s">
        <v>623</v>
      </c>
      <c r="R1616" s="695">
        <v>20210618</v>
      </c>
      <c r="S1616" s="375" t="s">
        <v>10756</v>
      </c>
      <c r="T1616" s="696">
        <v>0.20900000000000002</v>
      </c>
      <c r="U1616" s="372" t="s">
        <v>10757</v>
      </c>
      <c r="V1616" s="722">
        <v>0</v>
      </c>
      <c r="W1616" s="722">
        <v>1.89</v>
      </c>
      <c r="X1616" s="722">
        <v>0</v>
      </c>
      <c r="Y1616" s="722">
        <v>0</v>
      </c>
      <c r="Z1616" s="382" t="s">
        <v>934</v>
      </c>
      <c r="AA1616" s="372">
        <v>667.29679550000003</v>
      </c>
      <c r="AB1616" s="372">
        <v>600.38612320000004</v>
      </c>
      <c r="AC1616" s="372">
        <v>764.16490550000003</v>
      </c>
      <c r="AD1616" s="372">
        <v>840.32973549999997</v>
      </c>
      <c r="AE1616" s="372">
        <v>0</v>
      </c>
      <c r="AF1616" s="372">
        <v>0</v>
      </c>
      <c r="AG1616" s="372">
        <v>0</v>
      </c>
      <c r="AH1616" s="372">
        <v>0</v>
      </c>
    </row>
    <row r="1617" spans="1:34">
      <c r="A1617" s="372" t="s">
        <v>10758</v>
      </c>
      <c r="B1617" s="373" t="s">
        <v>10759</v>
      </c>
      <c r="C1617" s="372" t="s">
        <v>10760</v>
      </c>
      <c r="D1617" s="374">
        <v>1152110000790</v>
      </c>
      <c r="E1617" s="372" t="s">
        <v>10761</v>
      </c>
      <c r="F1617" s="375" t="s">
        <v>1334</v>
      </c>
      <c r="G1617" s="375" t="s">
        <v>1334</v>
      </c>
      <c r="H1617" s="375" t="s">
        <v>868</v>
      </c>
      <c r="I1617" s="375" t="s">
        <v>869</v>
      </c>
      <c r="J1617" s="375">
        <v>89135.208840000007</v>
      </c>
      <c r="K1617" s="375">
        <v>13991.301310000001</v>
      </c>
      <c r="L1617" s="375">
        <v>14953.21032</v>
      </c>
      <c r="M1617" s="375">
        <v>134895.02786999999</v>
      </c>
      <c r="N1617" s="372">
        <v>0.84299999999999997</v>
      </c>
      <c r="O1617" s="703">
        <v>0.66298023104296178</v>
      </c>
      <c r="P1617" s="375" t="s">
        <v>623</v>
      </c>
      <c r="Q1617" s="375" t="s">
        <v>623</v>
      </c>
      <c r="R1617" s="695">
        <v>19990811</v>
      </c>
      <c r="S1617" s="372" t="s">
        <v>10762</v>
      </c>
      <c r="T1617" s="696">
        <v>0.20900000000000002</v>
      </c>
      <c r="U1617" s="372" t="s">
        <v>10763</v>
      </c>
      <c r="V1617" s="722">
        <v>0</v>
      </c>
      <c r="W1617" s="722">
        <v>0.68</v>
      </c>
      <c r="X1617" s="722">
        <v>0</v>
      </c>
      <c r="Y1617" s="722">
        <v>0</v>
      </c>
      <c r="Z1617" s="382" t="s">
        <v>934</v>
      </c>
      <c r="AA1617" s="372">
        <v>614.38037699999995</v>
      </c>
      <c r="AB1617" s="372">
        <v>617.54169300000001</v>
      </c>
      <c r="AC1617" s="372">
        <v>800.07072040000003</v>
      </c>
      <c r="AD1617" s="372">
        <v>891.35208839999996</v>
      </c>
      <c r="AE1617" s="372">
        <v>0</v>
      </c>
      <c r="AF1617" s="372">
        <v>0</v>
      </c>
      <c r="AG1617" s="372">
        <v>0</v>
      </c>
      <c r="AH1617" s="372">
        <v>0</v>
      </c>
    </row>
    <row r="1618" spans="1:34">
      <c r="A1618" s="372" t="s">
        <v>10764</v>
      </c>
      <c r="B1618" s="373" t="s">
        <v>10765</v>
      </c>
      <c r="C1618" s="372" t="s">
        <v>10766</v>
      </c>
      <c r="D1618" s="374">
        <v>1201110230277</v>
      </c>
      <c r="E1618" s="372" t="s">
        <v>10767</v>
      </c>
      <c r="F1618" s="375" t="s">
        <v>2858</v>
      </c>
      <c r="G1618" s="375" t="s">
        <v>2858</v>
      </c>
      <c r="H1618" s="375" t="s">
        <v>868</v>
      </c>
      <c r="I1618" s="375" t="s">
        <v>869</v>
      </c>
      <c r="J1618" s="375">
        <v>153627.11842000001</v>
      </c>
      <c r="K1618" s="375">
        <v>4941.1341400000001</v>
      </c>
      <c r="L1618" s="375">
        <v>4094.9039200000002</v>
      </c>
      <c r="M1618" s="375">
        <v>100702.17208999999</v>
      </c>
      <c r="N1618" s="372">
        <v>1.0509999999999999</v>
      </c>
      <c r="O1618" s="703">
        <v>26.411226061015675</v>
      </c>
      <c r="P1618" s="375" t="s">
        <v>623</v>
      </c>
      <c r="Q1618" s="375" t="s">
        <v>623</v>
      </c>
      <c r="R1618" s="695">
        <v>20181214</v>
      </c>
      <c r="S1618" s="372" t="s">
        <v>10768</v>
      </c>
      <c r="T1618" s="696">
        <v>0.20900000000000002</v>
      </c>
      <c r="U1618" s="372" t="s">
        <v>10769</v>
      </c>
      <c r="V1618" s="722">
        <v>11.58</v>
      </c>
      <c r="W1618" s="722">
        <v>0.84</v>
      </c>
      <c r="X1618" s="722">
        <v>0.54</v>
      </c>
      <c r="Y1618" s="722">
        <v>20.8</v>
      </c>
      <c r="Z1618" s="382" t="s">
        <v>934</v>
      </c>
      <c r="AA1618" s="372">
        <v>1178.1000927</v>
      </c>
      <c r="AB1618" s="372">
        <v>1216.0410351</v>
      </c>
      <c r="AC1618" s="372">
        <v>1630.7422799000001</v>
      </c>
      <c r="AD1618" s="372">
        <v>1536.2711842000001</v>
      </c>
      <c r="AE1618" s="372">
        <v>0</v>
      </c>
      <c r="AF1618" s="372">
        <v>0</v>
      </c>
      <c r="AG1618" s="372">
        <v>0</v>
      </c>
      <c r="AH1618" s="372">
        <v>0</v>
      </c>
    </row>
    <row r="1619" spans="1:34">
      <c r="A1619" s="372" t="s">
        <v>10770</v>
      </c>
      <c r="B1619" s="373" t="s">
        <v>10771</v>
      </c>
      <c r="C1619" s="372" t="s">
        <v>10772</v>
      </c>
      <c r="D1619" s="374">
        <v>1101110075683</v>
      </c>
      <c r="E1619" s="372" t="s">
        <v>10773</v>
      </c>
      <c r="F1619" s="375" t="s">
        <v>1867</v>
      </c>
      <c r="G1619" s="375" t="s">
        <v>1868</v>
      </c>
      <c r="H1619" s="375" t="s">
        <v>1397</v>
      </c>
      <c r="I1619" s="375" t="s">
        <v>755</v>
      </c>
      <c r="J1619" s="375">
        <v>1309008.5230099999</v>
      </c>
      <c r="K1619" s="375">
        <v>14755.27398</v>
      </c>
      <c r="L1619" s="375">
        <v>19572.89747</v>
      </c>
      <c r="M1619" s="375">
        <v>752933.02193000005</v>
      </c>
      <c r="N1619" s="372">
        <v>1.1180000000000001</v>
      </c>
      <c r="O1619" s="703">
        <v>1446.3531530980131</v>
      </c>
      <c r="P1619" s="375" t="s">
        <v>623</v>
      </c>
      <c r="Q1619" s="372" t="s">
        <v>623</v>
      </c>
      <c r="R1619" s="695">
        <v>19760707</v>
      </c>
      <c r="S1619" s="372" t="s">
        <v>10774</v>
      </c>
      <c r="T1619" s="696">
        <v>0.20900000000000002</v>
      </c>
      <c r="U1619" s="372" t="s">
        <v>10775</v>
      </c>
      <c r="V1619" s="722">
        <v>33.869999999999997</v>
      </c>
      <c r="W1619" s="722">
        <v>0.11</v>
      </c>
      <c r="X1619" s="722">
        <v>0.06</v>
      </c>
      <c r="Y1619" s="722">
        <v>2.62</v>
      </c>
      <c r="Z1619" s="382" t="s">
        <v>934</v>
      </c>
      <c r="AA1619" s="372">
        <v>15568.7096177</v>
      </c>
      <c r="AB1619" s="372">
        <v>13111.447622199999</v>
      </c>
      <c r="AC1619" s="372">
        <v>12215.5353153</v>
      </c>
      <c r="AD1619" s="372">
        <v>13090.0852301</v>
      </c>
      <c r="AE1619" s="372">
        <v>15610</v>
      </c>
      <c r="AF1619" s="372">
        <v>13250</v>
      </c>
      <c r="AG1619" s="372">
        <v>0</v>
      </c>
      <c r="AH1619" s="372">
        <v>0</v>
      </c>
    </row>
    <row r="1620" spans="1:34">
      <c r="A1620" s="372" t="s">
        <v>10776</v>
      </c>
      <c r="B1620" s="373" t="s">
        <v>10777</v>
      </c>
      <c r="C1620" s="372" t="s">
        <v>10778</v>
      </c>
      <c r="D1620" s="374">
        <v>1101110889836</v>
      </c>
      <c r="E1620" s="372" t="s">
        <v>10779</v>
      </c>
      <c r="F1620" s="375" t="s">
        <v>982</v>
      </c>
      <c r="G1620" s="375" t="s">
        <v>983</v>
      </c>
      <c r="H1620" s="375" t="s">
        <v>1693</v>
      </c>
      <c r="I1620" s="375" t="s">
        <v>869</v>
      </c>
      <c r="J1620" s="375">
        <v>204046.57895</v>
      </c>
      <c r="K1620" s="375">
        <v>6605.4593500000001</v>
      </c>
      <c r="L1620" s="375">
        <v>7447.7389499999999</v>
      </c>
      <c r="M1620" s="375">
        <v>94598.967269999994</v>
      </c>
      <c r="N1620" s="372">
        <v>1.008</v>
      </c>
      <c r="O1620" s="703">
        <v>18.444440553958945</v>
      </c>
      <c r="P1620" s="375" t="s">
        <v>623</v>
      </c>
      <c r="Q1620" s="372" t="s">
        <v>623</v>
      </c>
      <c r="R1620" s="695">
        <v>20010105</v>
      </c>
      <c r="S1620" s="372" t="s">
        <v>10780</v>
      </c>
      <c r="T1620" s="696">
        <v>0.20900000000000002</v>
      </c>
      <c r="U1620" s="372" t="s">
        <v>10781</v>
      </c>
      <c r="V1620" s="722">
        <v>9.32</v>
      </c>
      <c r="W1620" s="722">
        <v>1.02</v>
      </c>
      <c r="X1620" s="722">
        <v>0.41</v>
      </c>
      <c r="Y1620" s="722">
        <v>15.93</v>
      </c>
      <c r="Z1620" s="382" t="s">
        <v>934</v>
      </c>
      <c r="AA1620" s="372">
        <v>1556.2461542999999</v>
      </c>
      <c r="AB1620" s="372">
        <v>1759.0004747999999</v>
      </c>
      <c r="AC1620" s="372">
        <v>1930.9451045999999</v>
      </c>
      <c r="AD1620" s="372">
        <v>2040.4657895</v>
      </c>
      <c r="AE1620" s="372">
        <v>0</v>
      </c>
      <c r="AF1620" s="372">
        <v>0</v>
      </c>
      <c r="AG1620" s="372">
        <v>0</v>
      </c>
      <c r="AH1620" s="372">
        <v>0</v>
      </c>
    </row>
    <row r="1621" spans="1:34">
      <c r="A1621" s="372" t="s">
        <v>10782</v>
      </c>
      <c r="B1621" s="373" t="s">
        <v>10783</v>
      </c>
      <c r="C1621" s="372" t="s">
        <v>10784</v>
      </c>
      <c r="D1621" s="374">
        <v>1101112005018</v>
      </c>
      <c r="E1621" s="372" t="s">
        <v>10785</v>
      </c>
      <c r="F1621" s="375" t="s">
        <v>1124</v>
      </c>
      <c r="G1621" s="375" t="s">
        <v>1347</v>
      </c>
      <c r="H1621" s="375" t="s">
        <v>1348</v>
      </c>
      <c r="I1621" s="375" t="s">
        <v>869</v>
      </c>
      <c r="J1621" s="375">
        <v>3125.3940600000001</v>
      </c>
      <c r="K1621" s="375">
        <v>-27085.530770000001</v>
      </c>
      <c r="L1621" s="375">
        <v>-22430.389800000001</v>
      </c>
      <c r="M1621" s="375">
        <v>64334.046629999997</v>
      </c>
      <c r="N1621" s="372">
        <v>1.254</v>
      </c>
      <c r="O1621" s="703">
        <v>3.8148723483214284</v>
      </c>
      <c r="P1621" s="375" t="s">
        <v>623</v>
      </c>
      <c r="Q1621" s="372" t="s">
        <v>623</v>
      </c>
      <c r="R1621" s="695">
        <v>20131128</v>
      </c>
      <c r="S1621" s="372" t="s">
        <v>10786</v>
      </c>
      <c r="T1621" s="696" t="s">
        <v>772</v>
      </c>
      <c r="U1621" s="372" t="s">
        <v>10787</v>
      </c>
      <c r="V1621" s="722" t="s">
        <v>774</v>
      </c>
      <c r="W1621" s="722">
        <v>1.82</v>
      </c>
      <c r="X1621" s="722">
        <v>29.52</v>
      </c>
      <c r="Y1621" s="722" t="s">
        <v>774</v>
      </c>
      <c r="Z1621" s="382" t="s">
        <v>934</v>
      </c>
      <c r="AA1621" s="372">
        <v>33.634236899999998</v>
      </c>
      <c r="AB1621" s="372">
        <v>32.421161900000001</v>
      </c>
      <c r="AC1621" s="372">
        <v>52.9345359</v>
      </c>
      <c r="AD1621" s="372">
        <v>31.2539406</v>
      </c>
      <c r="AE1621" s="372">
        <v>0</v>
      </c>
      <c r="AF1621" s="372">
        <v>0</v>
      </c>
      <c r="AG1621" s="372">
        <v>0</v>
      </c>
      <c r="AH1621" s="372">
        <v>0</v>
      </c>
    </row>
    <row r="1622" spans="1:34">
      <c r="A1622" s="372" t="s">
        <v>10788</v>
      </c>
      <c r="B1622" s="373" t="s">
        <v>10789</v>
      </c>
      <c r="C1622" s="372" t="s">
        <v>10790</v>
      </c>
      <c r="D1622" s="374">
        <v>1101115542497</v>
      </c>
      <c r="E1622" s="372" t="s">
        <v>10791</v>
      </c>
      <c r="F1622" s="375" t="s">
        <v>9602</v>
      </c>
      <c r="G1622" s="375" t="s">
        <v>9602</v>
      </c>
      <c r="H1622" s="375" t="s">
        <v>868</v>
      </c>
      <c r="I1622" s="375" t="s">
        <v>869</v>
      </c>
      <c r="J1622" s="375">
        <v>185491.75599999999</v>
      </c>
      <c r="K1622" s="375">
        <v>35750.469420000001</v>
      </c>
      <c r="L1622" s="375">
        <v>37915.1086</v>
      </c>
      <c r="M1622" s="375">
        <v>122936.53054000001</v>
      </c>
      <c r="N1622" s="372">
        <v>0.94899999999999995</v>
      </c>
      <c r="O1622" s="703">
        <v>49.599429991529924</v>
      </c>
      <c r="P1622" s="375" t="s">
        <v>623</v>
      </c>
      <c r="Q1622" s="372" t="s">
        <v>623</v>
      </c>
      <c r="R1622" s="695">
        <v>20141217</v>
      </c>
      <c r="S1622" s="375" t="s">
        <v>10792</v>
      </c>
      <c r="T1622" s="696">
        <v>0.23100000000000001</v>
      </c>
      <c r="U1622" s="375" t="s">
        <v>10793</v>
      </c>
      <c r="V1622" s="722">
        <v>2.19</v>
      </c>
      <c r="W1622" s="722">
        <v>0.75</v>
      </c>
      <c r="X1622" s="722">
        <v>0.49</v>
      </c>
      <c r="Y1622" s="722">
        <v>2.8</v>
      </c>
      <c r="Z1622" s="382" t="s">
        <v>934</v>
      </c>
      <c r="AA1622" s="372">
        <v>1240.2950642000001</v>
      </c>
      <c r="AB1622" s="372">
        <v>1536.2086044</v>
      </c>
      <c r="AC1622" s="372">
        <v>1826.490742</v>
      </c>
      <c r="AD1622" s="372">
        <v>1854.9175600000001</v>
      </c>
      <c r="AE1622" s="372">
        <v>2000</v>
      </c>
      <c r="AF1622" s="372">
        <v>2090</v>
      </c>
      <c r="AG1622" s="372">
        <v>0</v>
      </c>
      <c r="AH1622" s="372">
        <v>0</v>
      </c>
    </row>
    <row r="1623" spans="1:34">
      <c r="A1623" s="372" t="s">
        <v>10794</v>
      </c>
      <c r="B1623" s="373" t="s">
        <v>10795</v>
      </c>
      <c r="C1623" s="372" t="s">
        <v>10796</v>
      </c>
      <c r="D1623" s="374">
        <v>1244110001008</v>
      </c>
      <c r="E1623" s="372" t="s">
        <v>10797</v>
      </c>
      <c r="F1623" s="375" t="s">
        <v>2305</v>
      </c>
      <c r="G1623" s="375" t="s">
        <v>5144</v>
      </c>
      <c r="H1623" s="375" t="s">
        <v>868</v>
      </c>
      <c r="I1623" s="375" t="s">
        <v>869</v>
      </c>
      <c r="J1623" s="375">
        <v>78169.020610000007</v>
      </c>
      <c r="K1623" s="375">
        <v>12521.00441</v>
      </c>
      <c r="L1623" s="375">
        <v>15029.42339</v>
      </c>
      <c r="M1623" s="375">
        <v>114507.18807</v>
      </c>
      <c r="N1623" s="372">
        <v>1.0569999999999999</v>
      </c>
      <c r="O1623" s="703">
        <v>2.3842832593599992</v>
      </c>
      <c r="P1623" s="375" t="s">
        <v>623</v>
      </c>
      <c r="Q1623" s="375" t="s">
        <v>623</v>
      </c>
      <c r="R1623" s="695">
        <v>20000526</v>
      </c>
      <c r="S1623" s="375" t="s">
        <v>10798</v>
      </c>
      <c r="T1623" s="696">
        <v>0.20900000000000002</v>
      </c>
      <c r="U1623" s="372" t="s">
        <v>10799</v>
      </c>
      <c r="V1623" s="722">
        <v>6.31</v>
      </c>
      <c r="W1623" s="722">
        <v>0.76</v>
      </c>
      <c r="X1623" s="722">
        <v>1.1299999999999999</v>
      </c>
      <c r="Y1623" s="722">
        <v>7.27</v>
      </c>
      <c r="Z1623" s="382" t="s">
        <v>934</v>
      </c>
      <c r="AA1623" s="372">
        <v>674.05345539999996</v>
      </c>
      <c r="AB1623" s="372">
        <v>840.61099639999998</v>
      </c>
      <c r="AC1623" s="372">
        <v>860.95840510000005</v>
      </c>
      <c r="AD1623" s="372">
        <v>781.69020609999995</v>
      </c>
      <c r="AE1623" s="372">
        <v>1122</v>
      </c>
      <c r="AF1623" s="372">
        <v>0</v>
      </c>
      <c r="AG1623" s="372">
        <v>0</v>
      </c>
      <c r="AH1623" s="372">
        <v>0</v>
      </c>
    </row>
    <row r="1624" spans="1:34">
      <c r="A1624" s="372" t="s">
        <v>10800</v>
      </c>
      <c r="B1624" s="373" t="s">
        <v>10801</v>
      </c>
      <c r="C1624" s="372" t="s">
        <v>10802</v>
      </c>
      <c r="D1624" s="374">
        <v>1201110607278</v>
      </c>
      <c r="E1624" s="372" t="s">
        <v>10803</v>
      </c>
      <c r="F1624" s="372" t="s">
        <v>7094</v>
      </c>
      <c r="G1624" s="375" t="s">
        <v>7094</v>
      </c>
      <c r="H1624" s="375" t="s">
        <v>1348</v>
      </c>
      <c r="I1624" s="375" t="s">
        <v>869</v>
      </c>
      <c r="J1624" s="375">
        <v>81827.462249999997</v>
      </c>
      <c r="K1624" s="375">
        <v>-11598.829449999999</v>
      </c>
      <c r="L1624" s="375">
        <v>-21647.67092</v>
      </c>
      <c r="M1624" s="375">
        <v>75066.028600000005</v>
      </c>
      <c r="N1624" s="372">
        <v>1.1539999999999999</v>
      </c>
      <c r="O1624" s="703">
        <v>78.639664182516128</v>
      </c>
      <c r="P1624" s="375" t="s">
        <v>623</v>
      </c>
      <c r="Q1624" s="372" t="s">
        <v>623</v>
      </c>
      <c r="R1624" s="695">
        <v>20180328</v>
      </c>
      <c r="S1624" s="372" t="s">
        <v>10804</v>
      </c>
      <c r="T1624" s="696" t="s">
        <v>772</v>
      </c>
      <c r="U1624" s="372" t="s">
        <v>10805</v>
      </c>
      <c r="V1624" s="722" t="s">
        <v>774</v>
      </c>
      <c r="W1624" s="722">
        <v>1.23</v>
      </c>
      <c r="X1624" s="722">
        <v>1.03</v>
      </c>
      <c r="Y1624" s="722" t="s">
        <v>774</v>
      </c>
      <c r="Z1624" s="382" t="s">
        <v>934</v>
      </c>
      <c r="AA1624" s="372">
        <v>766.66400969999995</v>
      </c>
      <c r="AB1624" s="372">
        <v>939.33959359999994</v>
      </c>
      <c r="AC1624" s="372">
        <v>876.07189510000001</v>
      </c>
      <c r="AD1624" s="372">
        <v>818.27462249999996</v>
      </c>
      <c r="AE1624" s="372">
        <v>0</v>
      </c>
      <c r="AF1624" s="372">
        <v>0</v>
      </c>
      <c r="AG1624" s="372">
        <v>0</v>
      </c>
      <c r="AH1624" s="372">
        <v>0</v>
      </c>
    </row>
    <row r="1625" spans="1:34">
      <c r="A1625" s="372" t="s">
        <v>10806</v>
      </c>
      <c r="B1625" s="373" t="s">
        <v>10807</v>
      </c>
      <c r="C1625" s="372" t="s">
        <v>10808</v>
      </c>
      <c r="D1625" s="374">
        <v>1101114382878</v>
      </c>
      <c r="E1625" s="372" t="s">
        <v>10809</v>
      </c>
      <c r="F1625" s="375" t="s">
        <v>8794</v>
      </c>
      <c r="G1625" s="375" t="s">
        <v>8794</v>
      </c>
      <c r="H1625" s="375" t="s">
        <v>868</v>
      </c>
      <c r="I1625" s="375" t="s">
        <v>869</v>
      </c>
      <c r="J1625" s="375">
        <v>0</v>
      </c>
      <c r="K1625" s="375">
        <v>0</v>
      </c>
      <c r="L1625" s="375">
        <v>0</v>
      </c>
      <c r="M1625" s="375">
        <v>75241.819629999998</v>
      </c>
      <c r="N1625" s="372">
        <v>1.0569999999999999</v>
      </c>
      <c r="O1625" s="703">
        <v>47.621336877107183</v>
      </c>
      <c r="P1625" s="375" t="s">
        <v>623</v>
      </c>
      <c r="Q1625" s="372" t="s">
        <v>623</v>
      </c>
      <c r="R1625" s="695">
        <v>20101213</v>
      </c>
      <c r="S1625" s="372" t="s">
        <v>10810</v>
      </c>
      <c r="T1625" s="696" t="s">
        <v>772</v>
      </c>
      <c r="U1625" s="372" t="s">
        <v>10811</v>
      </c>
      <c r="V1625" s="722">
        <v>0</v>
      </c>
      <c r="W1625" s="722">
        <v>1.29</v>
      </c>
      <c r="X1625" s="722">
        <v>0</v>
      </c>
      <c r="Y1625" s="722">
        <v>0</v>
      </c>
      <c r="Z1625" s="382" t="s">
        <v>934</v>
      </c>
      <c r="AA1625" s="372">
        <v>1281.4412658000001</v>
      </c>
      <c r="AB1625" s="372">
        <v>2461.7206709000002</v>
      </c>
      <c r="AC1625" s="372">
        <v>2690.4859864999999</v>
      </c>
      <c r="AD1625" s="372">
        <v>2293.4931799000001</v>
      </c>
      <c r="AE1625" s="372">
        <v>0</v>
      </c>
      <c r="AF1625" s="372">
        <v>0</v>
      </c>
      <c r="AG1625" s="372">
        <v>0</v>
      </c>
      <c r="AH1625" s="372">
        <v>0</v>
      </c>
    </row>
    <row r="1626" spans="1:34">
      <c r="A1626" s="372" t="s">
        <v>10812</v>
      </c>
      <c r="B1626" s="373" t="s">
        <v>10813</v>
      </c>
      <c r="C1626" s="372" t="s">
        <v>10814</v>
      </c>
      <c r="D1626" s="374">
        <v>1801110102359</v>
      </c>
      <c r="E1626" s="372" t="s">
        <v>10815</v>
      </c>
      <c r="F1626" s="375" t="s">
        <v>2771</v>
      </c>
      <c r="G1626" s="375" t="s">
        <v>6574</v>
      </c>
      <c r="H1626" s="375" t="s">
        <v>868</v>
      </c>
      <c r="I1626" s="375" t="s">
        <v>869</v>
      </c>
      <c r="J1626" s="375">
        <v>248447.83749000001</v>
      </c>
      <c r="K1626" s="375">
        <v>5122.2172499999997</v>
      </c>
      <c r="L1626" s="375">
        <v>-2785.9898400000002</v>
      </c>
      <c r="M1626" s="375">
        <v>144027.87572000001</v>
      </c>
      <c r="N1626" s="372">
        <v>1.329</v>
      </c>
      <c r="O1626" s="703">
        <v>112.89872687023932</v>
      </c>
      <c r="P1626" s="375" t="s">
        <v>623</v>
      </c>
      <c r="Q1626" s="372" t="s">
        <v>623</v>
      </c>
      <c r="R1626" s="695">
        <v>19950612</v>
      </c>
      <c r="S1626" s="372" t="s">
        <v>10816</v>
      </c>
      <c r="T1626" s="696" t="s">
        <v>772</v>
      </c>
      <c r="U1626" s="372" t="s">
        <v>8352</v>
      </c>
      <c r="V1626" s="722">
        <v>17.63</v>
      </c>
      <c r="W1626" s="722">
        <v>0.72</v>
      </c>
      <c r="X1626" s="722">
        <v>0.37</v>
      </c>
      <c r="Y1626" s="722" t="s">
        <v>774</v>
      </c>
      <c r="Z1626" s="382" t="s">
        <v>934</v>
      </c>
      <c r="AA1626" s="372">
        <v>1871.5790849</v>
      </c>
      <c r="AB1626" s="372">
        <v>2141.5634593</v>
      </c>
      <c r="AC1626" s="372">
        <v>2454.8556106000001</v>
      </c>
      <c r="AD1626" s="372">
        <v>2484.4783748999998</v>
      </c>
      <c r="AE1626" s="372">
        <v>0</v>
      </c>
      <c r="AF1626" s="372">
        <v>0</v>
      </c>
      <c r="AG1626" s="372">
        <v>0</v>
      </c>
      <c r="AH1626" s="372">
        <v>0</v>
      </c>
    </row>
    <row r="1627" spans="1:34">
      <c r="A1627" s="372" t="s">
        <v>10817</v>
      </c>
      <c r="B1627" s="373" t="s">
        <v>10818</v>
      </c>
      <c r="C1627" s="372" t="s">
        <v>10819</v>
      </c>
      <c r="D1627" s="374">
        <v>1101110093552</v>
      </c>
      <c r="E1627" s="372" t="s">
        <v>10820</v>
      </c>
      <c r="F1627" s="375" t="s">
        <v>900</v>
      </c>
      <c r="G1627" s="375" t="s">
        <v>901</v>
      </c>
      <c r="H1627" s="375" t="s">
        <v>862</v>
      </c>
      <c r="I1627" s="375" t="s">
        <v>755</v>
      </c>
      <c r="J1627" s="375">
        <v>1035541.07459</v>
      </c>
      <c r="K1627" s="375">
        <v>71034.057050000003</v>
      </c>
      <c r="L1627" s="375">
        <v>52056.679600000003</v>
      </c>
      <c r="M1627" s="375">
        <v>543948.91809000005</v>
      </c>
      <c r="N1627" s="372">
        <v>0.96</v>
      </c>
      <c r="O1627" s="703">
        <v>341.21234653818823</v>
      </c>
      <c r="P1627" s="375" t="s">
        <v>623</v>
      </c>
      <c r="Q1627" s="372" t="s">
        <v>623</v>
      </c>
      <c r="R1627" s="695">
        <v>19760630</v>
      </c>
      <c r="S1627" s="372" t="s">
        <v>10821</v>
      </c>
      <c r="T1627" s="696">
        <v>0.23100000000000001</v>
      </c>
      <c r="U1627" s="372" t="s">
        <v>9645</v>
      </c>
      <c r="V1627" s="722">
        <v>4.93</v>
      </c>
      <c r="W1627" s="722">
        <v>0.28000000000000003</v>
      </c>
      <c r="X1627" s="722">
        <v>0.09</v>
      </c>
      <c r="Y1627" s="722">
        <v>4.3</v>
      </c>
      <c r="Z1627" s="382" t="s">
        <v>934</v>
      </c>
      <c r="AA1627" s="372">
        <v>9232.2251968</v>
      </c>
      <c r="AB1627" s="372">
        <v>9281.7793197999999</v>
      </c>
      <c r="AC1627" s="372">
        <v>9790.7145455999998</v>
      </c>
      <c r="AD1627" s="372">
        <v>10355.410745900001</v>
      </c>
      <c r="AE1627" s="372">
        <v>0</v>
      </c>
      <c r="AF1627" s="372">
        <v>0</v>
      </c>
      <c r="AG1627" s="372">
        <v>0</v>
      </c>
      <c r="AH1627" s="372">
        <v>0</v>
      </c>
    </row>
    <row r="1628" spans="1:34">
      <c r="A1628" s="372" t="s">
        <v>10822</v>
      </c>
      <c r="B1628" s="373" t="s">
        <v>10823</v>
      </c>
      <c r="C1628" s="372" t="s">
        <v>10824</v>
      </c>
      <c r="D1628" s="374">
        <v>2013110000107</v>
      </c>
      <c r="E1628" s="372" t="s">
        <v>10825</v>
      </c>
      <c r="F1628" s="375" t="s">
        <v>1977</v>
      </c>
      <c r="G1628" s="375" t="s">
        <v>7900</v>
      </c>
      <c r="H1628" s="375" t="s">
        <v>868</v>
      </c>
      <c r="I1628" s="375" t="s">
        <v>869</v>
      </c>
      <c r="J1628" s="375">
        <v>116422.74845</v>
      </c>
      <c r="K1628" s="375">
        <v>14583.45233</v>
      </c>
      <c r="L1628" s="375">
        <v>-892.15599999999995</v>
      </c>
      <c r="M1628" s="375">
        <v>128136.52098</v>
      </c>
      <c r="N1628" s="372">
        <v>0.76300000000000001</v>
      </c>
      <c r="O1628" s="703">
        <v>66.195390328939183</v>
      </c>
      <c r="P1628" s="375" t="s">
        <v>623</v>
      </c>
      <c r="Q1628" s="375" t="s">
        <v>623</v>
      </c>
      <c r="R1628" s="695">
        <v>20140730</v>
      </c>
      <c r="S1628" s="375" t="s">
        <v>10826</v>
      </c>
      <c r="T1628" s="696" t="s">
        <v>772</v>
      </c>
      <c r="U1628" s="372" t="s">
        <v>10827</v>
      </c>
      <c r="V1628" s="722">
        <v>6.95</v>
      </c>
      <c r="W1628" s="722">
        <v>0.65</v>
      </c>
      <c r="X1628" s="722">
        <v>0.77</v>
      </c>
      <c r="Y1628" s="722" t="s">
        <v>774</v>
      </c>
      <c r="Z1628" s="382" t="s">
        <v>934</v>
      </c>
      <c r="AA1628" s="372">
        <v>1146.5976316000001</v>
      </c>
      <c r="AB1628" s="372">
        <v>969.90829289999999</v>
      </c>
      <c r="AC1628" s="372">
        <v>1094.2969574000001</v>
      </c>
      <c r="AD1628" s="372">
        <v>1164.2274844999999</v>
      </c>
      <c r="AE1628" s="372">
        <v>0</v>
      </c>
      <c r="AF1628" s="372">
        <v>0</v>
      </c>
      <c r="AG1628" s="372">
        <v>0</v>
      </c>
      <c r="AH1628" s="372">
        <v>0</v>
      </c>
    </row>
    <row r="1629" spans="1:34">
      <c r="A1629" s="372" t="s">
        <v>10828</v>
      </c>
      <c r="B1629" s="373" t="s">
        <v>10829</v>
      </c>
      <c r="C1629" s="372" t="s">
        <v>10830</v>
      </c>
      <c r="D1629" s="374">
        <v>1101111727853</v>
      </c>
      <c r="E1629" s="372" t="s">
        <v>10831</v>
      </c>
      <c r="F1629" s="375" t="s">
        <v>2674</v>
      </c>
      <c r="G1629" s="375" t="s">
        <v>2674</v>
      </c>
      <c r="H1629" s="375" t="s">
        <v>868</v>
      </c>
      <c r="I1629" s="375" t="s">
        <v>869</v>
      </c>
      <c r="J1629" s="375">
        <v>69712.373560000007</v>
      </c>
      <c r="K1629" s="375">
        <v>4532.2964099999999</v>
      </c>
      <c r="L1629" s="375">
        <v>3978.14185</v>
      </c>
      <c r="M1629" s="375">
        <v>78150.509489999997</v>
      </c>
      <c r="N1629" s="372">
        <v>1.208</v>
      </c>
      <c r="O1629" s="703">
        <v>31.089133903623456</v>
      </c>
      <c r="P1629" s="375" t="s">
        <v>623</v>
      </c>
      <c r="Q1629" s="372" t="s">
        <v>623</v>
      </c>
      <c r="R1629" s="695">
        <v>20051118</v>
      </c>
      <c r="S1629" s="372" t="s">
        <v>10832</v>
      </c>
      <c r="T1629" s="696">
        <v>0.20900000000000002</v>
      </c>
      <c r="U1629" s="372" t="s">
        <v>10833</v>
      </c>
      <c r="V1629" s="722">
        <v>14.34</v>
      </c>
      <c r="W1629" s="722">
        <v>1.18</v>
      </c>
      <c r="X1629" s="722">
        <v>1.23</v>
      </c>
      <c r="Y1629" s="722">
        <v>19.7</v>
      </c>
      <c r="Z1629" s="382" t="s">
        <v>934</v>
      </c>
      <c r="AA1629" s="372">
        <v>291.4850629</v>
      </c>
      <c r="AB1629" s="372">
        <v>550.56210209999995</v>
      </c>
      <c r="AC1629" s="372">
        <v>738.6581443</v>
      </c>
      <c r="AD1629" s="372">
        <v>697.12373560000003</v>
      </c>
      <c r="AE1629" s="372">
        <v>0</v>
      </c>
      <c r="AF1629" s="372">
        <v>0</v>
      </c>
      <c r="AG1629" s="372">
        <v>0</v>
      </c>
      <c r="AH1629" s="372">
        <v>0</v>
      </c>
    </row>
    <row r="1630" spans="1:34">
      <c r="A1630" s="372" t="s">
        <v>10834</v>
      </c>
      <c r="B1630" s="373" t="s">
        <v>10835</v>
      </c>
      <c r="C1630" s="372" t="s">
        <v>16074</v>
      </c>
      <c r="D1630" s="374">
        <v>1101110313728</v>
      </c>
      <c r="E1630" s="372" t="s">
        <v>16075</v>
      </c>
      <c r="F1630" s="375" t="s">
        <v>1923</v>
      </c>
      <c r="G1630" s="375" t="s">
        <v>9732</v>
      </c>
      <c r="H1630" s="375" t="s">
        <v>868</v>
      </c>
      <c r="I1630" s="375" t="s">
        <v>869</v>
      </c>
      <c r="J1630" s="375">
        <v>41276.921119999999</v>
      </c>
      <c r="K1630" s="375">
        <v>-4094.6706800000002</v>
      </c>
      <c r="L1630" s="375">
        <v>-9050.7339499999998</v>
      </c>
      <c r="M1630" s="375">
        <v>76900.637659999993</v>
      </c>
      <c r="N1630" s="372">
        <v>0.60699999999999998</v>
      </c>
      <c r="O1630" s="703">
        <v>67.643984042433161</v>
      </c>
      <c r="P1630" s="375" t="s">
        <v>623</v>
      </c>
      <c r="Q1630" s="372" t="s">
        <v>623</v>
      </c>
      <c r="R1630" s="695">
        <v>20051216</v>
      </c>
      <c r="S1630" s="372" t="s">
        <v>10836</v>
      </c>
      <c r="T1630" s="696" t="s">
        <v>772</v>
      </c>
      <c r="U1630" s="372" t="s">
        <v>10837</v>
      </c>
      <c r="V1630" s="722" t="s">
        <v>774</v>
      </c>
      <c r="W1630" s="722">
        <v>0.87</v>
      </c>
      <c r="X1630" s="722">
        <v>1.29</v>
      </c>
      <c r="Y1630" s="722" t="s">
        <v>774</v>
      </c>
      <c r="Z1630" s="382" t="s">
        <v>934</v>
      </c>
      <c r="AA1630" s="372">
        <v>206.51323500000001</v>
      </c>
      <c r="AB1630" s="372">
        <v>370.26545160000001</v>
      </c>
      <c r="AC1630" s="372">
        <v>523.44332240000006</v>
      </c>
      <c r="AD1630" s="372">
        <v>412.76921119999997</v>
      </c>
      <c r="AE1630" s="372">
        <v>0</v>
      </c>
      <c r="AF1630" s="372">
        <v>0</v>
      </c>
      <c r="AG1630" s="372">
        <v>0</v>
      </c>
      <c r="AH1630" s="372">
        <v>0</v>
      </c>
    </row>
    <row r="1631" spans="1:34">
      <c r="A1631" s="372" t="s">
        <v>10838</v>
      </c>
      <c r="B1631" s="373" t="s">
        <v>10839</v>
      </c>
      <c r="C1631" s="372" t="s">
        <v>10840</v>
      </c>
      <c r="D1631" s="374">
        <v>1345110005858</v>
      </c>
      <c r="E1631" s="372" t="s">
        <v>10841</v>
      </c>
      <c r="F1631" s="375" t="s">
        <v>1728</v>
      </c>
      <c r="G1631" s="375" t="s">
        <v>1729</v>
      </c>
      <c r="H1631" s="375" t="s">
        <v>868</v>
      </c>
      <c r="I1631" s="375" t="s">
        <v>869</v>
      </c>
      <c r="J1631" s="375">
        <v>193993.18998</v>
      </c>
      <c r="K1631" s="375">
        <v>5747.9905900000003</v>
      </c>
      <c r="L1631" s="375">
        <v>8488.6524000000009</v>
      </c>
      <c r="M1631" s="375">
        <v>121558.95554</v>
      </c>
      <c r="N1631" s="372">
        <v>0.72499999999999998</v>
      </c>
      <c r="O1631" s="703">
        <v>0.10795888657211176</v>
      </c>
      <c r="P1631" s="375" t="s">
        <v>623</v>
      </c>
      <c r="Q1631" s="372" t="s">
        <v>623</v>
      </c>
      <c r="R1631" s="695">
        <v>20000711</v>
      </c>
      <c r="S1631" s="372" t="s">
        <v>10842</v>
      </c>
      <c r="T1631" s="696">
        <v>0.20900000000000002</v>
      </c>
      <c r="U1631" s="372" t="s">
        <v>10843</v>
      </c>
      <c r="V1631" s="722">
        <v>10.25</v>
      </c>
      <c r="W1631" s="722">
        <v>0.7</v>
      </c>
      <c r="X1631" s="722">
        <v>0.44</v>
      </c>
      <c r="Y1631" s="722">
        <v>17.5</v>
      </c>
      <c r="Z1631" s="382" t="s">
        <v>934</v>
      </c>
      <c r="AA1631" s="372">
        <v>1908.4183049000001</v>
      </c>
      <c r="AB1631" s="372">
        <v>2021.7038637000001</v>
      </c>
      <c r="AC1631" s="372">
        <v>2189.0871388</v>
      </c>
      <c r="AD1631" s="372">
        <v>1939.9318998000001</v>
      </c>
      <c r="AE1631" s="372">
        <v>0</v>
      </c>
      <c r="AF1631" s="372">
        <v>0</v>
      </c>
      <c r="AG1631" s="372">
        <v>0</v>
      </c>
      <c r="AH1631" s="372">
        <v>0</v>
      </c>
    </row>
    <row r="1632" spans="1:34">
      <c r="A1632" s="372" t="s">
        <v>10844</v>
      </c>
      <c r="B1632" s="373" t="s">
        <v>10845</v>
      </c>
      <c r="C1632" s="372" t="s">
        <v>10846</v>
      </c>
      <c r="D1632" s="374">
        <v>1101110562896</v>
      </c>
      <c r="E1632" s="372" t="s">
        <v>10847</v>
      </c>
      <c r="F1632" s="375" t="s">
        <v>10848</v>
      </c>
      <c r="G1632" s="375" t="s">
        <v>10848</v>
      </c>
      <c r="H1632" s="375" t="s">
        <v>1348</v>
      </c>
      <c r="I1632" s="375" t="s">
        <v>869</v>
      </c>
      <c r="J1632" s="375">
        <v>134871.39220999999</v>
      </c>
      <c r="K1632" s="375">
        <v>5608.2774099999997</v>
      </c>
      <c r="L1632" s="375">
        <v>12570.01557</v>
      </c>
      <c r="M1632" s="375">
        <v>132020.45154000001</v>
      </c>
      <c r="N1632" s="372">
        <v>1.0029999999999999</v>
      </c>
      <c r="O1632" s="703">
        <v>8.924636069698396</v>
      </c>
      <c r="P1632" s="375" t="s">
        <v>623</v>
      </c>
      <c r="Q1632" s="372" t="s">
        <v>623</v>
      </c>
      <c r="R1632" s="695">
        <v>19990811</v>
      </c>
      <c r="S1632" s="372" t="s">
        <v>10849</v>
      </c>
      <c r="T1632" s="696">
        <v>0.20900000000000002</v>
      </c>
      <c r="U1632" s="372" t="s">
        <v>10850</v>
      </c>
      <c r="V1632" s="722">
        <v>10.88</v>
      </c>
      <c r="W1632" s="722">
        <v>0.64</v>
      </c>
      <c r="X1632" s="722">
        <v>0.65</v>
      </c>
      <c r="Y1632" s="722">
        <v>10.5</v>
      </c>
      <c r="Z1632" s="382" t="s">
        <v>934</v>
      </c>
      <c r="AA1632" s="372">
        <v>1037.0676140999999</v>
      </c>
      <c r="AB1632" s="372">
        <v>925.91768730000001</v>
      </c>
      <c r="AC1632" s="372">
        <v>1002.0750067</v>
      </c>
      <c r="AD1632" s="372">
        <v>1348.7139221</v>
      </c>
      <c r="AE1632" s="372">
        <v>1374</v>
      </c>
      <c r="AF1632" s="372">
        <v>1489</v>
      </c>
      <c r="AG1632" s="372">
        <v>0</v>
      </c>
      <c r="AH1632" s="372">
        <v>0</v>
      </c>
    </row>
    <row r="1633" spans="1:34">
      <c r="A1633" s="372" t="s">
        <v>10851</v>
      </c>
      <c r="B1633" s="373" t="s">
        <v>10852</v>
      </c>
      <c r="C1633" s="372" t="s">
        <v>10853</v>
      </c>
      <c r="D1633" s="374">
        <v>1355110186996</v>
      </c>
      <c r="E1633" s="372" t="s">
        <v>10854</v>
      </c>
      <c r="F1633" s="375" t="s">
        <v>1286</v>
      </c>
      <c r="G1633" s="375" t="s">
        <v>1465</v>
      </c>
      <c r="H1633" s="375" t="s">
        <v>868</v>
      </c>
      <c r="I1633" s="375" t="s">
        <v>869</v>
      </c>
      <c r="J1633" s="375">
        <v>47911.985390000002</v>
      </c>
      <c r="K1633" s="375">
        <v>-34.626049999999999</v>
      </c>
      <c r="L1633" s="375">
        <v>388.18355000000003</v>
      </c>
      <c r="M1633" s="375">
        <v>59913.600630000001</v>
      </c>
      <c r="N1633" s="372">
        <v>0.88900000000000001</v>
      </c>
      <c r="O1633" s="703">
        <v>25.645136151018903</v>
      </c>
      <c r="P1633" s="375" t="s">
        <v>623</v>
      </c>
      <c r="Q1633" s="372" t="s">
        <v>623</v>
      </c>
      <c r="R1633" s="695">
        <v>20191224</v>
      </c>
      <c r="S1633" s="372" t="s">
        <v>10855</v>
      </c>
      <c r="T1633" s="696">
        <v>0.20900000000000002</v>
      </c>
      <c r="U1633" s="372" t="s">
        <v>16076</v>
      </c>
      <c r="V1633" s="722">
        <v>34.15</v>
      </c>
      <c r="W1633" s="722">
        <v>2.02</v>
      </c>
      <c r="X1633" s="722">
        <v>1.87</v>
      </c>
      <c r="Y1633" s="722" t="s">
        <v>774</v>
      </c>
      <c r="Z1633" s="382" t="s">
        <v>934</v>
      </c>
      <c r="AA1633" s="372">
        <v>182.1348433</v>
      </c>
      <c r="AB1633" s="372">
        <v>377.71227709999999</v>
      </c>
      <c r="AC1633" s="372">
        <v>504.42251579999999</v>
      </c>
      <c r="AD1633" s="372">
        <v>479.11985390000001</v>
      </c>
      <c r="AE1633" s="372">
        <v>681</v>
      </c>
      <c r="AF1633" s="372">
        <v>0</v>
      </c>
      <c r="AG1633" s="372">
        <v>0</v>
      </c>
      <c r="AH1633" s="372">
        <v>0</v>
      </c>
    </row>
    <row r="1634" spans="1:34">
      <c r="A1634" s="372" t="s">
        <v>10856</v>
      </c>
      <c r="B1634" s="373" t="s">
        <v>10857</v>
      </c>
      <c r="C1634" s="372" t="s">
        <v>10858</v>
      </c>
      <c r="D1634" s="374">
        <v>1801110021806</v>
      </c>
      <c r="E1634" s="372" t="s">
        <v>10859</v>
      </c>
      <c r="F1634" s="372" t="s">
        <v>2193</v>
      </c>
      <c r="G1634" s="375" t="s">
        <v>10860</v>
      </c>
      <c r="H1634" s="375" t="s">
        <v>1481</v>
      </c>
      <c r="I1634" s="375" t="s">
        <v>755</v>
      </c>
      <c r="J1634" s="375">
        <v>85239.048509999993</v>
      </c>
      <c r="K1634" s="375">
        <v>7891.7646500000001</v>
      </c>
      <c r="L1634" s="375">
        <v>13230.843580000001</v>
      </c>
      <c r="M1634" s="375">
        <v>95820.362959999999</v>
      </c>
      <c r="N1634" s="372">
        <v>0.499</v>
      </c>
      <c r="O1634" s="703">
        <v>3.6202646132947158E-2</v>
      </c>
      <c r="P1634" s="375" t="s">
        <v>623</v>
      </c>
      <c r="Q1634" s="375" t="s">
        <v>623</v>
      </c>
      <c r="R1634" s="695">
        <v>20051209</v>
      </c>
      <c r="S1634" s="372" t="s">
        <v>10861</v>
      </c>
      <c r="T1634" s="696">
        <v>0.20900000000000002</v>
      </c>
      <c r="U1634" s="372" t="s">
        <v>10862</v>
      </c>
      <c r="V1634" s="722">
        <v>8.26</v>
      </c>
      <c r="W1634" s="722">
        <v>0.74</v>
      </c>
      <c r="X1634" s="722">
        <v>1.02</v>
      </c>
      <c r="Y1634" s="722">
        <v>7.97</v>
      </c>
      <c r="Z1634" s="382" t="s">
        <v>934</v>
      </c>
      <c r="AA1634" s="372">
        <v>731.64758080000001</v>
      </c>
      <c r="AB1634" s="372">
        <v>797.47901279999996</v>
      </c>
      <c r="AC1634" s="372">
        <v>834.35241799999994</v>
      </c>
      <c r="AD1634" s="372">
        <v>852.39048509999998</v>
      </c>
      <c r="AE1634" s="372">
        <v>0</v>
      </c>
      <c r="AF1634" s="372">
        <v>0</v>
      </c>
      <c r="AG1634" s="372">
        <v>0</v>
      </c>
      <c r="AH1634" s="372">
        <v>0</v>
      </c>
    </row>
    <row r="1635" spans="1:34">
      <c r="A1635" s="372" t="s">
        <v>10863</v>
      </c>
      <c r="B1635" s="373" t="s">
        <v>10864</v>
      </c>
      <c r="C1635" s="372" t="s">
        <v>10865</v>
      </c>
      <c r="D1635" s="374">
        <v>1101115373933</v>
      </c>
      <c r="E1635" s="372" t="s">
        <v>10866</v>
      </c>
      <c r="F1635" s="375" t="s">
        <v>1814</v>
      </c>
      <c r="G1635" s="375" t="s">
        <v>1815</v>
      </c>
      <c r="H1635" s="375" t="s">
        <v>1693</v>
      </c>
      <c r="I1635" s="375" t="s">
        <v>869</v>
      </c>
      <c r="J1635" s="375">
        <v>24542.15323</v>
      </c>
      <c r="K1635" s="375">
        <v>-357.66165000000001</v>
      </c>
      <c r="L1635" s="375">
        <v>-613.23451999999997</v>
      </c>
      <c r="M1635" s="375">
        <v>40070.75763</v>
      </c>
      <c r="N1635" s="372">
        <v>1.0509999999999999</v>
      </c>
      <c r="O1635" s="703">
        <v>23.864401818984675</v>
      </c>
      <c r="P1635" s="375" t="s">
        <v>623</v>
      </c>
      <c r="Q1635" s="375" t="s">
        <v>623</v>
      </c>
      <c r="R1635" s="695">
        <v>20220310</v>
      </c>
      <c r="S1635" s="372" t="s">
        <v>10867</v>
      </c>
      <c r="T1635" s="696" t="s">
        <v>772</v>
      </c>
      <c r="U1635" s="372" t="s">
        <v>10868</v>
      </c>
      <c r="V1635" s="722">
        <v>24.25</v>
      </c>
      <c r="W1635" s="722">
        <v>2.12</v>
      </c>
      <c r="X1635" s="722">
        <v>3.28</v>
      </c>
      <c r="Y1635" s="722">
        <v>329.36</v>
      </c>
      <c r="Z1635" s="382" t="s">
        <v>934</v>
      </c>
      <c r="AA1635" s="372">
        <v>137.85093889999999</v>
      </c>
      <c r="AB1635" s="372">
        <v>196.42515850000001</v>
      </c>
      <c r="AC1635" s="372">
        <v>217.1374817</v>
      </c>
      <c r="AD1635" s="372">
        <v>245.4215323</v>
      </c>
      <c r="AE1635" s="372">
        <v>0</v>
      </c>
      <c r="AF1635" s="372">
        <v>0</v>
      </c>
      <c r="AG1635" s="372">
        <v>0</v>
      </c>
      <c r="AH1635" s="372">
        <v>0</v>
      </c>
    </row>
    <row r="1636" spans="1:34">
      <c r="A1636" s="372" t="s">
        <v>10869</v>
      </c>
      <c r="B1636" s="373" t="s">
        <v>10870</v>
      </c>
      <c r="C1636" s="372" t="s">
        <v>10871</v>
      </c>
      <c r="D1636" s="374">
        <v>1101111942485</v>
      </c>
      <c r="E1636" s="372" t="s">
        <v>10872</v>
      </c>
      <c r="F1636" s="372" t="s">
        <v>1013</v>
      </c>
      <c r="G1636" s="375" t="s">
        <v>1013</v>
      </c>
      <c r="H1636" s="375" t="s">
        <v>1693</v>
      </c>
      <c r="I1636" s="375" t="s">
        <v>869</v>
      </c>
      <c r="J1636" s="375">
        <v>50964.064599999998</v>
      </c>
      <c r="K1636" s="375">
        <v>7559.8762900000002</v>
      </c>
      <c r="L1636" s="375">
        <v>2663.0328500000001</v>
      </c>
      <c r="M1636" s="375">
        <v>102135.60549</v>
      </c>
      <c r="N1636" s="372" t="s">
        <v>1033</v>
      </c>
      <c r="O1636" s="703">
        <v>6.8635559596174529</v>
      </c>
      <c r="P1636" s="375" t="s">
        <v>623</v>
      </c>
      <c r="Q1636" s="372" t="s">
        <v>623</v>
      </c>
      <c r="R1636" s="695">
        <v>20221117</v>
      </c>
      <c r="S1636" s="372" t="s">
        <v>10873</v>
      </c>
      <c r="T1636" s="696">
        <v>0.20900000000000002</v>
      </c>
      <c r="U1636" s="372" t="s">
        <v>10874</v>
      </c>
      <c r="V1636" s="722">
        <v>10.51</v>
      </c>
      <c r="W1636" s="722">
        <v>0.82</v>
      </c>
      <c r="X1636" s="722">
        <v>1.61</v>
      </c>
      <c r="Y1636" s="722">
        <v>14.64</v>
      </c>
      <c r="Z1636" s="382" t="s">
        <v>934</v>
      </c>
      <c r="AA1636" s="372">
        <v>594.25954720000004</v>
      </c>
      <c r="AB1636" s="372">
        <v>686.66247350000003</v>
      </c>
      <c r="AC1636" s="372">
        <v>761.79110170000001</v>
      </c>
      <c r="AD1636" s="372">
        <v>509.640646</v>
      </c>
      <c r="AE1636" s="372">
        <v>0</v>
      </c>
      <c r="AF1636" s="372">
        <v>0</v>
      </c>
      <c r="AG1636" s="372">
        <v>0</v>
      </c>
      <c r="AH1636" s="372">
        <v>0</v>
      </c>
    </row>
    <row r="1637" spans="1:34">
      <c r="A1637" s="372" t="s">
        <v>10875</v>
      </c>
      <c r="B1637" s="373" t="s">
        <v>10876</v>
      </c>
      <c r="C1637" s="372" t="s">
        <v>10877</v>
      </c>
      <c r="D1637" s="374">
        <v>1942110039934</v>
      </c>
      <c r="E1637" s="372" t="s">
        <v>10878</v>
      </c>
      <c r="F1637" s="372" t="s">
        <v>5463</v>
      </c>
      <c r="G1637" s="375" t="s">
        <v>10879</v>
      </c>
      <c r="H1637" s="375" t="s">
        <v>868</v>
      </c>
      <c r="I1637" s="375" t="s">
        <v>869</v>
      </c>
      <c r="J1637" s="375">
        <v>57344.901360000003</v>
      </c>
      <c r="K1637" s="375">
        <v>2473.1454699999999</v>
      </c>
      <c r="L1637" s="375">
        <v>3765.25468</v>
      </c>
      <c r="M1637" s="375">
        <v>89542.802110000004</v>
      </c>
      <c r="N1637" s="372">
        <v>1.0649999999999999</v>
      </c>
      <c r="O1637" s="703">
        <v>2.0363971881584289</v>
      </c>
      <c r="P1637" s="375" t="s">
        <v>623</v>
      </c>
      <c r="Q1637" s="372" t="s">
        <v>623</v>
      </c>
      <c r="R1637" s="695">
        <v>20090428</v>
      </c>
      <c r="S1637" s="375" t="s">
        <v>10880</v>
      </c>
      <c r="T1637" s="696">
        <v>0.20900000000000002</v>
      </c>
      <c r="U1637" s="372" t="s">
        <v>10881</v>
      </c>
      <c r="V1637" s="722">
        <v>13.77</v>
      </c>
      <c r="W1637" s="722">
        <v>0.94</v>
      </c>
      <c r="X1637" s="722">
        <v>1.49</v>
      </c>
      <c r="Y1637" s="722">
        <v>16.96</v>
      </c>
      <c r="Z1637" s="382" t="s">
        <v>934</v>
      </c>
      <c r="AA1637" s="372">
        <v>601.09607900000003</v>
      </c>
      <c r="AB1637" s="372">
        <v>605.44380999999998</v>
      </c>
      <c r="AC1637" s="372">
        <v>683.21538250000003</v>
      </c>
      <c r="AD1637" s="372">
        <v>573.44901359999994</v>
      </c>
      <c r="AE1637" s="372">
        <v>783</v>
      </c>
      <c r="AF1637" s="372">
        <v>870</v>
      </c>
      <c r="AG1637" s="372">
        <v>0</v>
      </c>
      <c r="AH1637" s="372">
        <v>0</v>
      </c>
    </row>
    <row r="1638" spans="1:34">
      <c r="A1638" s="372" t="s">
        <v>10882</v>
      </c>
      <c r="B1638" s="373" t="s">
        <v>10883</v>
      </c>
      <c r="C1638" s="372" t="s">
        <v>10884</v>
      </c>
      <c r="D1638" s="374">
        <v>1243110005359</v>
      </c>
      <c r="E1638" s="372" t="s">
        <v>10885</v>
      </c>
      <c r="F1638" s="372" t="s">
        <v>6673</v>
      </c>
      <c r="G1638" s="375" t="s">
        <v>6673</v>
      </c>
      <c r="H1638" s="375" t="s">
        <v>1388</v>
      </c>
      <c r="I1638" s="375" t="s">
        <v>869</v>
      </c>
      <c r="J1638" s="375">
        <v>100488.22056</v>
      </c>
      <c r="K1638" s="375">
        <v>1911.1821500000001</v>
      </c>
      <c r="L1638" s="375">
        <v>3343.3531899999998</v>
      </c>
      <c r="M1638" s="375">
        <v>123113.75201</v>
      </c>
      <c r="N1638" s="372">
        <v>0.94899999999999995</v>
      </c>
      <c r="O1638" s="703">
        <v>0.32096983323519157</v>
      </c>
      <c r="P1638" s="375" t="s">
        <v>623</v>
      </c>
      <c r="Q1638" s="372" t="s">
        <v>623</v>
      </c>
      <c r="R1638" s="695">
        <v>19970930</v>
      </c>
      <c r="S1638" s="372" t="s">
        <v>10886</v>
      </c>
      <c r="T1638" s="696">
        <v>0.20900000000000002</v>
      </c>
      <c r="U1638" s="372" t="s">
        <v>10887</v>
      </c>
      <c r="V1638" s="722">
        <v>21.89</v>
      </c>
      <c r="W1638" s="722">
        <v>0.65</v>
      </c>
      <c r="X1638" s="722">
        <v>0.82</v>
      </c>
      <c r="Y1638" s="722">
        <v>27.19</v>
      </c>
      <c r="Z1638" s="382" t="s">
        <v>934</v>
      </c>
      <c r="AA1638" s="372">
        <v>1189.3033178999999</v>
      </c>
      <c r="AB1638" s="372">
        <v>926.62745470000004</v>
      </c>
      <c r="AC1638" s="372">
        <v>952.80775610000001</v>
      </c>
      <c r="AD1638" s="372">
        <v>1004.8822056</v>
      </c>
      <c r="AE1638" s="372">
        <v>0</v>
      </c>
      <c r="AF1638" s="372">
        <v>0</v>
      </c>
      <c r="AG1638" s="372">
        <v>0</v>
      </c>
      <c r="AH1638" s="372">
        <v>0</v>
      </c>
    </row>
    <row r="1639" spans="1:34">
      <c r="A1639" s="372" t="s">
        <v>10888</v>
      </c>
      <c r="B1639" s="373" t="s">
        <v>10889</v>
      </c>
      <c r="C1639" s="372" t="s">
        <v>10890</v>
      </c>
      <c r="D1639" s="374">
        <v>1101113569865</v>
      </c>
      <c r="E1639" s="372" t="s">
        <v>10891</v>
      </c>
      <c r="F1639" s="375" t="s">
        <v>982</v>
      </c>
      <c r="G1639" s="375" t="s">
        <v>983</v>
      </c>
      <c r="H1639" s="375" t="s">
        <v>1693</v>
      </c>
      <c r="I1639" s="375" t="s">
        <v>869</v>
      </c>
      <c r="J1639" s="375">
        <v>100515.2372</v>
      </c>
      <c r="K1639" s="375">
        <v>134.14497</v>
      </c>
      <c r="L1639" s="375">
        <v>-622.34370000000001</v>
      </c>
      <c r="M1639" s="375">
        <v>48021.094859999997</v>
      </c>
      <c r="N1639" s="372">
        <v>1.004</v>
      </c>
      <c r="O1639" s="703">
        <v>12.827558338913139</v>
      </c>
      <c r="P1639" s="375" t="s">
        <v>623</v>
      </c>
      <c r="Q1639" s="375" t="s">
        <v>623</v>
      </c>
      <c r="R1639" s="695">
        <v>20210421</v>
      </c>
      <c r="S1639" s="375" t="s">
        <v>10892</v>
      </c>
      <c r="T1639" s="696" t="s">
        <v>772</v>
      </c>
      <c r="U1639" s="372" t="s">
        <v>10893</v>
      </c>
      <c r="V1639" s="722">
        <v>66.53</v>
      </c>
      <c r="W1639" s="722">
        <v>1.49</v>
      </c>
      <c r="X1639" s="722">
        <v>0.71</v>
      </c>
      <c r="Y1639" s="722" t="s">
        <v>774</v>
      </c>
      <c r="Z1639" s="382" t="s">
        <v>934</v>
      </c>
      <c r="AA1639" s="372">
        <v>448.44543579999998</v>
      </c>
      <c r="AB1639" s="372">
        <v>430.47122489999998</v>
      </c>
      <c r="AC1639" s="372">
        <v>596.78363349999995</v>
      </c>
      <c r="AD1639" s="372">
        <v>1005.152372</v>
      </c>
      <c r="AE1639" s="372">
        <v>850</v>
      </c>
      <c r="AF1639" s="372">
        <v>1178</v>
      </c>
      <c r="AG1639" s="372">
        <v>0</v>
      </c>
      <c r="AH1639" s="372">
        <v>0</v>
      </c>
    </row>
    <row r="1640" spans="1:34">
      <c r="A1640" s="372" t="s">
        <v>10894</v>
      </c>
      <c r="B1640" s="373" t="s">
        <v>10895</v>
      </c>
      <c r="C1640" s="372" t="s">
        <v>10896</v>
      </c>
      <c r="D1640" s="374">
        <v>1301110050847</v>
      </c>
      <c r="E1640" s="372" t="s">
        <v>10897</v>
      </c>
      <c r="F1640" s="375" t="s">
        <v>1368</v>
      </c>
      <c r="G1640" s="375" t="s">
        <v>1368</v>
      </c>
      <c r="H1640" s="375" t="s">
        <v>868</v>
      </c>
      <c r="I1640" s="375" t="s">
        <v>869</v>
      </c>
      <c r="J1640" s="375">
        <v>79243.448770000003</v>
      </c>
      <c r="K1640" s="375">
        <v>-772.36779000000001</v>
      </c>
      <c r="L1640" s="375">
        <v>-7090.1344399999998</v>
      </c>
      <c r="M1640" s="375">
        <v>25506.312859999998</v>
      </c>
      <c r="N1640" s="372">
        <v>0.47599999999999998</v>
      </c>
      <c r="O1640" s="703">
        <v>36.673975040376618</v>
      </c>
      <c r="P1640" s="375" t="s">
        <v>623</v>
      </c>
      <c r="Q1640" s="372" t="s">
        <v>623</v>
      </c>
      <c r="R1640" s="695">
        <v>20100105</v>
      </c>
      <c r="S1640" s="372" t="s">
        <v>16077</v>
      </c>
      <c r="T1640" s="696" t="s">
        <v>772</v>
      </c>
      <c r="U1640" s="372" t="s">
        <v>10898</v>
      </c>
      <c r="V1640" s="722">
        <v>15.81</v>
      </c>
      <c r="W1640" s="722">
        <v>1.64</v>
      </c>
      <c r="X1640" s="722">
        <v>0.54</v>
      </c>
      <c r="Y1640" s="722" t="s">
        <v>774</v>
      </c>
      <c r="Z1640" s="382" t="s">
        <v>934</v>
      </c>
      <c r="AA1640" s="372">
        <v>587.93471550000004</v>
      </c>
      <c r="AB1640" s="372">
        <v>492.50446529999999</v>
      </c>
      <c r="AC1640" s="372">
        <v>552.0019211</v>
      </c>
      <c r="AD1640" s="372">
        <v>792.43448769999998</v>
      </c>
      <c r="AE1640" s="372">
        <v>0</v>
      </c>
      <c r="AF1640" s="372">
        <v>0</v>
      </c>
      <c r="AG1640" s="372">
        <v>0</v>
      </c>
      <c r="AH1640" s="372">
        <v>0</v>
      </c>
    </row>
    <row r="1641" spans="1:34">
      <c r="A1641" s="372" t="s">
        <v>10899</v>
      </c>
      <c r="B1641" s="373" t="s">
        <v>10900</v>
      </c>
      <c r="C1641" s="372" t="s">
        <v>10901</v>
      </c>
      <c r="D1641" s="374">
        <v>1101110048002</v>
      </c>
      <c r="E1641" s="372" t="s">
        <v>10902</v>
      </c>
      <c r="F1641" s="372" t="s">
        <v>1761</v>
      </c>
      <c r="G1641" s="375" t="s">
        <v>1761</v>
      </c>
      <c r="H1641" s="375" t="s">
        <v>853</v>
      </c>
      <c r="I1641" s="375" t="s">
        <v>755</v>
      </c>
      <c r="J1641" s="375">
        <v>143080.02986000001</v>
      </c>
      <c r="K1641" s="375">
        <v>1837.7935</v>
      </c>
      <c r="L1641" s="375">
        <v>2288.65047</v>
      </c>
      <c r="M1641" s="375">
        <v>242842.11082999999</v>
      </c>
      <c r="N1641" s="372">
        <v>1.016</v>
      </c>
      <c r="O1641" s="703">
        <v>51.745692063068446</v>
      </c>
      <c r="P1641" s="375" t="s">
        <v>623</v>
      </c>
      <c r="Q1641" s="372" t="s">
        <v>623</v>
      </c>
      <c r="R1641" s="695">
        <v>19760419</v>
      </c>
      <c r="S1641" s="372" t="s">
        <v>10903</v>
      </c>
      <c r="T1641" s="696">
        <v>0.20900000000000002</v>
      </c>
      <c r="U1641" s="372" t="s">
        <v>10904</v>
      </c>
      <c r="V1641" s="722">
        <v>22.21</v>
      </c>
      <c r="W1641" s="722">
        <v>0.37</v>
      </c>
      <c r="X1641" s="722">
        <v>0.64</v>
      </c>
      <c r="Y1641" s="722" t="s">
        <v>774</v>
      </c>
      <c r="Z1641" s="382" t="s">
        <v>934</v>
      </c>
      <c r="AA1641" s="372">
        <v>1678.0276067</v>
      </c>
      <c r="AB1641" s="372">
        <v>1357.4667945000001</v>
      </c>
      <c r="AC1641" s="372">
        <v>1613.0478427</v>
      </c>
      <c r="AD1641" s="372">
        <v>1430.8002985999999</v>
      </c>
      <c r="AE1641" s="372">
        <v>0</v>
      </c>
      <c r="AF1641" s="372">
        <v>0</v>
      </c>
      <c r="AG1641" s="372">
        <v>0</v>
      </c>
      <c r="AH1641" s="372">
        <v>0</v>
      </c>
    </row>
    <row r="1642" spans="1:34">
      <c r="A1642" s="372" t="s">
        <v>10905</v>
      </c>
      <c r="B1642" s="373" t="s">
        <v>10906</v>
      </c>
      <c r="C1642" s="372" t="s">
        <v>10907</v>
      </c>
      <c r="D1642" s="374">
        <v>1301110008052</v>
      </c>
      <c r="E1642" s="372" t="s">
        <v>10908</v>
      </c>
      <c r="F1642" s="375" t="s">
        <v>3020</v>
      </c>
      <c r="G1642" s="375" t="s">
        <v>3020</v>
      </c>
      <c r="H1642" s="375" t="s">
        <v>797</v>
      </c>
      <c r="I1642" s="375" t="s">
        <v>755</v>
      </c>
      <c r="J1642" s="375">
        <v>542893.20146999997</v>
      </c>
      <c r="K1642" s="375">
        <v>23520.579860000002</v>
      </c>
      <c r="L1642" s="375">
        <v>23467.261119999999</v>
      </c>
      <c r="M1642" s="375">
        <v>152353.90653000001</v>
      </c>
      <c r="N1642" s="372">
        <v>1.0269999999999999</v>
      </c>
      <c r="O1642" s="703">
        <v>218.31520871944119</v>
      </c>
      <c r="P1642" s="375" t="s">
        <v>623</v>
      </c>
      <c r="Q1642" s="372" t="s">
        <v>623</v>
      </c>
      <c r="R1642" s="695">
        <v>19941031</v>
      </c>
      <c r="S1642" s="372" t="s">
        <v>10909</v>
      </c>
      <c r="T1642" s="696">
        <v>0.23100000000000001</v>
      </c>
      <c r="U1642" s="372" t="s">
        <v>10910</v>
      </c>
      <c r="V1642" s="722">
        <v>6.57</v>
      </c>
      <c r="W1642" s="722">
        <v>0.76</v>
      </c>
      <c r="X1642" s="722">
        <v>0.17</v>
      </c>
      <c r="Y1642" s="722">
        <v>8.18</v>
      </c>
      <c r="Z1642" s="382" t="s">
        <v>934</v>
      </c>
      <c r="AA1642" s="372">
        <v>3841.9015709999999</v>
      </c>
      <c r="AB1642" s="372">
        <v>4392.7448817000004</v>
      </c>
      <c r="AC1642" s="372">
        <v>5122.4048886</v>
      </c>
      <c r="AD1642" s="372">
        <v>5428.9320146999999</v>
      </c>
      <c r="AE1642" s="372">
        <v>6291</v>
      </c>
      <c r="AF1642" s="372">
        <v>7184</v>
      </c>
      <c r="AG1642" s="372">
        <v>0</v>
      </c>
      <c r="AH1642" s="372">
        <v>0</v>
      </c>
    </row>
    <row r="1643" spans="1:34">
      <c r="A1643" s="372" t="s">
        <v>10911</v>
      </c>
      <c r="B1643" s="373" t="s">
        <v>10912</v>
      </c>
      <c r="C1643" s="372" t="s">
        <v>10913</v>
      </c>
      <c r="D1643" s="374">
        <v>1341110095394</v>
      </c>
      <c r="E1643" s="372" t="s">
        <v>10914</v>
      </c>
      <c r="F1643" s="375" t="s">
        <v>10915</v>
      </c>
      <c r="G1643" s="375" t="s">
        <v>10916</v>
      </c>
      <c r="H1643" s="375" t="s">
        <v>1388</v>
      </c>
      <c r="I1643" s="375" t="s">
        <v>869</v>
      </c>
      <c r="J1643" s="375">
        <v>62225.691200000001</v>
      </c>
      <c r="K1643" s="375">
        <v>-7070.24503</v>
      </c>
      <c r="L1643" s="375">
        <v>-13241.89111</v>
      </c>
      <c r="M1643" s="375">
        <v>163941.39473999999</v>
      </c>
      <c r="N1643" s="372">
        <v>0.60799999999999998</v>
      </c>
      <c r="O1643" s="703">
        <v>26.872854548799708</v>
      </c>
      <c r="P1643" s="375" t="s">
        <v>16142</v>
      </c>
      <c r="Q1643" s="375" t="s">
        <v>623</v>
      </c>
      <c r="R1643" s="695">
        <v>20101201</v>
      </c>
      <c r="S1643" s="375" t="s">
        <v>10917</v>
      </c>
      <c r="T1643" s="696" t="s">
        <v>772</v>
      </c>
      <c r="U1643" s="372" t="s">
        <v>10918</v>
      </c>
      <c r="V1643" s="722" t="s">
        <v>774</v>
      </c>
      <c r="W1643" s="722">
        <v>0.51</v>
      </c>
      <c r="X1643" s="722">
        <v>1.31</v>
      </c>
      <c r="Y1643" s="722" t="s">
        <v>774</v>
      </c>
      <c r="Z1643" s="382" t="s">
        <v>934</v>
      </c>
      <c r="AA1643" s="372">
        <v>346.70562339999998</v>
      </c>
      <c r="AB1643" s="372">
        <v>458.91025089999999</v>
      </c>
      <c r="AC1643" s="372">
        <v>648.87675060000004</v>
      </c>
      <c r="AD1643" s="372">
        <v>622.25691200000006</v>
      </c>
      <c r="AE1643" s="372">
        <v>0</v>
      </c>
      <c r="AF1643" s="372">
        <v>0</v>
      </c>
      <c r="AG1643" s="372">
        <v>0</v>
      </c>
      <c r="AH1643" s="372">
        <v>0</v>
      </c>
    </row>
    <row r="1644" spans="1:34">
      <c r="A1644" s="372" t="s">
        <v>10919</v>
      </c>
      <c r="B1644" s="373" t="s">
        <v>10920</v>
      </c>
      <c r="C1644" s="372" t="s">
        <v>10921</v>
      </c>
      <c r="D1644" s="374">
        <v>1350110038048</v>
      </c>
      <c r="E1644" s="372" t="s">
        <v>10922</v>
      </c>
      <c r="F1644" s="375" t="s">
        <v>1062</v>
      </c>
      <c r="G1644" s="375" t="s">
        <v>1062</v>
      </c>
      <c r="H1644" s="375" t="s">
        <v>868</v>
      </c>
      <c r="I1644" s="375" t="s">
        <v>869</v>
      </c>
      <c r="J1644" s="375">
        <v>187154.50758</v>
      </c>
      <c r="K1644" s="375">
        <v>3072.52351</v>
      </c>
      <c r="L1644" s="375">
        <v>3475.5919899999999</v>
      </c>
      <c r="M1644" s="375">
        <v>89075.116529999999</v>
      </c>
      <c r="N1644" s="372">
        <v>0.83299999999999996</v>
      </c>
      <c r="O1644" s="703">
        <v>60.812414478049483</v>
      </c>
      <c r="P1644" s="375" t="s">
        <v>623</v>
      </c>
      <c r="Q1644" s="375" t="s">
        <v>623</v>
      </c>
      <c r="R1644" s="695">
        <v>20180212</v>
      </c>
      <c r="S1644" s="375" t="s">
        <v>10923</v>
      </c>
      <c r="T1644" s="696">
        <v>0.20900000000000002</v>
      </c>
      <c r="U1644" s="372" t="s">
        <v>10924</v>
      </c>
      <c r="V1644" s="722">
        <v>0</v>
      </c>
      <c r="W1644" s="722">
        <v>0.95</v>
      </c>
      <c r="X1644" s="722">
        <v>0</v>
      </c>
      <c r="Y1644" s="722">
        <v>0</v>
      </c>
      <c r="Z1644" s="382" t="s">
        <v>934</v>
      </c>
      <c r="AA1644" s="372">
        <v>1248.0894403</v>
      </c>
      <c r="AB1644" s="372">
        <v>1401.5724456</v>
      </c>
      <c r="AC1644" s="372">
        <v>1677.3712178000001</v>
      </c>
      <c r="AD1644" s="372">
        <v>1871.5450757999999</v>
      </c>
      <c r="AE1644" s="372">
        <v>0</v>
      </c>
      <c r="AF1644" s="372">
        <v>0</v>
      </c>
      <c r="AG1644" s="372">
        <v>0</v>
      </c>
      <c r="AH1644" s="372">
        <v>0</v>
      </c>
    </row>
    <row r="1645" spans="1:34">
      <c r="A1645" s="372" t="s">
        <v>10925</v>
      </c>
      <c r="B1645" s="373" t="s">
        <v>10926</v>
      </c>
      <c r="C1645" s="372" t="s">
        <v>10927</v>
      </c>
      <c r="D1645" s="374">
        <v>1101114399906</v>
      </c>
      <c r="E1645" s="372" t="s">
        <v>10928</v>
      </c>
      <c r="F1645" s="375" t="s">
        <v>1334</v>
      </c>
      <c r="G1645" s="375" t="s">
        <v>1334</v>
      </c>
      <c r="H1645" s="375" t="s">
        <v>868</v>
      </c>
      <c r="I1645" s="375" t="s">
        <v>869</v>
      </c>
      <c r="J1645" s="375">
        <v>72426.447150000007</v>
      </c>
      <c r="K1645" s="375">
        <v>8186.5947399999995</v>
      </c>
      <c r="L1645" s="375">
        <v>12970.087519999999</v>
      </c>
      <c r="M1645" s="375">
        <v>134450.87622000001</v>
      </c>
      <c r="N1645" s="372">
        <v>0.64</v>
      </c>
      <c r="O1645" s="703">
        <v>2.1540445529760106</v>
      </c>
      <c r="P1645" s="375" t="s">
        <v>623</v>
      </c>
      <c r="Q1645" s="372" t="s">
        <v>623</v>
      </c>
      <c r="R1645" s="695">
        <v>20101203</v>
      </c>
      <c r="S1645" s="372" t="s">
        <v>10929</v>
      </c>
      <c r="T1645" s="696">
        <v>0.20900000000000002</v>
      </c>
      <c r="U1645" s="372" t="s">
        <v>16078</v>
      </c>
      <c r="V1645" s="722">
        <v>0</v>
      </c>
      <c r="W1645" s="722">
        <v>0.61</v>
      </c>
      <c r="X1645" s="722">
        <v>0</v>
      </c>
      <c r="Y1645" s="722">
        <v>0</v>
      </c>
      <c r="Z1645" s="382" t="s">
        <v>934</v>
      </c>
      <c r="AA1645" s="372">
        <v>608.26955329999998</v>
      </c>
      <c r="AB1645" s="372">
        <v>573.16372200000001</v>
      </c>
      <c r="AC1645" s="372">
        <v>586.57537969999998</v>
      </c>
      <c r="AD1645" s="372">
        <v>724.26447150000001</v>
      </c>
      <c r="AE1645" s="372">
        <v>0</v>
      </c>
      <c r="AF1645" s="372">
        <v>0</v>
      </c>
      <c r="AG1645" s="372">
        <v>0</v>
      </c>
      <c r="AH1645" s="372">
        <v>0</v>
      </c>
    </row>
    <row r="1646" spans="1:34">
      <c r="A1646" s="372" t="s">
        <v>10930</v>
      </c>
      <c r="B1646" s="373" t="s">
        <v>10931</v>
      </c>
      <c r="C1646" s="372" t="s">
        <v>10932</v>
      </c>
      <c r="D1646" s="374">
        <v>1101111628928</v>
      </c>
      <c r="E1646" s="372" t="s">
        <v>10933</v>
      </c>
      <c r="F1646" s="375" t="s">
        <v>1013</v>
      </c>
      <c r="G1646" s="375" t="s">
        <v>1225</v>
      </c>
      <c r="H1646" s="375" t="s">
        <v>1693</v>
      </c>
      <c r="I1646" s="375" t="s">
        <v>869</v>
      </c>
      <c r="J1646" s="375">
        <v>25928.44255</v>
      </c>
      <c r="K1646" s="375">
        <v>-6524.09663</v>
      </c>
      <c r="L1646" s="375">
        <v>-9306.6600099999996</v>
      </c>
      <c r="M1646" s="375">
        <v>15547.283719999999</v>
      </c>
      <c r="N1646" s="372">
        <v>1.0069999999999999</v>
      </c>
      <c r="O1646" s="703">
        <v>10.024232839579776</v>
      </c>
      <c r="P1646" s="375" t="s">
        <v>623</v>
      </c>
      <c r="Q1646" s="372" t="s">
        <v>623</v>
      </c>
      <c r="R1646" s="695">
        <v>20020108</v>
      </c>
      <c r="S1646" s="372" t="s">
        <v>10934</v>
      </c>
      <c r="T1646" s="696" t="s">
        <v>772</v>
      </c>
      <c r="U1646" s="372" t="s">
        <v>10935</v>
      </c>
      <c r="V1646" s="722" t="s">
        <v>774</v>
      </c>
      <c r="W1646" s="722">
        <v>7.03</v>
      </c>
      <c r="X1646" s="722">
        <v>2.72</v>
      </c>
      <c r="Y1646" s="722" t="s">
        <v>774</v>
      </c>
      <c r="Z1646" s="382" t="s">
        <v>934</v>
      </c>
      <c r="AA1646" s="372">
        <v>571.88810650000005</v>
      </c>
      <c r="AB1646" s="372">
        <v>641.22054779999996</v>
      </c>
      <c r="AC1646" s="372">
        <v>563.13132380000002</v>
      </c>
      <c r="AD1646" s="372">
        <v>259.2844255</v>
      </c>
      <c r="AE1646" s="372">
        <v>0</v>
      </c>
      <c r="AF1646" s="372">
        <v>0</v>
      </c>
      <c r="AG1646" s="372">
        <v>0</v>
      </c>
      <c r="AH1646" s="372">
        <v>0</v>
      </c>
    </row>
    <row r="1647" spans="1:34">
      <c r="A1647" s="372" t="s">
        <v>10936</v>
      </c>
      <c r="B1647" s="373" t="s">
        <v>10937</v>
      </c>
      <c r="C1647" s="372" t="s">
        <v>10938</v>
      </c>
      <c r="D1647" s="374">
        <v>1101110070881</v>
      </c>
      <c r="E1647" s="372" t="s">
        <v>10939</v>
      </c>
      <c r="F1647" s="375" t="s">
        <v>1285</v>
      </c>
      <c r="G1647" s="375" t="s">
        <v>1285</v>
      </c>
      <c r="H1647" s="375" t="s">
        <v>754</v>
      </c>
      <c r="I1647" s="375" t="s">
        <v>755</v>
      </c>
      <c r="J1647" s="375">
        <v>12759.842339999999</v>
      </c>
      <c r="K1647" s="375">
        <v>901.74971000000005</v>
      </c>
      <c r="L1647" s="375">
        <v>4859.5564000000004</v>
      </c>
      <c r="M1647" s="375">
        <v>81003.678060000006</v>
      </c>
      <c r="N1647" s="372">
        <v>0.96299999999999997</v>
      </c>
      <c r="O1647" s="703">
        <v>0.67228320577304601</v>
      </c>
      <c r="P1647" s="375" t="s">
        <v>623</v>
      </c>
      <c r="Q1647" s="372" t="s">
        <v>623</v>
      </c>
      <c r="R1647" s="695">
        <v>19870422</v>
      </c>
      <c r="S1647" s="372" t="s">
        <v>10940</v>
      </c>
      <c r="T1647" s="696">
        <v>0.20900000000000002</v>
      </c>
      <c r="U1647" s="372" t="s">
        <v>10941</v>
      </c>
      <c r="V1647" s="722">
        <v>60.87</v>
      </c>
      <c r="W1647" s="722">
        <v>1.07</v>
      </c>
      <c r="X1647" s="722">
        <v>6.48</v>
      </c>
      <c r="Y1647" s="722">
        <v>21.4</v>
      </c>
      <c r="Z1647" s="382" t="s">
        <v>934</v>
      </c>
      <c r="AA1647" s="372">
        <v>164.2312384</v>
      </c>
      <c r="AB1647" s="372">
        <v>158.9746432</v>
      </c>
      <c r="AC1647" s="372">
        <v>174.4106348</v>
      </c>
      <c r="AD1647" s="372">
        <v>127.5984234</v>
      </c>
      <c r="AE1647" s="372">
        <v>0</v>
      </c>
      <c r="AF1647" s="372">
        <v>0</v>
      </c>
      <c r="AG1647" s="372">
        <v>0</v>
      </c>
      <c r="AH1647" s="372">
        <v>0</v>
      </c>
    </row>
    <row r="1648" spans="1:34">
      <c r="A1648" s="372" t="s">
        <v>10942</v>
      </c>
      <c r="B1648" s="373" t="s">
        <v>10943</v>
      </c>
      <c r="C1648" s="372" t="s">
        <v>10944</v>
      </c>
      <c r="D1648" s="374">
        <v>1101113173351</v>
      </c>
      <c r="E1648" s="372" t="s">
        <v>10945</v>
      </c>
      <c r="F1648" s="375" t="s">
        <v>1381</v>
      </c>
      <c r="G1648" s="375" t="s">
        <v>1381</v>
      </c>
      <c r="H1648" s="375" t="s">
        <v>1693</v>
      </c>
      <c r="I1648" s="375" t="s">
        <v>869</v>
      </c>
      <c r="J1648" s="375">
        <v>0</v>
      </c>
      <c r="K1648" s="375">
        <v>0</v>
      </c>
      <c r="L1648" s="375">
        <v>0</v>
      </c>
      <c r="M1648" s="375">
        <v>35374.725460000001</v>
      </c>
      <c r="N1648" s="372" t="s">
        <v>1033</v>
      </c>
      <c r="O1648" s="703">
        <v>2.5428187095932366</v>
      </c>
      <c r="P1648" s="375" t="s">
        <v>623</v>
      </c>
      <c r="Q1648" s="375" t="s">
        <v>623</v>
      </c>
      <c r="R1648" s="695">
        <v>20230519</v>
      </c>
      <c r="S1648" s="375" t="s">
        <v>10946</v>
      </c>
      <c r="T1648" s="696" t="s">
        <v>772</v>
      </c>
      <c r="U1648" s="372" t="s">
        <v>10947</v>
      </c>
      <c r="V1648" s="722">
        <v>0</v>
      </c>
      <c r="W1648" s="722">
        <v>2.11</v>
      </c>
      <c r="X1648" s="722">
        <v>0</v>
      </c>
      <c r="Y1648" s="722">
        <v>0</v>
      </c>
      <c r="Z1648" s="382" t="s">
        <v>934</v>
      </c>
      <c r="AA1648" s="372">
        <v>107.3043244</v>
      </c>
      <c r="AB1648" s="372">
        <v>121.1675578</v>
      </c>
      <c r="AC1648" s="372">
        <v>141.3454002</v>
      </c>
      <c r="AD1648" s="372">
        <v>141.86630550000001</v>
      </c>
      <c r="AE1648" s="372">
        <v>0</v>
      </c>
      <c r="AF1648" s="372">
        <v>0</v>
      </c>
      <c r="AG1648" s="372">
        <v>0</v>
      </c>
      <c r="AH1648" s="372">
        <v>0</v>
      </c>
    </row>
    <row r="1649" spans="1:34">
      <c r="A1649" s="372" t="s">
        <v>10948</v>
      </c>
      <c r="B1649" s="373" t="s">
        <v>10949</v>
      </c>
      <c r="C1649" s="372" t="s">
        <v>10950</v>
      </c>
      <c r="D1649" s="374">
        <v>1101116908870</v>
      </c>
      <c r="E1649" s="372" t="s">
        <v>10951</v>
      </c>
      <c r="F1649" s="375" t="s">
        <v>1814</v>
      </c>
      <c r="G1649" s="375" t="s">
        <v>1815</v>
      </c>
      <c r="H1649" s="375" t="s">
        <v>1693</v>
      </c>
      <c r="I1649" s="375" t="s">
        <v>869</v>
      </c>
      <c r="J1649" s="375">
        <v>14186.687029999999</v>
      </c>
      <c r="K1649" s="375">
        <v>2781.12041</v>
      </c>
      <c r="L1649" s="375">
        <v>3355.5543299999999</v>
      </c>
      <c r="M1649" s="375">
        <v>53945.186159999997</v>
      </c>
      <c r="N1649" s="372" t="s">
        <v>1033</v>
      </c>
      <c r="O1649" s="703">
        <v>10.02359281120814</v>
      </c>
      <c r="P1649" s="375" t="s">
        <v>623</v>
      </c>
      <c r="Q1649" s="375" t="s">
        <v>623</v>
      </c>
      <c r="R1649" s="695">
        <v>20221027</v>
      </c>
      <c r="S1649" s="375" t="s">
        <v>10952</v>
      </c>
      <c r="T1649" s="696">
        <v>0.20900000000000002</v>
      </c>
      <c r="U1649" s="372" t="s">
        <v>10953</v>
      </c>
      <c r="V1649" s="722">
        <v>16.940000000000001</v>
      </c>
      <c r="W1649" s="722">
        <v>1.05</v>
      </c>
      <c r="X1649" s="722">
        <v>4.29</v>
      </c>
      <c r="Y1649" s="722">
        <v>18.95</v>
      </c>
      <c r="Z1649" s="382" t="s">
        <v>934</v>
      </c>
      <c r="AA1649" s="372">
        <v>102.76463320000001</v>
      </c>
      <c r="AB1649" s="372">
        <v>120.2452557</v>
      </c>
      <c r="AC1649" s="372">
        <v>183.50443770000001</v>
      </c>
      <c r="AD1649" s="372">
        <v>141.86687029999999</v>
      </c>
      <c r="AE1649" s="372">
        <v>0</v>
      </c>
      <c r="AF1649" s="372">
        <v>0</v>
      </c>
      <c r="AG1649" s="372">
        <v>0</v>
      </c>
      <c r="AH1649" s="372">
        <v>0</v>
      </c>
    </row>
    <row r="1650" spans="1:34">
      <c r="A1650" s="372" t="s">
        <v>10954</v>
      </c>
      <c r="B1650" s="373" t="s">
        <v>10955</v>
      </c>
      <c r="C1650" s="372" t="s">
        <v>10956</v>
      </c>
      <c r="D1650" s="374">
        <v>1101111448128</v>
      </c>
      <c r="E1650" s="372" t="s">
        <v>10957</v>
      </c>
      <c r="F1650" s="375" t="s">
        <v>10958</v>
      </c>
      <c r="G1650" s="375" t="s">
        <v>10958</v>
      </c>
      <c r="H1650" s="375" t="s">
        <v>1348</v>
      </c>
      <c r="I1650" s="375" t="s">
        <v>869</v>
      </c>
      <c r="J1650" s="375">
        <v>0</v>
      </c>
      <c r="K1650" s="375">
        <v>0</v>
      </c>
      <c r="L1650" s="375">
        <v>0</v>
      </c>
      <c r="M1650" s="375">
        <v>86093.918550000002</v>
      </c>
      <c r="N1650" s="372">
        <v>1.448</v>
      </c>
      <c r="O1650" s="703">
        <v>16.423665200241242</v>
      </c>
      <c r="P1650" s="375" t="s">
        <v>623</v>
      </c>
      <c r="Q1650" s="372" t="s">
        <v>623</v>
      </c>
      <c r="R1650" s="695">
        <v>20010525</v>
      </c>
      <c r="S1650" s="372" t="s">
        <v>10959</v>
      </c>
      <c r="T1650" s="696" t="s">
        <v>772</v>
      </c>
      <c r="U1650" s="372" t="s">
        <v>10960</v>
      </c>
      <c r="V1650" s="722">
        <v>0</v>
      </c>
      <c r="W1650" s="722">
        <v>0.92</v>
      </c>
      <c r="X1650" s="722">
        <v>0</v>
      </c>
      <c r="Y1650" s="722">
        <v>0</v>
      </c>
      <c r="Z1650" s="382" t="s">
        <v>934</v>
      </c>
      <c r="AA1650" s="372">
        <v>181.77903689999999</v>
      </c>
      <c r="AB1650" s="372">
        <v>161.16313160000001</v>
      </c>
      <c r="AC1650" s="372">
        <v>167.83759219999999</v>
      </c>
      <c r="AD1650" s="372">
        <v>157.90408540000001</v>
      </c>
      <c r="AE1650" s="372">
        <v>0</v>
      </c>
      <c r="AF1650" s="372">
        <v>0</v>
      </c>
      <c r="AG1650" s="372">
        <v>0</v>
      </c>
      <c r="AH1650" s="372">
        <v>0</v>
      </c>
    </row>
    <row r="1651" spans="1:34">
      <c r="A1651" s="372" t="s">
        <v>10961</v>
      </c>
      <c r="B1651" s="373" t="s">
        <v>10962</v>
      </c>
      <c r="C1651" s="372" t="s">
        <v>10963</v>
      </c>
      <c r="D1651" s="374">
        <v>1101110038061</v>
      </c>
      <c r="E1651" s="372" t="s">
        <v>10964</v>
      </c>
      <c r="F1651" s="375" t="s">
        <v>10965</v>
      </c>
      <c r="G1651" s="375" t="s">
        <v>10966</v>
      </c>
      <c r="H1651" s="375" t="s">
        <v>853</v>
      </c>
      <c r="I1651" s="375" t="s">
        <v>755</v>
      </c>
      <c r="J1651" s="375">
        <v>193419.65471999999</v>
      </c>
      <c r="K1651" s="375">
        <v>8381.4894499999991</v>
      </c>
      <c r="L1651" s="375">
        <v>10414.09626</v>
      </c>
      <c r="M1651" s="375">
        <v>103552.47053999999</v>
      </c>
      <c r="N1651" s="372">
        <v>0.34599999999999997</v>
      </c>
      <c r="O1651" s="703">
        <v>122.17477051598659</v>
      </c>
      <c r="P1651" s="375" t="s">
        <v>623</v>
      </c>
      <c r="Q1651" s="372" t="s">
        <v>623</v>
      </c>
      <c r="R1651" s="695">
        <v>20131121</v>
      </c>
      <c r="S1651" s="372" t="s">
        <v>10967</v>
      </c>
      <c r="T1651" s="696">
        <v>0.20900000000000002</v>
      </c>
      <c r="U1651" s="372" t="s">
        <v>10968</v>
      </c>
      <c r="V1651" s="722">
        <v>14.57</v>
      </c>
      <c r="W1651" s="722">
        <v>0.67</v>
      </c>
      <c r="X1651" s="722">
        <v>0.37</v>
      </c>
      <c r="Y1651" s="722">
        <v>8.17</v>
      </c>
      <c r="Z1651" s="382" t="s">
        <v>934</v>
      </c>
      <c r="AA1651" s="372">
        <v>2058.8174006999998</v>
      </c>
      <c r="AB1651" s="372">
        <v>1864.4426625999999</v>
      </c>
      <c r="AC1651" s="372">
        <v>2094.0382808999998</v>
      </c>
      <c r="AD1651" s="372">
        <v>1934.1965471999999</v>
      </c>
      <c r="AE1651" s="372">
        <v>0</v>
      </c>
      <c r="AF1651" s="372">
        <v>0</v>
      </c>
      <c r="AG1651" s="372">
        <v>0</v>
      </c>
      <c r="AH1651" s="372">
        <v>0</v>
      </c>
    </row>
    <row r="1652" spans="1:34">
      <c r="A1652" s="372" t="s">
        <v>10969</v>
      </c>
      <c r="B1652" s="373" t="s">
        <v>10970</v>
      </c>
      <c r="C1652" s="372" t="s">
        <v>10971</v>
      </c>
      <c r="D1652" s="374">
        <v>1101110998124</v>
      </c>
      <c r="E1652" s="372" t="s">
        <v>10972</v>
      </c>
      <c r="F1652" s="375" t="s">
        <v>852</v>
      </c>
      <c r="G1652" s="375" t="s">
        <v>852</v>
      </c>
      <c r="H1652" s="375" t="s">
        <v>3127</v>
      </c>
      <c r="I1652" s="375" t="s">
        <v>869</v>
      </c>
      <c r="J1652" s="375">
        <v>89569.472299999994</v>
      </c>
      <c r="K1652" s="375">
        <v>2494.50839</v>
      </c>
      <c r="L1652" s="375">
        <v>-1928.7750100000001</v>
      </c>
      <c r="M1652" s="375">
        <v>85239.244089999993</v>
      </c>
      <c r="N1652" s="372">
        <v>0.92100000000000004</v>
      </c>
      <c r="O1652" s="703">
        <v>8.9935951859026115</v>
      </c>
      <c r="P1652" s="375" t="s">
        <v>623</v>
      </c>
      <c r="Q1652" s="375" t="s">
        <v>623</v>
      </c>
      <c r="R1652" s="695">
        <v>20051025</v>
      </c>
      <c r="S1652" s="375" t="s">
        <v>10973</v>
      </c>
      <c r="T1652" s="696" t="s">
        <v>772</v>
      </c>
      <c r="U1652" s="372" t="s">
        <v>10974</v>
      </c>
      <c r="V1652" s="722">
        <v>22.23</v>
      </c>
      <c r="W1652" s="722">
        <v>0.93</v>
      </c>
      <c r="X1652" s="722">
        <v>0.89</v>
      </c>
      <c r="Y1652" s="722" t="s">
        <v>774</v>
      </c>
      <c r="Z1652" s="382" t="s">
        <v>934</v>
      </c>
      <c r="AA1652" s="372">
        <v>650.85175979999997</v>
      </c>
      <c r="AB1652" s="372">
        <v>805.38785010000004</v>
      </c>
      <c r="AC1652" s="372">
        <v>1047.0836013999999</v>
      </c>
      <c r="AD1652" s="372">
        <v>895.69472299999995</v>
      </c>
      <c r="AE1652" s="372">
        <v>0</v>
      </c>
      <c r="AF1652" s="372">
        <v>0</v>
      </c>
      <c r="AG1652" s="372">
        <v>0</v>
      </c>
      <c r="AH1652" s="372">
        <v>0</v>
      </c>
    </row>
    <row r="1653" spans="1:34">
      <c r="A1653" s="372" t="s">
        <v>10975</v>
      </c>
      <c r="B1653" s="373" t="s">
        <v>10976</v>
      </c>
      <c r="C1653" s="372" t="s">
        <v>10977</v>
      </c>
      <c r="D1653" s="374">
        <v>1101115972652</v>
      </c>
      <c r="E1653" s="372" t="s">
        <v>10978</v>
      </c>
      <c r="F1653" s="375" t="s">
        <v>1285</v>
      </c>
      <c r="G1653" s="375" t="s">
        <v>1285</v>
      </c>
      <c r="H1653" s="375" t="s">
        <v>868</v>
      </c>
      <c r="I1653" s="375" t="s">
        <v>869</v>
      </c>
      <c r="J1653" s="375">
        <v>0</v>
      </c>
      <c r="K1653" s="375">
        <v>0</v>
      </c>
      <c r="L1653" s="375">
        <v>0</v>
      </c>
      <c r="M1653" s="375">
        <v>3611.8006599999999</v>
      </c>
      <c r="N1653" s="372" t="s">
        <v>1033</v>
      </c>
      <c r="O1653" s="703">
        <v>38.353991482930915</v>
      </c>
      <c r="P1653" s="375" t="s">
        <v>623</v>
      </c>
      <c r="Q1653" s="372" t="s">
        <v>623</v>
      </c>
      <c r="R1653" s="695">
        <v>20231201</v>
      </c>
      <c r="S1653" s="372" t="s">
        <v>10979</v>
      </c>
      <c r="T1653" s="696" t="s">
        <v>772</v>
      </c>
      <c r="U1653" s="372" t="s">
        <v>10980</v>
      </c>
      <c r="V1653" s="722">
        <v>0</v>
      </c>
      <c r="W1653" s="722">
        <v>0</v>
      </c>
      <c r="X1653" s="722">
        <v>0</v>
      </c>
      <c r="Y1653" s="722">
        <v>0</v>
      </c>
      <c r="Z1653" s="382" t="s">
        <v>934</v>
      </c>
      <c r="AA1653" s="372">
        <v>234.55791009999999</v>
      </c>
      <c r="AB1653" s="372">
        <v>558.09022170000003</v>
      </c>
      <c r="AC1653" s="372">
        <v>536.33878230000005</v>
      </c>
      <c r="AD1653" s="372">
        <v>479.71262130000002</v>
      </c>
      <c r="AE1653" s="372">
        <v>0</v>
      </c>
      <c r="AF1653" s="372">
        <v>0</v>
      </c>
      <c r="AG1653" s="372">
        <v>0</v>
      </c>
      <c r="AH1653" s="372">
        <v>0</v>
      </c>
    </row>
    <row r="1654" spans="1:34">
      <c r="A1654" s="372" t="s">
        <v>10981</v>
      </c>
      <c r="B1654" s="373" t="s">
        <v>10982</v>
      </c>
      <c r="C1654" s="372" t="s">
        <v>10983</v>
      </c>
      <c r="D1654" s="374">
        <v>1358110127754</v>
      </c>
      <c r="E1654" s="372" t="s">
        <v>10984</v>
      </c>
      <c r="F1654" s="375" t="s">
        <v>3941</v>
      </c>
      <c r="G1654" s="375" t="s">
        <v>6406</v>
      </c>
      <c r="H1654" s="375" t="s">
        <v>868</v>
      </c>
      <c r="I1654" s="375" t="s">
        <v>869</v>
      </c>
      <c r="J1654" s="375">
        <v>66723.974520000003</v>
      </c>
      <c r="K1654" s="375">
        <v>-15420.42909</v>
      </c>
      <c r="L1654" s="375">
        <v>-15740.37862</v>
      </c>
      <c r="M1654" s="375">
        <v>75169.237250000006</v>
      </c>
      <c r="N1654" s="372">
        <v>0.91500000000000004</v>
      </c>
      <c r="O1654" s="703">
        <v>30.394507127834363</v>
      </c>
      <c r="P1654" s="375" t="s">
        <v>623</v>
      </c>
      <c r="Q1654" s="375" t="s">
        <v>623</v>
      </c>
      <c r="R1654" s="695">
        <v>20210928</v>
      </c>
      <c r="S1654" s="375" t="s">
        <v>10985</v>
      </c>
      <c r="T1654" s="696" t="s">
        <v>772</v>
      </c>
      <c r="U1654" s="372" t="s">
        <v>16079</v>
      </c>
      <c r="V1654" s="722" t="s">
        <v>774</v>
      </c>
      <c r="W1654" s="722">
        <v>1.1299999999999999</v>
      </c>
      <c r="X1654" s="722">
        <v>1.3</v>
      </c>
      <c r="Y1654" s="722" t="s">
        <v>774</v>
      </c>
      <c r="Z1654" s="382" t="s">
        <v>934</v>
      </c>
      <c r="AA1654" s="372">
        <v>1080.4458056000001</v>
      </c>
      <c r="AB1654" s="372">
        <v>1351.0327242000001</v>
      </c>
      <c r="AC1654" s="372">
        <v>993.3039589</v>
      </c>
      <c r="AD1654" s="372">
        <v>667.23974520000002</v>
      </c>
      <c r="AE1654" s="372">
        <v>1297</v>
      </c>
      <c r="AF1654" s="372">
        <v>0</v>
      </c>
      <c r="AG1654" s="372">
        <v>0</v>
      </c>
      <c r="AH1654" s="372">
        <v>0</v>
      </c>
    </row>
    <row r="1655" spans="1:34">
      <c r="A1655" s="372" t="s">
        <v>10986</v>
      </c>
      <c r="B1655" s="373" t="s">
        <v>10987</v>
      </c>
      <c r="C1655" s="372" t="s">
        <v>10988</v>
      </c>
      <c r="D1655" s="374">
        <v>1101116859099</v>
      </c>
      <c r="E1655" s="372" t="s">
        <v>10989</v>
      </c>
      <c r="F1655" s="372" t="s">
        <v>10990</v>
      </c>
      <c r="G1655" s="375" t="s">
        <v>10990</v>
      </c>
      <c r="H1655" s="375" t="s">
        <v>868</v>
      </c>
      <c r="I1655" s="375" t="s">
        <v>869</v>
      </c>
      <c r="J1655" s="375">
        <v>39078.135179999997</v>
      </c>
      <c r="K1655" s="375">
        <v>-16743.020130000001</v>
      </c>
      <c r="L1655" s="375">
        <v>-18619.1397</v>
      </c>
      <c r="M1655" s="375">
        <v>14444.11656</v>
      </c>
      <c r="N1655" s="372">
        <v>0.94099999999999995</v>
      </c>
      <c r="O1655" s="703">
        <v>61.669424636761995</v>
      </c>
      <c r="P1655" s="375" t="s">
        <v>623</v>
      </c>
      <c r="Q1655" s="372" t="s">
        <v>623</v>
      </c>
      <c r="R1655" s="695">
        <v>20181221</v>
      </c>
      <c r="S1655" s="372" t="s">
        <v>10991</v>
      </c>
      <c r="T1655" s="696" t="s">
        <v>772</v>
      </c>
      <c r="U1655" s="372" t="s">
        <v>10992</v>
      </c>
      <c r="V1655" s="722" t="s">
        <v>774</v>
      </c>
      <c r="W1655" s="722">
        <v>15.59</v>
      </c>
      <c r="X1655" s="722">
        <v>2.2799999999999998</v>
      </c>
      <c r="Y1655" s="722" t="s">
        <v>774</v>
      </c>
      <c r="Z1655" s="382" t="s">
        <v>934</v>
      </c>
      <c r="AA1655" s="372">
        <v>175.52541650000001</v>
      </c>
      <c r="AB1655" s="372">
        <v>486.34791589999998</v>
      </c>
      <c r="AC1655" s="372">
        <v>491.64956230000001</v>
      </c>
      <c r="AD1655" s="372">
        <v>390.78135179999998</v>
      </c>
      <c r="AE1655" s="372">
        <v>0</v>
      </c>
      <c r="AF1655" s="372">
        <v>0</v>
      </c>
      <c r="AG1655" s="372">
        <v>0</v>
      </c>
      <c r="AH1655" s="372">
        <v>0</v>
      </c>
    </row>
    <row r="1656" spans="1:34">
      <c r="A1656" s="372" t="s">
        <v>10993</v>
      </c>
      <c r="B1656" s="373" t="s">
        <v>10994</v>
      </c>
      <c r="C1656" s="372" t="s">
        <v>10995</v>
      </c>
      <c r="D1656" s="374">
        <v>1545110045488</v>
      </c>
      <c r="E1656" s="372" t="s">
        <v>10996</v>
      </c>
      <c r="F1656" s="372" t="s">
        <v>2535</v>
      </c>
      <c r="G1656" s="375" t="s">
        <v>2535</v>
      </c>
      <c r="H1656" s="375" t="s">
        <v>868</v>
      </c>
      <c r="I1656" s="375" t="s">
        <v>869</v>
      </c>
      <c r="J1656" s="375">
        <v>48866.9018</v>
      </c>
      <c r="K1656" s="375">
        <v>-4121.5563700000002</v>
      </c>
      <c r="L1656" s="375">
        <v>-6646.0478999999996</v>
      </c>
      <c r="M1656" s="375">
        <v>124813.20746000001</v>
      </c>
      <c r="N1656" s="372">
        <v>1.0649999999999999</v>
      </c>
      <c r="O1656" s="703">
        <v>7.4524220112171147</v>
      </c>
      <c r="P1656" s="375" t="s">
        <v>623</v>
      </c>
      <c r="Q1656" s="372" t="s">
        <v>623</v>
      </c>
      <c r="R1656" s="695">
        <v>20161012</v>
      </c>
      <c r="S1656" s="375" t="s">
        <v>10997</v>
      </c>
      <c r="T1656" s="696" t="s">
        <v>772</v>
      </c>
      <c r="U1656" s="372" t="s">
        <v>10998</v>
      </c>
      <c r="V1656" s="722" t="s">
        <v>774</v>
      </c>
      <c r="W1656" s="722">
        <v>0.91</v>
      </c>
      <c r="X1656" s="722">
        <v>2.3199999999999998</v>
      </c>
      <c r="Y1656" s="722" t="s">
        <v>774</v>
      </c>
      <c r="Z1656" s="382" t="s">
        <v>934</v>
      </c>
      <c r="AA1656" s="372">
        <v>627.53469299999995</v>
      </c>
      <c r="AB1656" s="372">
        <v>633.14538440000001</v>
      </c>
      <c r="AC1656" s="372">
        <v>893.15793389999999</v>
      </c>
      <c r="AD1656" s="372">
        <v>488.66901799999999</v>
      </c>
      <c r="AE1656" s="372">
        <v>0</v>
      </c>
      <c r="AF1656" s="372">
        <v>0</v>
      </c>
      <c r="AG1656" s="372">
        <v>0</v>
      </c>
      <c r="AH1656" s="372">
        <v>0</v>
      </c>
    </row>
    <row r="1657" spans="1:34">
      <c r="A1657" s="372" t="s">
        <v>10999</v>
      </c>
      <c r="B1657" s="373" t="s">
        <v>11000</v>
      </c>
      <c r="C1657" s="372" t="s">
        <v>11001</v>
      </c>
      <c r="D1657" s="374">
        <v>1701110007733</v>
      </c>
      <c r="E1657" s="372" t="s">
        <v>11002</v>
      </c>
      <c r="F1657" s="375" t="s">
        <v>9278</v>
      </c>
      <c r="G1657" s="375" t="s">
        <v>9279</v>
      </c>
      <c r="H1657" s="375" t="s">
        <v>868</v>
      </c>
      <c r="I1657" s="375" t="s">
        <v>869</v>
      </c>
      <c r="J1657" s="375">
        <v>667253.96380999999</v>
      </c>
      <c r="K1657" s="375">
        <v>21036.204669999999</v>
      </c>
      <c r="L1657" s="375">
        <v>13214.9611</v>
      </c>
      <c r="M1657" s="375">
        <v>149914.84682000001</v>
      </c>
      <c r="N1657" s="372">
        <v>1</v>
      </c>
      <c r="O1657" s="703">
        <v>238.7280626762354</v>
      </c>
      <c r="P1657" s="375" t="s">
        <v>623</v>
      </c>
      <c r="Q1657" s="372" t="s">
        <v>623</v>
      </c>
      <c r="R1657" s="695">
        <v>19941222</v>
      </c>
      <c r="S1657" s="372" t="s">
        <v>11003</v>
      </c>
      <c r="T1657" s="696">
        <v>0.20900000000000002</v>
      </c>
      <c r="U1657" s="372" t="s">
        <v>11004</v>
      </c>
      <c r="V1657" s="722">
        <v>4.99</v>
      </c>
      <c r="W1657" s="722">
        <v>0.63</v>
      </c>
      <c r="X1657" s="722">
        <v>0.13</v>
      </c>
      <c r="Y1657" s="722">
        <v>9.4</v>
      </c>
      <c r="Z1657" s="382" t="s">
        <v>934</v>
      </c>
      <c r="AA1657" s="372">
        <v>4864.2582233000003</v>
      </c>
      <c r="AB1657" s="372">
        <v>5636.6319781000002</v>
      </c>
      <c r="AC1657" s="372">
        <v>6155.7962681999998</v>
      </c>
      <c r="AD1657" s="372">
        <v>6672.5396381</v>
      </c>
      <c r="AE1657" s="372">
        <v>0</v>
      </c>
      <c r="AF1657" s="372">
        <v>0</v>
      </c>
      <c r="AG1657" s="372">
        <v>0</v>
      </c>
      <c r="AH1657" s="372">
        <v>0</v>
      </c>
    </row>
    <row r="1658" spans="1:34">
      <c r="A1658" s="372" t="s">
        <v>11005</v>
      </c>
      <c r="B1658" s="373" t="s">
        <v>11006</v>
      </c>
      <c r="C1658" s="372" t="s">
        <v>11007</v>
      </c>
      <c r="D1658" s="374">
        <v>1942110006090</v>
      </c>
      <c r="E1658" s="372" t="s">
        <v>11008</v>
      </c>
      <c r="F1658" s="375" t="s">
        <v>2112</v>
      </c>
      <c r="G1658" s="375" t="s">
        <v>2458</v>
      </c>
      <c r="H1658" s="375" t="s">
        <v>868</v>
      </c>
      <c r="I1658" s="375" t="s">
        <v>869</v>
      </c>
      <c r="J1658" s="375">
        <v>390306.28891</v>
      </c>
      <c r="K1658" s="375">
        <v>10725.528759999999</v>
      </c>
      <c r="L1658" s="375">
        <v>10781.49842</v>
      </c>
      <c r="M1658" s="375">
        <v>107882.23804</v>
      </c>
      <c r="N1658" s="372">
        <v>1.161</v>
      </c>
      <c r="O1658" s="703">
        <v>16.158196036594415</v>
      </c>
      <c r="P1658" s="375" t="s">
        <v>623</v>
      </c>
      <c r="Q1658" s="372" t="s">
        <v>623</v>
      </c>
      <c r="R1658" s="695">
        <v>20000303</v>
      </c>
      <c r="S1658" s="372" t="s">
        <v>11009</v>
      </c>
      <c r="T1658" s="696">
        <v>0.20900000000000002</v>
      </c>
      <c r="U1658" s="372" t="s">
        <v>11010</v>
      </c>
      <c r="V1658" s="722">
        <v>0</v>
      </c>
      <c r="W1658" s="722">
        <v>0.78</v>
      </c>
      <c r="X1658" s="722">
        <v>0</v>
      </c>
      <c r="Y1658" s="722">
        <v>0</v>
      </c>
      <c r="Z1658" s="382" t="s">
        <v>934</v>
      </c>
      <c r="AA1658" s="372">
        <v>2975.2476360000001</v>
      </c>
      <c r="AB1658" s="372">
        <v>3422.9129090000001</v>
      </c>
      <c r="AC1658" s="372">
        <v>4153.1278453000004</v>
      </c>
      <c r="AD1658" s="372">
        <v>3903.0628891000001</v>
      </c>
      <c r="AE1658" s="372">
        <v>0</v>
      </c>
      <c r="AF1658" s="372">
        <v>0</v>
      </c>
      <c r="AG1658" s="372">
        <v>0</v>
      </c>
      <c r="AH1658" s="372">
        <v>0</v>
      </c>
    </row>
    <row r="1659" spans="1:34">
      <c r="A1659" s="372" t="s">
        <v>11011</v>
      </c>
      <c r="B1659" s="373" t="s">
        <v>11012</v>
      </c>
      <c r="C1659" s="372" t="s">
        <v>11013</v>
      </c>
      <c r="D1659" s="374">
        <v>1341110077704</v>
      </c>
      <c r="E1659" s="372" t="s">
        <v>11014</v>
      </c>
      <c r="F1659" s="375" t="s">
        <v>3941</v>
      </c>
      <c r="G1659" s="375" t="s">
        <v>6406</v>
      </c>
      <c r="H1659" s="375" t="s">
        <v>868</v>
      </c>
      <c r="I1659" s="375" t="s">
        <v>869</v>
      </c>
      <c r="J1659" s="375">
        <v>25587.457009999998</v>
      </c>
      <c r="K1659" s="375">
        <v>-4692.4429</v>
      </c>
      <c r="L1659" s="375">
        <v>-2505.7881000000002</v>
      </c>
      <c r="M1659" s="375">
        <v>102593.40712</v>
      </c>
      <c r="N1659" s="372">
        <v>0.84199999999999997</v>
      </c>
      <c r="O1659" s="703">
        <v>0</v>
      </c>
      <c r="P1659" s="375" t="s">
        <v>623</v>
      </c>
      <c r="Q1659" s="375" t="s">
        <v>623</v>
      </c>
      <c r="R1659" s="695">
        <v>20161028</v>
      </c>
      <c r="S1659" s="375" t="s">
        <v>11015</v>
      </c>
      <c r="T1659" s="696" t="s">
        <v>772</v>
      </c>
      <c r="U1659" s="372" t="s">
        <v>11016</v>
      </c>
      <c r="V1659" s="722" t="s">
        <v>774</v>
      </c>
      <c r="W1659" s="722">
        <v>0.78</v>
      </c>
      <c r="X1659" s="722">
        <v>3.36</v>
      </c>
      <c r="Y1659" s="722" t="s">
        <v>774</v>
      </c>
      <c r="Z1659" s="382" t="s">
        <v>934</v>
      </c>
      <c r="AA1659" s="372">
        <v>1430.3598457999999</v>
      </c>
      <c r="AB1659" s="372">
        <v>1043.7540409000001</v>
      </c>
      <c r="AC1659" s="372">
        <v>527.5820496</v>
      </c>
      <c r="AD1659" s="372">
        <v>255.8745701</v>
      </c>
      <c r="AE1659" s="372">
        <v>0</v>
      </c>
      <c r="AF1659" s="372">
        <v>0</v>
      </c>
      <c r="AG1659" s="372">
        <v>0</v>
      </c>
      <c r="AH1659" s="372">
        <v>0</v>
      </c>
    </row>
    <row r="1660" spans="1:34">
      <c r="A1660" s="372" t="s">
        <v>11017</v>
      </c>
      <c r="B1660" s="373" t="s">
        <v>11018</v>
      </c>
      <c r="C1660" s="372" t="s">
        <v>11019</v>
      </c>
      <c r="D1660" s="374">
        <v>1101110145860</v>
      </c>
      <c r="E1660" s="372" t="s">
        <v>11020</v>
      </c>
      <c r="F1660" s="375" t="s">
        <v>1286</v>
      </c>
      <c r="G1660" s="375" t="s">
        <v>1736</v>
      </c>
      <c r="H1660" s="375" t="s">
        <v>1388</v>
      </c>
      <c r="I1660" s="375" t="s">
        <v>869</v>
      </c>
      <c r="J1660" s="375">
        <v>208061.47902</v>
      </c>
      <c r="K1660" s="375">
        <v>25857.169610000001</v>
      </c>
      <c r="L1660" s="375">
        <v>22933.977780000001</v>
      </c>
      <c r="M1660" s="375">
        <v>102055.28948000001</v>
      </c>
      <c r="N1660" s="372">
        <v>0.68100000000000005</v>
      </c>
      <c r="O1660" s="703">
        <v>143.41258396345501</v>
      </c>
      <c r="P1660" s="375" t="s">
        <v>623</v>
      </c>
      <c r="Q1660" s="372" t="s">
        <v>623</v>
      </c>
      <c r="R1660" s="695">
        <v>20011127</v>
      </c>
      <c r="S1660" s="372" t="s">
        <v>11021</v>
      </c>
      <c r="T1660" s="696">
        <v>0.23100000000000001</v>
      </c>
      <c r="U1660" s="372" t="s">
        <v>11022</v>
      </c>
      <c r="V1660" s="722">
        <v>4.3499999999999996</v>
      </c>
      <c r="W1660" s="722">
        <v>0.69</v>
      </c>
      <c r="X1660" s="722">
        <v>0.36</v>
      </c>
      <c r="Y1660" s="722">
        <v>4.22</v>
      </c>
      <c r="Z1660" s="382" t="s">
        <v>934</v>
      </c>
      <c r="AA1660" s="372">
        <v>1071.9478598000001</v>
      </c>
      <c r="AB1660" s="372">
        <v>1332.1750661999999</v>
      </c>
      <c r="AC1660" s="372">
        <v>1535.7564926</v>
      </c>
      <c r="AD1660" s="372">
        <v>2080.6147901999998</v>
      </c>
      <c r="AE1660" s="372">
        <v>0</v>
      </c>
      <c r="AF1660" s="372">
        <v>0</v>
      </c>
      <c r="AG1660" s="372">
        <v>0</v>
      </c>
      <c r="AH1660" s="372">
        <v>0</v>
      </c>
    </row>
    <row r="1661" spans="1:34">
      <c r="A1661" s="372" t="s">
        <v>11023</v>
      </c>
      <c r="B1661" s="373" t="s">
        <v>11024</v>
      </c>
      <c r="C1661" s="372" t="s">
        <v>11025</v>
      </c>
      <c r="D1661" s="374">
        <v>1801110121507</v>
      </c>
      <c r="E1661" s="372" t="s">
        <v>11026</v>
      </c>
      <c r="F1661" s="375" t="s">
        <v>7108</v>
      </c>
      <c r="G1661" s="375" t="s">
        <v>8338</v>
      </c>
      <c r="H1661" s="375" t="s">
        <v>868</v>
      </c>
      <c r="I1661" s="375" t="s">
        <v>869</v>
      </c>
      <c r="J1661" s="375">
        <v>111449.39156</v>
      </c>
      <c r="K1661" s="375">
        <v>11788.299789999999</v>
      </c>
      <c r="L1661" s="375">
        <v>12736.49711</v>
      </c>
      <c r="M1661" s="375">
        <v>132885.92657000001</v>
      </c>
      <c r="N1661" s="372">
        <v>0.83699999999999997</v>
      </c>
      <c r="O1661" s="703">
        <v>30.941616837322922</v>
      </c>
      <c r="P1661" s="375" t="s">
        <v>623</v>
      </c>
      <c r="Q1661" s="375" t="s">
        <v>623</v>
      </c>
      <c r="R1661" s="695">
        <v>20101112</v>
      </c>
      <c r="S1661" s="375" t="s">
        <v>11027</v>
      </c>
      <c r="T1661" s="696">
        <v>0.20900000000000002</v>
      </c>
      <c r="U1661" s="372" t="s">
        <v>11028</v>
      </c>
      <c r="V1661" s="722">
        <v>7.24</v>
      </c>
      <c r="W1661" s="722">
        <v>0.69</v>
      </c>
      <c r="X1661" s="722">
        <v>0.82</v>
      </c>
      <c r="Y1661" s="722">
        <v>7.93</v>
      </c>
      <c r="Z1661" s="382" t="s">
        <v>934</v>
      </c>
      <c r="AA1661" s="372">
        <v>711.90955350000002</v>
      </c>
      <c r="AB1661" s="372">
        <v>855.47048240000004</v>
      </c>
      <c r="AC1661" s="372">
        <v>1099.3820310000001</v>
      </c>
      <c r="AD1661" s="372">
        <v>1114.4939156</v>
      </c>
      <c r="AE1661" s="372">
        <v>1311</v>
      </c>
      <c r="AF1661" s="372">
        <v>0</v>
      </c>
      <c r="AG1661" s="372">
        <v>0</v>
      </c>
      <c r="AH1661" s="372">
        <v>0</v>
      </c>
    </row>
    <row r="1662" spans="1:34">
      <c r="A1662" s="372" t="s">
        <v>11029</v>
      </c>
      <c r="B1662" s="373" t="s">
        <v>11030</v>
      </c>
      <c r="C1662" s="372" t="s">
        <v>11031</v>
      </c>
      <c r="D1662" s="374">
        <v>1101110190340</v>
      </c>
      <c r="E1662" s="372" t="s">
        <v>11032</v>
      </c>
      <c r="F1662" s="375" t="s">
        <v>6293</v>
      </c>
      <c r="G1662" s="375" t="s">
        <v>11033</v>
      </c>
      <c r="H1662" s="375" t="s">
        <v>1397</v>
      </c>
      <c r="I1662" s="375" t="s">
        <v>755</v>
      </c>
      <c r="J1662" s="375">
        <v>361917.14143000002</v>
      </c>
      <c r="K1662" s="375">
        <v>10532.37667</v>
      </c>
      <c r="L1662" s="375">
        <v>17191.205259999999</v>
      </c>
      <c r="M1662" s="375">
        <v>227359.51934</v>
      </c>
      <c r="N1662" s="372">
        <v>0.83099999999999996</v>
      </c>
      <c r="O1662" s="703">
        <v>8.3418401378321878</v>
      </c>
      <c r="P1662" s="375" t="s">
        <v>623</v>
      </c>
      <c r="Q1662" s="372" t="s">
        <v>623</v>
      </c>
      <c r="R1662" s="695">
        <v>20020712</v>
      </c>
      <c r="S1662" s="372" t="s">
        <v>11034</v>
      </c>
      <c r="T1662" s="696">
        <v>0.20900000000000002</v>
      </c>
      <c r="U1662" s="372" t="s">
        <v>11035</v>
      </c>
      <c r="V1662" s="722">
        <v>6.84</v>
      </c>
      <c r="W1662" s="722">
        <v>0.35</v>
      </c>
      <c r="X1662" s="722">
        <v>0.23</v>
      </c>
      <c r="Y1662" s="722">
        <v>5.62</v>
      </c>
      <c r="Z1662" s="382" t="s">
        <v>934</v>
      </c>
      <c r="AA1662" s="372">
        <v>3633.7954743999999</v>
      </c>
      <c r="AB1662" s="372">
        <v>3172.5907060999998</v>
      </c>
      <c r="AC1662" s="372">
        <v>3075.2211416999999</v>
      </c>
      <c r="AD1662" s="372">
        <v>3619.1714142999999</v>
      </c>
      <c r="AE1662" s="372">
        <v>0</v>
      </c>
      <c r="AF1662" s="372">
        <v>0</v>
      </c>
      <c r="AG1662" s="372">
        <v>0</v>
      </c>
      <c r="AH1662" s="372">
        <v>0</v>
      </c>
    </row>
    <row r="1663" spans="1:34">
      <c r="A1663" s="372" t="s">
        <v>11036</v>
      </c>
      <c r="B1663" s="373" t="s">
        <v>11037</v>
      </c>
      <c r="C1663" s="372" t="s">
        <v>11038</v>
      </c>
      <c r="D1663" s="374">
        <v>1244110011884</v>
      </c>
      <c r="E1663" s="372" t="s">
        <v>11039</v>
      </c>
      <c r="F1663" s="375" t="s">
        <v>1104</v>
      </c>
      <c r="G1663" s="375" t="s">
        <v>5909</v>
      </c>
      <c r="H1663" s="375" t="s">
        <v>868</v>
      </c>
      <c r="I1663" s="375" t="s">
        <v>869</v>
      </c>
      <c r="J1663" s="375">
        <v>109946.1076</v>
      </c>
      <c r="K1663" s="375">
        <v>10271.822179999999</v>
      </c>
      <c r="L1663" s="375">
        <v>13342.060450000001</v>
      </c>
      <c r="M1663" s="375">
        <v>106426.92148999999</v>
      </c>
      <c r="N1663" s="372">
        <v>0.74399999999999999</v>
      </c>
      <c r="O1663" s="703">
        <v>1.4886162170942994</v>
      </c>
      <c r="P1663" s="375" t="s">
        <v>623</v>
      </c>
      <c r="Q1663" s="372" t="s">
        <v>623</v>
      </c>
      <c r="R1663" s="695">
        <v>20001229</v>
      </c>
      <c r="S1663" s="372" t="s">
        <v>11040</v>
      </c>
      <c r="T1663" s="696">
        <v>0.20900000000000002</v>
      </c>
      <c r="U1663" s="372" t="s">
        <v>11041</v>
      </c>
      <c r="V1663" s="722">
        <v>0</v>
      </c>
      <c r="W1663" s="722">
        <v>0.74</v>
      </c>
      <c r="X1663" s="722">
        <v>0</v>
      </c>
      <c r="Y1663" s="722">
        <v>0</v>
      </c>
      <c r="Z1663" s="382" t="s">
        <v>934</v>
      </c>
      <c r="AA1663" s="372">
        <v>732.51256890000002</v>
      </c>
      <c r="AB1663" s="372">
        <v>815.01152539999998</v>
      </c>
      <c r="AC1663" s="372">
        <v>1096.0502722000001</v>
      </c>
      <c r="AD1663" s="372">
        <v>1099.461076</v>
      </c>
      <c r="AE1663" s="372">
        <v>0</v>
      </c>
      <c r="AF1663" s="372">
        <v>0</v>
      </c>
      <c r="AG1663" s="372">
        <v>0</v>
      </c>
      <c r="AH1663" s="372">
        <v>0</v>
      </c>
    </row>
    <row r="1664" spans="1:34">
      <c r="A1664" s="372" t="s">
        <v>11042</v>
      </c>
      <c r="B1664" s="373" t="s">
        <v>11043</v>
      </c>
      <c r="C1664" s="372" t="s">
        <v>11044</v>
      </c>
      <c r="D1664" s="374">
        <v>1350110036315</v>
      </c>
      <c r="E1664" s="372" t="s">
        <v>11045</v>
      </c>
      <c r="F1664" s="375" t="s">
        <v>1187</v>
      </c>
      <c r="G1664" s="375" t="s">
        <v>1188</v>
      </c>
      <c r="H1664" s="375" t="s">
        <v>1388</v>
      </c>
      <c r="I1664" s="375" t="s">
        <v>869</v>
      </c>
      <c r="J1664" s="375">
        <v>687269.08063999994</v>
      </c>
      <c r="K1664" s="375">
        <v>11277.861779999999</v>
      </c>
      <c r="L1664" s="375">
        <v>17521.997009999999</v>
      </c>
      <c r="M1664" s="375">
        <v>223474.06727999999</v>
      </c>
      <c r="N1664" s="372">
        <v>0.877</v>
      </c>
      <c r="O1664" s="703">
        <v>210.12896502476926</v>
      </c>
      <c r="P1664" s="375" t="s">
        <v>623</v>
      </c>
      <c r="Q1664" s="372" t="s">
        <v>623</v>
      </c>
      <c r="R1664" s="695">
        <v>19991211</v>
      </c>
      <c r="S1664" s="372" t="s">
        <v>11046</v>
      </c>
      <c r="T1664" s="696">
        <v>0.20900000000000002</v>
      </c>
      <c r="U1664" s="372" t="s">
        <v>11047</v>
      </c>
      <c r="V1664" s="722">
        <v>5.36</v>
      </c>
      <c r="W1664" s="722">
        <v>0.41</v>
      </c>
      <c r="X1664" s="722">
        <v>0.12</v>
      </c>
      <c r="Y1664" s="722">
        <v>5.0999999999999996</v>
      </c>
      <c r="Z1664" s="382" t="s">
        <v>934</v>
      </c>
      <c r="AA1664" s="372">
        <v>5966.1268200000004</v>
      </c>
      <c r="AB1664" s="372">
        <v>6172.0405308999998</v>
      </c>
      <c r="AC1664" s="372">
        <v>7009.5562790000004</v>
      </c>
      <c r="AD1664" s="372">
        <v>6872.6908063999999</v>
      </c>
      <c r="AE1664" s="372">
        <v>0</v>
      </c>
      <c r="AF1664" s="372">
        <v>0</v>
      </c>
      <c r="AG1664" s="372">
        <v>0</v>
      </c>
      <c r="AH1664" s="372">
        <v>0</v>
      </c>
    </row>
    <row r="1665" spans="1:34">
      <c r="A1665" s="372" t="s">
        <v>11048</v>
      </c>
      <c r="B1665" s="373" t="s">
        <v>11049</v>
      </c>
      <c r="C1665" s="372" t="s">
        <v>11050</v>
      </c>
      <c r="D1665" s="374">
        <v>1101110031560</v>
      </c>
      <c r="E1665" s="372" t="s">
        <v>11051</v>
      </c>
      <c r="F1665" s="375" t="s">
        <v>1272</v>
      </c>
      <c r="G1665" s="375" t="s">
        <v>1273</v>
      </c>
      <c r="H1665" s="375" t="s">
        <v>1274</v>
      </c>
      <c r="I1665" s="375" t="s">
        <v>755</v>
      </c>
      <c r="J1665" s="375">
        <v>54145.162499999999</v>
      </c>
      <c r="K1665" s="375">
        <v>961.72753</v>
      </c>
      <c r="L1665" s="375">
        <v>691.95528999999999</v>
      </c>
      <c r="M1665" s="375">
        <v>234147.78784999999</v>
      </c>
      <c r="N1665" s="372">
        <v>0.57599999999999996</v>
      </c>
      <c r="O1665" s="703">
        <v>2445.2483132190218</v>
      </c>
      <c r="P1665" s="375" t="s">
        <v>623</v>
      </c>
      <c r="Q1665" s="375" t="s">
        <v>623</v>
      </c>
      <c r="R1665" s="695">
        <v>19880923</v>
      </c>
      <c r="S1665" s="375" t="s">
        <v>11052</v>
      </c>
      <c r="T1665" s="696">
        <v>0.20900000000000002</v>
      </c>
      <c r="U1665" s="375" t="s">
        <v>11053</v>
      </c>
      <c r="V1665" s="722">
        <v>0</v>
      </c>
      <c r="W1665" s="722">
        <v>0.35</v>
      </c>
      <c r="X1665" s="722">
        <v>0.46</v>
      </c>
      <c r="Y1665" s="722">
        <v>170.76</v>
      </c>
      <c r="Z1665" s="382" t="s">
        <v>934</v>
      </c>
      <c r="AA1665" s="372">
        <v>267.29402820000001</v>
      </c>
      <c r="AB1665" s="372">
        <v>398.95553389999998</v>
      </c>
      <c r="AC1665" s="372">
        <v>321.99088920000003</v>
      </c>
      <c r="AD1665" s="372">
        <v>541.45162500000004</v>
      </c>
      <c r="AE1665" s="372">
        <v>0</v>
      </c>
      <c r="AF1665" s="372">
        <v>0</v>
      </c>
      <c r="AG1665" s="372">
        <v>0</v>
      </c>
      <c r="AH1665" s="372">
        <v>0</v>
      </c>
    </row>
    <row r="1666" spans="1:34">
      <c r="A1666" s="372" t="s">
        <v>11054</v>
      </c>
      <c r="B1666" s="373" t="s">
        <v>11055</v>
      </c>
      <c r="C1666" s="372" t="s">
        <v>11056</v>
      </c>
      <c r="D1666" s="374">
        <v>1350110089265</v>
      </c>
      <c r="E1666" s="372" t="s">
        <v>11057</v>
      </c>
      <c r="F1666" s="375" t="s">
        <v>9248</v>
      </c>
      <c r="G1666" s="375" t="s">
        <v>9248</v>
      </c>
      <c r="H1666" s="375" t="s">
        <v>1388</v>
      </c>
      <c r="I1666" s="375" t="s">
        <v>869</v>
      </c>
      <c r="J1666" s="375">
        <v>0</v>
      </c>
      <c r="K1666" s="375">
        <v>0</v>
      </c>
      <c r="L1666" s="375">
        <v>0</v>
      </c>
      <c r="M1666" s="375">
        <v>36587.114529999999</v>
      </c>
      <c r="N1666" s="372" t="s">
        <v>1033</v>
      </c>
      <c r="O1666" s="703">
        <v>8.2249746327665179</v>
      </c>
      <c r="P1666" s="375" t="s">
        <v>623</v>
      </c>
      <c r="Q1666" s="372" t="s">
        <v>623</v>
      </c>
      <c r="R1666" s="695">
        <v>20230810</v>
      </c>
      <c r="S1666" s="375" t="s">
        <v>11058</v>
      </c>
      <c r="T1666" s="696" t="s">
        <v>772</v>
      </c>
      <c r="U1666" s="372" t="s">
        <v>11059</v>
      </c>
      <c r="V1666" s="722">
        <v>0</v>
      </c>
      <c r="W1666" s="722">
        <v>1.88</v>
      </c>
      <c r="X1666" s="722">
        <v>0</v>
      </c>
      <c r="Y1666" s="722">
        <v>0</v>
      </c>
      <c r="Z1666" s="382" t="s">
        <v>934</v>
      </c>
      <c r="AA1666" s="372">
        <v>247.39845</v>
      </c>
      <c r="AB1666" s="372">
        <v>318.98973539999997</v>
      </c>
      <c r="AC1666" s="372">
        <v>418.3550237</v>
      </c>
      <c r="AD1666" s="372">
        <v>512.99936149999996</v>
      </c>
      <c r="AE1666" s="372">
        <v>0</v>
      </c>
      <c r="AF1666" s="372">
        <v>0</v>
      </c>
      <c r="AG1666" s="372">
        <v>0</v>
      </c>
      <c r="AH1666" s="372">
        <v>0</v>
      </c>
    </row>
    <row r="1667" spans="1:34">
      <c r="A1667" s="372" t="s">
        <v>11060</v>
      </c>
      <c r="B1667" s="373" t="s">
        <v>11061</v>
      </c>
      <c r="C1667" s="372" t="s">
        <v>11062</v>
      </c>
      <c r="D1667" s="374">
        <v>1101110809595</v>
      </c>
      <c r="E1667" s="372" t="s">
        <v>11063</v>
      </c>
      <c r="F1667" s="375" t="s">
        <v>3346</v>
      </c>
      <c r="G1667" s="375" t="s">
        <v>3346</v>
      </c>
      <c r="H1667" s="375" t="s">
        <v>1547</v>
      </c>
      <c r="I1667" s="375" t="s">
        <v>869</v>
      </c>
      <c r="J1667" s="375">
        <v>62368.852030000002</v>
      </c>
      <c r="K1667" s="375">
        <v>-1822.76259</v>
      </c>
      <c r="L1667" s="375">
        <v>-357.13069000000002</v>
      </c>
      <c r="M1667" s="375">
        <v>56295.148090000002</v>
      </c>
      <c r="N1667" s="372">
        <v>0.92100000000000004</v>
      </c>
      <c r="O1667" s="703">
        <v>1.5193536051136447</v>
      </c>
      <c r="P1667" s="375" t="s">
        <v>623</v>
      </c>
      <c r="Q1667" s="372" t="s">
        <v>623</v>
      </c>
      <c r="R1667" s="695">
        <v>20010109</v>
      </c>
      <c r="S1667" s="372" t="s">
        <v>11064</v>
      </c>
      <c r="T1667" s="696" t="s">
        <v>772</v>
      </c>
      <c r="U1667" s="372" t="s">
        <v>11065</v>
      </c>
      <c r="V1667" s="722" t="s">
        <v>774</v>
      </c>
      <c r="W1667" s="722">
        <v>1.43</v>
      </c>
      <c r="X1667" s="722">
        <v>1.39</v>
      </c>
      <c r="Y1667" s="722" t="s">
        <v>774</v>
      </c>
      <c r="Z1667" s="382" t="s">
        <v>934</v>
      </c>
      <c r="AA1667" s="372">
        <v>292.96600230000001</v>
      </c>
      <c r="AB1667" s="372">
        <v>329.24849510000001</v>
      </c>
      <c r="AC1667" s="372">
        <v>823.11425329999997</v>
      </c>
      <c r="AD1667" s="372">
        <v>623.68852030000005</v>
      </c>
      <c r="AE1667" s="372">
        <v>0</v>
      </c>
      <c r="AF1667" s="372">
        <v>0</v>
      </c>
      <c r="AG1667" s="372">
        <v>0</v>
      </c>
      <c r="AH1667" s="372">
        <v>0</v>
      </c>
    </row>
    <row r="1668" spans="1:34">
      <c r="A1668" s="372" t="s">
        <v>11066</v>
      </c>
      <c r="B1668" s="373" t="s">
        <v>11067</v>
      </c>
      <c r="C1668" s="372" t="s">
        <v>11068</v>
      </c>
      <c r="D1668" s="374">
        <v>1801110043610</v>
      </c>
      <c r="E1668" s="372" t="s">
        <v>11069</v>
      </c>
      <c r="F1668" s="375" t="s">
        <v>11070</v>
      </c>
      <c r="G1668" s="375" t="s">
        <v>11070</v>
      </c>
      <c r="H1668" s="375" t="s">
        <v>832</v>
      </c>
      <c r="I1668" s="375" t="s">
        <v>755</v>
      </c>
      <c r="J1668" s="375">
        <v>86871.531570000006</v>
      </c>
      <c r="K1668" s="375">
        <v>7569.62781</v>
      </c>
      <c r="L1668" s="375">
        <v>10047.30384</v>
      </c>
      <c r="M1668" s="375">
        <v>57009.85439</v>
      </c>
      <c r="N1668" s="372">
        <v>0.82</v>
      </c>
      <c r="O1668" s="703">
        <v>16.123693694441151</v>
      </c>
      <c r="P1668" s="375" t="s">
        <v>623</v>
      </c>
      <c r="Q1668" s="372" t="s">
        <v>623</v>
      </c>
      <c r="R1668" s="695">
        <v>19730626</v>
      </c>
      <c r="S1668" s="372" t="s">
        <v>11071</v>
      </c>
      <c r="T1668" s="696">
        <v>0.20900000000000002</v>
      </c>
      <c r="U1668" s="372" t="s">
        <v>11072</v>
      </c>
      <c r="V1668" s="722">
        <v>8.44</v>
      </c>
      <c r="W1668" s="722">
        <v>1.57</v>
      </c>
      <c r="X1668" s="722">
        <v>1.03</v>
      </c>
      <c r="Y1668" s="722">
        <v>10.53</v>
      </c>
      <c r="Z1668" s="382" t="s">
        <v>934</v>
      </c>
      <c r="AA1668" s="372">
        <v>643.14340749999997</v>
      </c>
      <c r="AB1668" s="372">
        <v>763.50428629999999</v>
      </c>
      <c r="AC1668" s="372">
        <v>836.73211019999997</v>
      </c>
      <c r="AD1668" s="372">
        <v>868.71531570000002</v>
      </c>
      <c r="AE1668" s="372">
        <v>0</v>
      </c>
      <c r="AF1668" s="372">
        <v>0</v>
      </c>
      <c r="AG1668" s="372">
        <v>0</v>
      </c>
      <c r="AH1668" s="372">
        <v>0</v>
      </c>
    </row>
    <row r="1669" spans="1:34">
      <c r="A1669" s="372" t="s">
        <v>11073</v>
      </c>
      <c r="B1669" s="373" t="s">
        <v>11074</v>
      </c>
      <c r="C1669" s="372" t="s">
        <v>11075</v>
      </c>
      <c r="D1669" s="374">
        <v>1350110111703</v>
      </c>
      <c r="E1669" s="372" t="s">
        <v>11076</v>
      </c>
      <c r="F1669" s="375" t="s">
        <v>1286</v>
      </c>
      <c r="G1669" s="375" t="s">
        <v>1465</v>
      </c>
      <c r="H1669" s="375" t="s">
        <v>1388</v>
      </c>
      <c r="I1669" s="375" t="s">
        <v>869</v>
      </c>
      <c r="J1669" s="375">
        <v>4994.1943499999998</v>
      </c>
      <c r="K1669" s="375">
        <v>-3681.6489299999998</v>
      </c>
      <c r="L1669" s="375">
        <v>-6556.8487599999999</v>
      </c>
      <c r="M1669" s="375">
        <v>11935.929330000001</v>
      </c>
      <c r="N1669" s="372" t="s">
        <v>1033</v>
      </c>
      <c r="O1669" s="703">
        <v>6.4962303573866285</v>
      </c>
      <c r="P1669" s="375" t="s">
        <v>623</v>
      </c>
      <c r="Q1669" s="372" t="s">
        <v>623</v>
      </c>
      <c r="R1669" s="695">
        <v>20100209</v>
      </c>
      <c r="S1669" s="372" t="s">
        <v>11077</v>
      </c>
      <c r="T1669" s="696" t="s">
        <v>772</v>
      </c>
      <c r="U1669" s="372" t="s">
        <v>11078</v>
      </c>
      <c r="V1669" s="722" t="s">
        <v>774</v>
      </c>
      <c r="W1669" s="722">
        <v>10.26</v>
      </c>
      <c r="X1669" s="722">
        <v>23.42</v>
      </c>
      <c r="Y1669" s="722" t="s">
        <v>774</v>
      </c>
      <c r="Z1669" s="382" t="s">
        <v>934</v>
      </c>
      <c r="AA1669" s="372">
        <v>70.572648799999996</v>
      </c>
      <c r="AB1669" s="372">
        <v>42.695126799999997</v>
      </c>
      <c r="AC1669" s="372">
        <v>168.2821639</v>
      </c>
      <c r="AD1669" s="372">
        <v>49.941943500000001</v>
      </c>
      <c r="AE1669" s="372">
        <v>0</v>
      </c>
      <c r="AF1669" s="372">
        <v>0</v>
      </c>
      <c r="AG1669" s="372">
        <v>0</v>
      </c>
      <c r="AH1669" s="372">
        <v>0</v>
      </c>
    </row>
    <row r="1670" spans="1:34">
      <c r="A1670" s="372" t="s">
        <v>11079</v>
      </c>
      <c r="B1670" s="373" t="s">
        <v>11080</v>
      </c>
      <c r="C1670" s="372" t="s">
        <v>11081</v>
      </c>
      <c r="D1670" s="374">
        <v>1301110057124</v>
      </c>
      <c r="E1670" s="372" t="s">
        <v>11082</v>
      </c>
      <c r="F1670" s="372" t="s">
        <v>6673</v>
      </c>
      <c r="G1670" s="375" t="s">
        <v>6673</v>
      </c>
      <c r="H1670" s="375" t="s">
        <v>1388</v>
      </c>
      <c r="I1670" s="375" t="s">
        <v>869</v>
      </c>
      <c r="J1670" s="375">
        <v>119069.64404</v>
      </c>
      <c r="K1670" s="375">
        <v>8480.4647100000002</v>
      </c>
      <c r="L1670" s="375">
        <v>6263.3511600000002</v>
      </c>
      <c r="M1670" s="375">
        <v>76375.473689999999</v>
      </c>
      <c r="N1670" s="372">
        <v>0.78400000000000003</v>
      </c>
      <c r="O1670" s="703">
        <v>32.563607054200951</v>
      </c>
      <c r="P1670" s="375" t="s">
        <v>623</v>
      </c>
      <c r="Q1670" s="372" t="s">
        <v>623</v>
      </c>
      <c r="R1670" s="695">
        <v>20100127</v>
      </c>
      <c r="S1670" s="372" t="s">
        <v>11083</v>
      </c>
      <c r="T1670" s="696">
        <v>0.20900000000000002</v>
      </c>
      <c r="U1670" s="372" t="s">
        <v>11084</v>
      </c>
      <c r="V1670" s="722">
        <v>7.74</v>
      </c>
      <c r="W1670" s="722">
        <v>1.01</v>
      </c>
      <c r="X1670" s="722">
        <v>0.64</v>
      </c>
      <c r="Y1670" s="722">
        <v>11.33</v>
      </c>
      <c r="Z1670" s="382" t="s">
        <v>934</v>
      </c>
      <c r="AA1670" s="372">
        <v>523.5139097</v>
      </c>
      <c r="AB1670" s="372">
        <v>604.1028847</v>
      </c>
      <c r="AC1670" s="372">
        <v>622.65973510000003</v>
      </c>
      <c r="AD1670" s="372">
        <v>1190.6964404</v>
      </c>
      <c r="AE1670" s="372">
        <v>0</v>
      </c>
      <c r="AF1670" s="372">
        <v>0</v>
      </c>
      <c r="AG1670" s="372">
        <v>0</v>
      </c>
      <c r="AH1670" s="372">
        <v>0</v>
      </c>
    </row>
    <row r="1671" spans="1:34">
      <c r="A1671" s="372" t="s">
        <v>11085</v>
      </c>
      <c r="B1671" s="373" t="s">
        <v>11086</v>
      </c>
      <c r="C1671" s="372" t="s">
        <v>11087</v>
      </c>
      <c r="D1671" s="374">
        <v>1101112914459</v>
      </c>
      <c r="E1671" s="372" t="s">
        <v>11088</v>
      </c>
      <c r="F1671" s="375" t="s">
        <v>1814</v>
      </c>
      <c r="G1671" s="375" t="s">
        <v>1815</v>
      </c>
      <c r="H1671" s="375" t="s">
        <v>1693</v>
      </c>
      <c r="I1671" s="375" t="s">
        <v>869</v>
      </c>
      <c r="J1671" s="375">
        <v>14193.83203</v>
      </c>
      <c r="K1671" s="375">
        <v>1398.3473799999999</v>
      </c>
      <c r="L1671" s="375">
        <v>1830.71216</v>
      </c>
      <c r="M1671" s="375">
        <v>44982.653480000001</v>
      </c>
      <c r="N1671" s="372">
        <v>1.3540000000000001</v>
      </c>
      <c r="O1671" s="703">
        <v>0.16630473386399483</v>
      </c>
      <c r="P1671" s="375" t="s">
        <v>623</v>
      </c>
      <c r="Q1671" s="372" t="s">
        <v>623</v>
      </c>
      <c r="R1671" s="695">
        <v>20160729</v>
      </c>
      <c r="S1671" s="372" t="s">
        <v>11089</v>
      </c>
      <c r="T1671" s="696">
        <v>0.20900000000000002</v>
      </c>
      <c r="U1671" s="372" t="s">
        <v>11090</v>
      </c>
      <c r="V1671" s="722">
        <v>41.05</v>
      </c>
      <c r="W1671" s="722">
        <v>1.68</v>
      </c>
      <c r="X1671" s="722">
        <v>5.29</v>
      </c>
      <c r="Y1671" s="722">
        <v>59.87</v>
      </c>
      <c r="Z1671" s="382" t="s">
        <v>934</v>
      </c>
      <c r="AA1671" s="372">
        <v>128.7650089</v>
      </c>
      <c r="AB1671" s="372">
        <v>160.30334529999999</v>
      </c>
      <c r="AC1671" s="372">
        <v>172.67914379999999</v>
      </c>
      <c r="AD1671" s="372">
        <v>141.93832029999999</v>
      </c>
      <c r="AE1671" s="372">
        <v>0</v>
      </c>
      <c r="AF1671" s="372">
        <v>0</v>
      </c>
      <c r="AG1671" s="372">
        <v>0</v>
      </c>
      <c r="AH1671" s="372">
        <v>0</v>
      </c>
    </row>
    <row r="1672" spans="1:34">
      <c r="A1672" s="372" t="s">
        <v>11091</v>
      </c>
      <c r="B1672" s="373" t="s">
        <v>11092</v>
      </c>
      <c r="C1672" s="372" t="s">
        <v>11093</v>
      </c>
      <c r="D1672" s="374">
        <v>1341110065470</v>
      </c>
      <c r="E1672" s="372" t="s">
        <v>11094</v>
      </c>
      <c r="F1672" s="375" t="s">
        <v>1985</v>
      </c>
      <c r="G1672" s="375" t="s">
        <v>1985</v>
      </c>
      <c r="H1672" s="375" t="s">
        <v>868</v>
      </c>
      <c r="I1672" s="375" t="s">
        <v>869</v>
      </c>
      <c r="J1672" s="375">
        <v>165117.48295999999</v>
      </c>
      <c r="K1672" s="375">
        <v>2242.0345400000001</v>
      </c>
      <c r="L1672" s="375">
        <v>-10967.283719999999</v>
      </c>
      <c r="M1672" s="375">
        <v>188798.25875000001</v>
      </c>
      <c r="N1672" s="372">
        <v>1.0660000000000001</v>
      </c>
      <c r="O1672" s="703">
        <v>48.18971124642237</v>
      </c>
      <c r="P1672" s="375" t="s">
        <v>623</v>
      </c>
      <c r="Q1672" s="372" t="s">
        <v>623</v>
      </c>
      <c r="R1672" s="695">
        <v>20070103</v>
      </c>
      <c r="S1672" s="372" t="s">
        <v>11095</v>
      </c>
      <c r="T1672" s="696" t="s">
        <v>772</v>
      </c>
      <c r="U1672" s="372" t="s">
        <v>11096</v>
      </c>
      <c r="V1672" s="722">
        <v>13.99</v>
      </c>
      <c r="W1672" s="722">
        <v>0.4</v>
      </c>
      <c r="X1672" s="722">
        <v>0.41</v>
      </c>
      <c r="Y1672" s="722" t="s">
        <v>774</v>
      </c>
      <c r="Z1672" s="382">
        <v>0.14711054982181304</v>
      </c>
      <c r="AA1672" s="372">
        <v>1620.072682</v>
      </c>
      <c r="AB1672" s="372">
        <v>1736.8131080000001</v>
      </c>
      <c r="AC1672" s="372">
        <v>2137.7371773</v>
      </c>
      <c r="AD1672" s="372">
        <v>1651.1748296000001</v>
      </c>
      <c r="AE1672" s="372">
        <v>2250</v>
      </c>
      <c r="AF1672" s="372">
        <v>2544</v>
      </c>
      <c r="AG1672" s="372">
        <v>2859</v>
      </c>
      <c r="AH1672" s="372">
        <v>0</v>
      </c>
    </row>
    <row r="1673" spans="1:34">
      <c r="A1673" s="372" t="s">
        <v>11097</v>
      </c>
      <c r="B1673" s="373" t="s">
        <v>11098</v>
      </c>
      <c r="C1673" s="372" t="s">
        <v>11099</v>
      </c>
      <c r="D1673" s="374">
        <v>1954110007985</v>
      </c>
      <c r="E1673" s="372" t="s">
        <v>11100</v>
      </c>
      <c r="F1673" s="375" t="s">
        <v>1136</v>
      </c>
      <c r="G1673" s="375" t="s">
        <v>7487</v>
      </c>
      <c r="H1673" s="375" t="s">
        <v>868</v>
      </c>
      <c r="I1673" s="375" t="s">
        <v>869</v>
      </c>
      <c r="J1673" s="375">
        <v>6688.7831699999997</v>
      </c>
      <c r="K1673" s="375">
        <v>-10723.77802</v>
      </c>
      <c r="L1673" s="375">
        <v>-14192.911330000001</v>
      </c>
      <c r="M1673" s="375">
        <v>-3785.3111199999998</v>
      </c>
      <c r="N1673" s="372" t="s">
        <v>1033</v>
      </c>
      <c r="O1673" s="703">
        <v>16.494498298639581</v>
      </c>
      <c r="P1673" s="375" t="s">
        <v>16142</v>
      </c>
      <c r="Q1673" s="375" t="s">
        <v>16145</v>
      </c>
      <c r="R1673" s="695">
        <v>20170915</v>
      </c>
      <c r="S1673" s="375" t="s">
        <v>11101</v>
      </c>
      <c r="T1673" s="696" t="s">
        <v>772</v>
      </c>
      <c r="U1673" s="375" t="s">
        <v>11102</v>
      </c>
      <c r="V1673" s="722">
        <v>0</v>
      </c>
      <c r="W1673" s="722" t="s">
        <v>774</v>
      </c>
      <c r="X1673" s="722">
        <v>0</v>
      </c>
      <c r="Y1673" s="722">
        <v>0</v>
      </c>
      <c r="Z1673" s="382" t="s">
        <v>934</v>
      </c>
      <c r="AA1673" s="372">
        <v>168.01151849999999</v>
      </c>
      <c r="AB1673" s="372">
        <v>202.74726200000001</v>
      </c>
      <c r="AC1673" s="372">
        <v>337.56124840000001</v>
      </c>
      <c r="AD1673" s="372">
        <v>66.887831700000007</v>
      </c>
      <c r="AE1673" s="372">
        <v>0</v>
      </c>
      <c r="AF1673" s="372">
        <v>0</v>
      </c>
      <c r="AG1673" s="372">
        <v>0</v>
      </c>
      <c r="AH1673" s="372">
        <v>0</v>
      </c>
    </row>
    <row r="1674" spans="1:34">
      <c r="A1674" s="372" t="s">
        <v>11103</v>
      </c>
      <c r="B1674" s="373" t="s">
        <v>11104</v>
      </c>
      <c r="C1674" s="372" t="s">
        <v>11105</v>
      </c>
      <c r="D1674" s="374">
        <v>1101116016673</v>
      </c>
      <c r="E1674" s="372" t="s">
        <v>11106</v>
      </c>
      <c r="F1674" s="375" t="s">
        <v>1381</v>
      </c>
      <c r="G1674" s="375" t="s">
        <v>1381</v>
      </c>
      <c r="H1674" s="375" t="s">
        <v>868</v>
      </c>
      <c r="I1674" s="375" t="s">
        <v>869</v>
      </c>
      <c r="J1674" s="375">
        <v>90558.433590000001</v>
      </c>
      <c r="K1674" s="375">
        <v>-749.82344000000001</v>
      </c>
      <c r="L1674" s="375">
        <v>-3202.0425399999999</v>
      </c>
      <c r="M1674" s="375">
        <v>44657.81611</v>
      </c>
      <c r="N1674" s="372">
        <v>1.246</v>
      </c>
      <c r="O1674" s="703">
        <v>37.323389512120045</v>
      </c>
      <c r="P1674" s="375" t="s">
        <v>623</v>
      </c>
      <c r="Q1674" s="375" t="s">
        <v>623</v>
      </c>
      <c r="R1674" s="695">
        <v>20160907</v>
      </c>
      <c r="S1674" s="375" t="s">
        <v>11107</v>
      </c>
      <c r="T1674" s="696" t="s">
        <v>772</v>
      </c>
      <c r="U1674" s="372">
        <v>0</v>
      </c>
      <c r="V1674" s="722">
        <v>57.3</v>
      </c>
      <c r="W1674" s="722">
        <v>1.77</v>
      </c>
      <c r="X1674" s="722">
        <v>0.84</v>
      </c>
      <c r="Y1674" s="722" t="s">
        <v>774</v>
      </c>
      <c r="Z1674" s="382" t="s">
        <v>934</v>
      </c>
      <c r="AA1674" s="372">
        <v>1001.0803892</v>
      </c>
      <c r="AB1674" s="372">
        <v>944.6570997</v>
      </c>
      <c r="AC1674" s="372">
        <v>1062.1851426999999</v>
      </c>
      <c r="AD1674" s="372">
        <v>905.58433590000004</v>
      </c>
      <c r="AE1674" s="372">
        <v>0</v>
      </c>
      <c r="AF1674" s="372">
        <v>0</v>
      </c>
      <c r="AG1674" s="372">
        <v>0</v>
      </c>
      <c r="AH1674" s="372">
        <v>0</v>
      </c>
    </row>
    <row r="1675" spans="1:34">
      <c r="A1675" s="372" t="s">
        <v>11108</v>
      </c>
      <c r="B1675" s="373" t="s">
        <v>11109</v>
      </c>
      <c r="C1675" s="372" t="s">
        <v>11110</v>
      </c>
      <c r="D1675" s="374">
        <v>1101117257507</v>
      </c>
      <c r="E1675" s="372" t="s">
        <v>11111</v>
      </c>
      <c r="F1675" s="375" t="s">
        <v>2880</v>
      </c>
      <c r="G1675" s="375" t="s">
        <v>2881</v>
      </c>
      <c r="H1675" s="375" t="s">
        <v>1348</v>
      </c>
      <c r="I1675" s="375" t="s">
        <v>869</v>
      </c>
      <c r="J1675" s="375">
        <v>94698.742459999994</v>
      </c>
      <c r="K1675" s="375">
        <v>8935.52477</v>
      </c>
      <c r="L1675" s="375">
        <v>9243.3621800000001</v>
      </c>
      <c r="M1675" s="375">
        <v>41960.551639999998</v>
      </c>
      <c r="N1675" s="372">
        <v>1.0529999999999999</v>
      </c>
      <c r="O1675" s="703">
        <v>17.644862945823423</v>
      </c>
      <c r="P1675" s="375" t="s">
        <v>623</v>
      </c>
      <c r="Q1675" s="372" t="s">
        <v>623</v>
      </c>
      <c r="R1675" s="695">
        <v>20191224</v>
      </c>
      <c r="S1675" s="372" t="s">
        <v>11112</v>
      </c>
      <c r="T1675" s="696">
        <v>0.20900000000000002</v>
      </c>
      <c r="U1675" s="372" t="s">
        <v>11113</v>
      </c>
      <c r="V1675" s="722">
        <v>3.82</v>
      </c>
      <c r="W1675" s="722">
        <v>1.73</v>
      </c>
      <c r="X1675" s="722">
        <v>0.88</v>
      </c>
      <c r="Y1675" s="722">
        <v>10.75</v>
      </c>
      <c r="Z1675" s="382">
        <v>6.0099774045665244E-2</v>
      </c>
      <c r="AA1675" s="372">
        <v>598.97254539999994</v>
      </c>
      <c r="AB1675" s="372">
        <v>794.42494610000006</v>
      </c>
      <c r="AC1675" s="372">
        <v>865.09520439999994</v>
      </c>
      <c r="AD1675" s="372">
        <v>946.98742460000005</v>
      </c>
      <c r="AE1675" s="372">
        <v>1008</v>
      </c>
      <c r="AF1675" s="372">
        <v>1097</v>
      </c>
      <c r="AG1675" s="372">
        <v>1196</v>
      </c>
      <c r="AH1675" s="372">
        <v>0</v>
      </c>
    </row>
    <row r="1676" spans="1:34">
      <c r="A1676" s="372" t="s">
        <v>11114</v>
      </c>
      <c r="B1676" s="373" t="s">
        <v>11115</v>
      </c>
      <c r="C1676" s="372" t="s">
        <v>11116</v>
      </c>
      <c r="D1676" s="374">
        <v>1942110000399</v>
      </c>
      <c r="E1676" s="372" t="s">
        <v>11117</v>
      </c>
      <c r="F1676" s="375" t="s">
        <v>1881</v>
      </c>
      <c r="G1676" s="375" t="s">
        <v>1882</v>
      </c>
      <c r="H1676" s="375" t="s">
        <v>797</v>
      </c>
      <c r="I1676" s="375" t="s">
        <v>755</v>
      </c>
      <c r="J1676" s="375">
        <v>690905.79284999997</v>
      </c>
      <c r="K1676" s="375">
        <v>20566.629970000002</v>
      </c>
      <c r="L1676" s="375">
        <v>13408.332050000001</v>
      </c>
      <c r="M1676" s="375">
        <v>269566.48895999999</v>
      </c>
      <c r="N1676" s="372">
        <v>1.0269999999999999</v>
      </c>
      <c r="O1676" s="703">
        <v>221.9367609079919</v>
      </c>
      <c r="P1676" s="375" t="s">
        <v>623</v>
      </c>
      <c r="Q1676" s="372" t="s">
        <v>623</v>
      </c>
      <c r="R1676" s="695">
        <v>20121120</v>
      </c>
      <c r="S1676" s="372" t="s">
        <v>11118</v>
      </c>
      <c r="T1676" s="696">
        <v>0.20900000000000002</v>
      </c>
      <c r="U1676" s="372" t="s">
        <v>11119</v>
      </c>
      <c r="V1676" s="722">
        <v>5.26</v>
      </c>
      <c r="W1676" s="722">
        <v>0.35</v>
      </c>
      <c r="X1676" s="722">
        <v>0.13</v>
      </c>
      <c r="Y1676" s="722">
        <v>7.88</v>
      </c>
      <c r="Z1676" s="382" t="s">
        <v>934</v>
      </c>
      <c r="AA1676" s="372">
        <v>4457.7042874999997</v>
      </c>
      <c r="AB1676" s="372">
        <v>5313.3218053999999</v>
      </c>
      <c r="AC1676" s="372">
        <v>6105.0610997000003</v>
      </c>
      <c r="AD1676" s="372">
        <v>6909.0579285000003</v>
      </c>
      <c r="AE1676" s="372">
        <v>0</v>
      </c>
      <c r="AF1676" s="372">
        <v>0</v>
      </c>
      <c r="AG1676" s="372">
        <v>0</v>
      </c>
      <c r="AH1676" s="372">
        <v>0</v>
      </c>
    </row>
    <row r="1677" spans="1:34">
      <c r="A1677" s="372" t="s">
        <v>11120</v>
      </c>
      <c r="B1677" s="373" t="s">
        <v>11121</v>
      </c>
      <c r="C1677" s="372" t="s">
        <v>11122</v>
      </c>
      <c r="D1677" s="374">
        <v>1211110160415</v>
      </c>
      <c r="E1677" s="372" t="s">
        <v>11123</v>
      </c>
      <c r="F1677" s="375" t="s">
        <v>1013</v>
      </c>
      <c r="G1677" s="375" t="s">
        <v>1013</v>
      </c>
      <c r="H1677" s="375" t="s">
        <v>1693</v>
      </c>
      <c r="I1677" s="375" t="s">
        <v>869</v>
      </c>
      <c r="J1677" s="375">
        <v>90794.664550000001</v>
      </c>
      <c r="K1677" s="375">
        <v>-1524.49935</v>
      </c>
      <c r="L1677" s="375">
        <v>-4035.7869000000001</v>
      </c>
      <c r="M1677" s="375">
        <v>72261.887969999996</v>
      </c>
      <c r="N1677" s="372">
        <v>1.518</v>
      </c>
      <c r="O1677" s="703">
        <v>2.0161138628531474</v>
      </c>
      <c r="P1677" s="375" t="s">
        <v>623</v>
      </c>
      <c r="Q1677" s="375" t="s">
        <v>623</v>
      </c>
      <c r="R1677" s="695">
        <v>20210128</v>
      </c>
      <c r="S1677" s="375" t="s">
        <v>11124</v>
      </c>
      <c r="T1677" s="696" t="s">
        <v>772</v>
      </c>
      <c r="U1677" s="372" t="s">
        <v>11125</v>
      </c>
      <c r="V1677" s="722">
        <v>72.88</v>
      </c>
      <c r="W1677" s="722">
        <v>1.07</v>
      </c>
      <c r="X1677" s="722">
        <v>0.85</v>
      </c>
      <c r="Y1677" s="722" t="s">
        <v>774</v>
      </c>
      <c r="Z1677" s="382" t="s">
        <v>934</v>
      </c>
      <c r="AA1677" s="372">
        <v>437.26831779999998</v>
      </c>
      <c r="AB1677" s="372">
        <v>567.17885750000005</v>
      </c>
      <c r="AC1677" s="372">
        <v>709.25689520000003</v>
      </c>
      <c r="AD1677" s="372">
        <v>907.94664550000005</v>
      </c>
      <c r="AE1677" s="372">
        <v>0</v>
      </c>
      <c r="AF1677" s="372">
        <v>0</v>
      </c>
      <c r="AG1677" s="372">
        <v>0</v>
      </c>
      <c r="AH1677" s="372">
        <v>0</v>
      </c>
    </row>
    <row r="1678" spans="1:34">
      <c r="A1678" s="372" t="s">
        <v>11126</v>
      </c>
      <c r="B1678" s="373" t="s">
        <v>11127</v>
      </c>
      <c r="C1678" s="372" t="s">
        <v>11128</v>
      </c>
      <c r="D1678" s="374">
        <v>1358110102649</v>
      </c>
      <c r="E1678" s="372" t="s">
        <v>11129</v>
      </c>
      <c r="F1678" s="375" t="s">
        <v>1673</v>
      </c>
      <c r="G1678" s="375" t="s">
        <v>1673</v>
      </c>
      <c r="H1678" s="375" t="s">
        <v>1388</v>
      </c>
      <c r="I1678" s="375" t="s">
        <v>869</v>
      </c>
      <c r="J1678" s="375">
        <v>16100.18361</v>
      </c>
      <c r="K1678" s="375">
        <v>-2313.0927799999999</v>
      </c>
      <c r="L1678" s="375">
        <v>-4610.9017800000001</v>
      </c>
      <c r="M1678" s="375">
        <v>6283.3545899999999</v>
      </c>
      <c r="N1678" s="372">
        <v>0.94899999999999995</v>
      </c>
      <c r="O1678" s="703">
        <v>10.890672214319737</v>
      </c>
      <c r="P1678" s="375" t="s">
        <v>623</v>
      </c>
      <c r="Q1678" s="372" t="s">
        <v>623</v>
      </c>
      <c r="R1678" s="695">
        <v>20100226</v>
      </c>
      <c r="S1678" s="372" t="s">
        <v>11130</v>
      </c>
      <c r="T1678" s="696" t="s">
        <v>772</v>
      </c>
      <c r="U1678" s="372" t="s">
        <v>11131</v>
      </c>
      <c r="V1678" s="722">
        <v>0</v>
      </c>
      <c r="W1678" s="722">
        <v>10.07</v>
      </c>
      <c r="X1678" s="722">
        <v>0</v>
      </c>
      <c r="Y1678" s="722">
        <v>0</v>
      </c>
      <c r="Z1678" s="382" t="s">
        <v>934</v>
      </c>
      <c r="AA1678" s="372">
        <v>178.56445020000001</v>
      </c>
      <c r="AB1678" s="372">
        <v>213.20668620000001</v>
      </c>
      <c r="AC1678" s="372">
        <v>219.17076900000001</v>
      </c>
      <c r="AD1678" s="372">
        <v>161.00183609999999</v>
      </c>
      <c r="AE1678" s="372">
        <v>0</v>
      </c>
      <c r="AF1678" s="372">
        <v>0</v>
      </c>
      <c r="AG1678" s="372">
        <v>0</v>
      </c>
      <c r="AH1678" s="372">
        <v>0</v>
      </c>
    </row>
    <row r="1679" spans="1:34">
      <c r="A1679" s="372" t="s">
        <v>11132</v>
      </c>
      <c r="B1679" s="373" t="s">
        <v>11133</v>
      </c>
      <c r="C1679" s="372" t="s">
        <v>11134</v>
      </c>
      <c r="D1679" s="374">
        <v>2301110096064</v>
      </c>
      <c r="E1679" s="372" t="s">
        <v>11135</v>
      </c>
      <c r="F1679" s="372" t="s">
        <v>11136</v>
      </c>
      <c r="G1679" s="375" t="s">
        <v>11136</v>
      </c>
      <c r="H1679" s="375" t="s">
        <v>868</v>
      </c>
      <c r="I1679" s="375" t="s">
        <v>869</v>
      </c>
      <c r="J1679" s="375">
        <v>78037.214129999993</v>
      </c>
      <c r="K1679" s="375">
        <v>-744.27044000000001</v>
      </c>
      <c r="L1679" s="375">
        <v>1496.7447</v>
      </c>
      <c r="M1679" s="375">
        <v>162675.59466999999</v>
      </c>
      <c r="N1679" s="372">
        <v>0.875</v>
      </c>
      <c r="O1679" s="703">
        <v>0.22385297391184591</v>
      </c>
      <c r="P1679" s="375" t="s">
        <v>623</v>
      </c>
      <c r="Q1679" s="375" t="s">
        <v>623</v>
      </c>
      <c r="R1679" s="695">
        <v>20210128</v>
      </c>
      <c r="S1679" s="375" t="s">
        <v>11137</v>
      </c>
      <c r="T1679" s="696">
        <v>0.20900000000000002</v>
      </c>
      <c r="U1679" s="372" t="s">
        <v>11138</v>
      </c>
      <c r="V1679" s="722">
        <v>21.09</v>
      </c>
      <c r="W1679" s="722">
        <v>0.56000000000000005</v>
      </c>
      <c r="X1679" s="722">
        <v>1.2</v>
      </c>
      <c r="Y1679" s="722">
        <v>28.34</v>
      </c>
      <c r="Z1679" s="382" t="s">
        <v>934</v>
      </c>
      <c r="AA1679" s="372">
        <v>1579.2606827</v>
      </c>
      <c r="AB1679" s="372">
        <v>1708.7536167000001</v>
      </c>
      <c r="AC1679" s="372">
        <v>1415.8446864</v>
      </c>
      <c r="AD1679" s="372">
        <v>780.37214129999995</v>
      </c>
      <c r="AE1679" s="372">
        <v>2112</v>
      </c>
      <c r="AF1679" s="372">
        <v>0</v>
      </c>
      <c r="AG1679" s="372">
        <v>0</v>
      </c>
      <c r="AH1679" s="372">
        <v>0</v>
      </c>
    </row>
    <row r="1680" spans="1:34">
      <c r="A1680" s="372" t="s">
        <v>11139</v>
      </c>
      <c r="B1680" s="373" t="s">
        <v>11140</v>
      </c>
      <c r="C1680" s="372" t="s">
        <v>11141</v>
      </c>
      <c r="D1680" s="374">
        <v>1101110104820</v>
      </c>
      <c r="E1680" s="372" t="s">
        <v>11142</v>
      </c>
      <c r="F1680" s="372" t="s">
        <v>11143</v>
      </c>
      <c r="G1680" s="375" t="s">
        <v>11143</v>
      </c>
      <c r="H1680" s="375" t="s">
        <v>1327</v>
      </c>
      <c r="I1680" s="375" t="s">
        <v>755</v>
      </c>
      <c r="J1680" s="375">
        <v>391537.75131999998</v>
      </c>
      <c r="K1680" s="375">
        <v>16282.34044</v>
      </c>
      <c r="L1680" s="375">
        <v>23923.366190000001</v>
      </c>
      <c r="M1680" s="375">
        <v>220792.41630000001</v>
      </c>
      <c r="N1680" s="372">
        <v>0.70799999999999996</v>
      </c>
      <c r="O1680" s="703">
        <v>80.091747650458302</v>
      </c>
      <c r="P1680" s="375" t="s">
        <v>623</v>
      </c>
      <c r="Q1680" s="375" t="s">
        <v>623</v>
      </c>
      <c r="R1680" s="695">
        <v>19861224</v>
      </c>
      <c r="S1680" s="375" t="s">
        <v>11144</v>
      </c>
      <c r="T1680" s="696">
        <v>0.23100000000000001</v>
      </c>
      <c r="U1680" s="372" t="s">
        <v>11145</v>
      </c>
      <c r="V1680" s="722">
        <v>0</v>
      </c>
      <c r="W1680" s="722">
        <v>0.37</v>
      </c>
      <c r="X1680" s="722">
        <v>0</v>
      </c>
      <c r="Y1680" s="722">
        <v>0</v>
      </c>
      <c r="Z1680" s="382" t="s">
        <v>934</v>
      </c>
      <c r="AA1680" s="372">
        <v>3276.2118549000002</v>
      </c>
      <c r="AB1680" s="372">
        <v>3288.8177856000002</v>
      </c>
      <c r="AC1680" s="372">
        <v>3691.2520721000001</v>
      </c>
      <c r="AD1680" s="372">
        <v>3915.3775132000001</v>
      </c>
      <c r="AE1680" s="372">
        <v>0</v>
      </c>
      <c r="AF1680" s="372">
        <v>0</v>
      </c>
      <c r="AG1680" s="372">
        <v>0</v>
      </c>
      <c r="AH1680" s="372">
        <v>0</v>
      </c>
    </row>
    <row r="1681" spans="1:34">
      <c r="A1681" s="372" t="s">
        <v>11146</v>
      </c>
      <c r="B1681" s="373" t="s">
        <v>11147</v>
      </c>
      <c r="C1681" s="372" t="s">
        <v>11148</v>
      </c>
      <c r="D1681" s="374">
        <v>1701110021816</v>
      </c>
      <c r="E1681" s="372" t="s">
        <v>11149</v>
      </c>
      <c r="F1681" s="375" t="s">
        <v>3020</v>
      </c>
      <c r="G1681" s="375" t="s">
        <v>3020</v>
      </c>
      <c r="H1681" s="375" t="s">
        <v>797</v>
      </c>
      <c r="I1681" s="375" t="s">
        <v>755</v>
      </c>
      <c r="J1681" s="375">
        <v>0</v>
      </c>
      <c r="K1681" s="375">
        <v>0</v>
      </c>
      <c r="L1681" s="375">
        <v>0</v>
      </c>
      <c r="M1681" s="375">
        <v>0</v>
      </c>
      <c r="N1681" s="372">
        <v>1.0409999999999999</v>
      </c>
      <c r="O1681" s="703">
        <v>0</v>
      </c>
      <c r="P1681" s="375" t="s">
        <v>623</v>
      </c>
      <c r="Q1681" s="372" t="s">
        <v>623</v>
      </c>
      <c r="R1681" s="695">
        <v>19951110</v>
      </c>
      <c r="S1681" s="372" t="s">
        <v>11150</v>
      </c>
      <c r="T1681" s="696" t="s">
        <v>772</v>
      </c>
      <c r="U1681" s="372" t="s">
        <v>11151</v>
      </c>
      <c r="V1681" s="722">
        <v>0</v>
      </c>
      <c r="W1681" s="722">
        <v>0</v>
      </c>
      <c r="X1681" s="722">
        <v>0</v>
      </c>
      <c r="Y1681" s="722">
        <v>0</v>
      </c>
      <c r="Z1681" s="382" t="s">
        <v>774</v>
      </c>
      <c r="AA1681" s="372">
        <v>3694.9099219</v>
      </c>
      <c r="AB1681" s="372">
        <v>3873.6867980000002</v>
      </c>
      <c r="AC1681" s="372">
        <v>5386.4023942000003</v>
      </c>
      <c r="AD1681" s="372">
        <v>0</v>
      </c>
      <c r="AE1681" s="372">
        <v>0</v>
      </c>
      <c r="AF1681" s="372">
        <v>0</v>
      </c>
      <c r="AG1681" s="372">
        <v>0</v>
      </c>
      <c r="AH1681" s="372">
        <v>0</v>
      </c>
    </row>
    <row r="1682" spans="1:34">
      <c r="A1682" s="372" t="s">
        <v>11152</v>
      </c>
      <c r="B1682" s="373" t="s">
        <v>11153</v>
      </c>
      <c r="C1682" s="372" t="s">
        <v>11154</v>
      </c>
      <c r="D1682" s="374">
        <v>1101110860216</v>
      </c>
      <c r="E1682" s="372" t="s">
        <v>11155</v>
      </c>
      <c r="F1682" s="375" t="s">
        <v>10360</v>
      </c>
      <c r="G1682" s="375" t="s">
        <v>11156</v>
      </c>
      <c r="H1682" s="375" t="s">
        <v>868</v>
      </c>
      <c r="I1682" s="375" t="s">
        <v>869</v>
      </c>
      <c r="J1682" s="375">
        <v>425883.97425000003</v>
      </c>
      <c r="K1682" s="375">
        <v>4848.4050100000004</v>
      </c>
      <c r="L1682" s="375">
        <v>-7336.6542499999996</v>
      </c>
      <c r="M1682" s="375">
        <v>122803.95389999999</v>
      </c>
      <c r="N1682" s="372">
        <v>0.96699999999999997</v>
      </c>
      <c r="O1682" s="703">
        <v>81.615865531966776</v>
      </c>
      <c r="P1682" s="375" t="s">
        <v>623</v>
      </c>
      <c r="Q1682" s="372" t="s">
        <v>623</v>
      </c>
      <c r="R1682" s="695">
        <v>20030725</v>
      </c>
      <c r="S1682" s="372" t="s">
        <v>11157</v>
      </c>
      <c r="T1682" s="696" t="s">
        <v>772</v>
      </c>
      <c r="U1682" s="372" t="s">
        <v>11158</v>
      </c>
      <c r="V1682" s="722">
        <v>15.68</v>
      </c>
      <c r="W1682" s="722">
        <v>1.18</v>
      </c>
      <c r="X1682" s="722">
        <v>0.21</v>
      </c>
      <c r="Y1682" s="722" t="s">
        <v>774</v>
      </c>
      <c r="Z1682" s="382" t="s">
        <v>934</v>
      </c>
      <c r="AA1682" s="372">
        <v>3302.4350616000002</v>
      </c>
      <c r="AB1682" s="372">
        <v>3886.0588232999999</v>
      </c>
      <c r="AC1682" s="372">
        <v>4457.1010649999998</v>
      </c>
      <c r="AD1682" s="372">
        <v>4258.8397425000003</v>
      </c>
      <c r="AE1682" s="372">
        <v>0</v>
      </c>
      <c r="AF1682" s="372">
        <v>0</v>
      </c>
      <c r="AG1682" s="372">
        <v>0</v>
      </c>
      <c r="AH1682" s="372">
        <v>0</v>
      </c>
    </row>
    <row r="1683" spans="1:34">
      <c r="A1683" s="372" t="s">
        <v>11159</v>
      </c>
      <c r="B1683" s="373" t="s">
        <v>11160</v>
      </c>
      <c r="C1683" s="372" t="s">
        <v>11161</v>
      </c>
      <c r="D1683" s="374">
        <v>1101116142668</v>
      </c>
      <c r="E1683" s="372" t="s">
        <v>11162</v>
      </c>
      <c r="F1683" s="375" t="s">
        <v>1334</v>
      </c>
      <c r="G1683" s="375" t="s">
        <v>1334</v>
      </c>
      <c r="H1683" s="375" t="s">
        <v>868</v>
      </c>
      <c r="I1683" s="375" t="s">
        <v>869</v>
      </c>
      <c r="J1683" s="375">
        <v>151046.48434</v>
      </c>
      <c r="K1683" s="375">
        <v>6622.7470300000004</v>
      </c>
      <c r="L1683" s="375">
        <v>5657.6338299999998</v>
      </c>
      <c r="M1683" s="375">
        <v>102746.53575</v>
      </c>
      <c r="N1683" s="372" t="s">
        <v>1033</v>
      </c>
      <c r="O1683" s="703">
        <v>38.849158172118528</v>
      </c>
      <c r="P1683" s="375" t="s">
        <v>623</v>
      </c>
      <c r="Q1683" s="375" t="s">
        <v>623</v>
      </c>
      <c r="R1683" s="695">
        <v>20220929</v>
      </c>
      <c r="S1683" s="375" t="s">
        <v>11163</v>
      </c>
      <c r="T1683" s="696">
        <v>0.20900000000000002</v>
      </c>
      <c r="U1683" s="372" t="s">
        <v>11164</v>
      </c>
      <c r="V1683" s="722">
        <v>0</v>
      </c>
      <c r="W1683" s="722">
        <v>0.73</v>
      </c>
      <c r="X1683" s="722">
        <v>0</v>
      </c>
      <c r="Y1683" s="722">
        <v>0</v>
      </c>
      <c r="Z1683" s="382" t="s">
        <v>934</v>
      </c>
      <c r="AA1683" s="372">
        <v>979.22646959999997</v>
      </c>
      <c r="AB1683" s="372">
        <v>1149.6399323999999</v>
      </c>
      <c r="AC1683" s="372">
        <v>1381.0931911</v>
      </c>
      <c r="AD1683" s="372">
        <v>1510.4648434000001</v>
      </c>
      <c r="AE1683" s="372">
        <v>0</v>
      </c>
      <c r="AF1683" s="372">
        <v>0</v>
      </c>
      <c r="AG1683" s="372">
        <v>0</v>
      </c>
      <c r="AH1683" s="372">
        <v>0</v>
      </c>
    </row>
    <row r="1684" spans="1:34">
      <c r="A1684" s="372" t="s">
        <v>11165</v>
      </c>
      <c r="B1684" s="373" t="s">
        <v>11166</v>
      </c>
      <c r="C1684" s="372" t="s">
        <v>16187</v>
      </c>
      <c r="D1684" s="374">
        <v>1351110047782</v>
      </c>
      <c r="E1684" s="372" t="s">
        <v>16080</v>
      </c>
      <c r="F1684" s="375" t="s">
        <v>1259</v>
      </c>
      <c r="G1684" s="375" t="s">
        <v>1259</v>
      </c>
      <c r="H1684" s="375" t="s">
        <v>868</v>
      </c>
      <c r="I1684" s="375" t="s">
        <v>869</v>
      </c>
      <c r="J1684" s="375">
        <v>64214.830710000002</v>
      </c>
      <c r="K1684" s="375">
        <v>5343.8070100000004</v>
      </c>
      <c r="L1684" s="375">
        <v>4474.8175899999997</v>
      </c>
      <c r="M1684" s="375">
        <v>115632.72735</v>
      </c>
      <c r="N1684" s="372">
        <v>0.96899999999999997</v>
      </c>
      <c r="O1684" s="703">
        <v>1.1517143880577525</v>
      </c>
      <c r="P1684" s="375" t="s">
        <v>623</v>
      </c>
      <c r="Q1684" s="372" t="s">
        <v>623</v>
      </c>
      <c r="R1684" s="695">
        <v>20040204</v>
      </c>
      <c r="S1684" s="372" t="s">
        <v>2255</v>
      </c>
      <c r="T1684" s="696">
        <v>0.20900000000000002</v>
      </c>
      <c r="U1684" s="372" t="s">
        <v>11167</v>
      </c>
      <c r="V1684" s="722">
        <v>0</v>
      </c>
      <c r="W1684" s="722">
        <v>0.7</v>
      </c>
      <c r="X1684" s="722">
        <v>0</v>
      </c>
      <c r="Y1684" s="722">
        <v>0</v>
      </c>
      <c r="Z1684" s="382" t="s">
        <v>934</v>
      </c>
      <c r="AA1684" s="372">
        <v>613.23524050000003</v>
      </c>
      <c r="AB1684" s="372">
        <v>604.00509529999999</v>
      </c>
      <c r="AC1684" s="372">
        <v>620.36332949999996</v>
      </c>
      <c r="AD1684" s="372">
        <v>642.14830710000001</v>
      </c>
      <c r="AE1684" s="372">
        <v>0</v>
      </c>
      <c r="AF1684" s="372">
        <v>0</v>
      </c>
      <c r="AG1684" s="372">
        <v>0</v>
      </c>
      <c r="AH1684" s="372">
        <v>0</v>
      </c>
    </row>
    <row r="1685" spans="1:34">
      <c r="A1685" s="372" t="s">
        <v>11168</v>
      </c>
      <c r="B1685" s="373" t="s">
        <v>11169</v>
      </c>
      <c r="C1685" s="372" t="s">
        <v>11170</v>
      </c>
      <c r="D1685" s="374">
        <v>1942110033580</v>
      </c>
      <c r="E1685" s="372" t="s">
        <v>11171</v>
      </c>
      <c r="F1685" s="375" t="s">
        <v>2450</v>
      </c>
      <c r="G1685" s="375" t="s">
        <v>6132</v>
      </c>
      <c r="H1685" s="375" t="s">
        <v>868</v>
      </c>
      <c r="I1685" s="375" t="s">
        <v>869</v>
      </c>
      <c r="J1685" s="375">
        <v>231000.54871999999</v>
      </c>
      <c r="K1685" s="375">
        <v>10711.60946</v>
      </c>
      <c r="L1685" s="375">
        <v>9572.8808399999998</v>
      </c>
      <c r="M1685" s="375">
        <v>105125.02916000001</v>
      </c>
      <c r="N1685" s="372">
        <v>1.1919999999999999</v>
      </c>
      <c r="O1685" s="703">
        <v>104.18477914576223</v>
      </c>
      <c r="P1685" s="375" t="s">
        <v>623</v>
      </c>
      <c r="Q1685" s="372" t="s">
        <v>623</v>
      </c>
      <c r="R1685" s="695">
        <v>20010608</v>
      </c>
      <c r="S1685" s="372" t="s">
        <v>11172</v>
      </c>
      <c r="T1685" s="696">
        <v>0.20900000000000002</v>
      </c>
      <c r="U1685" s="372" t="s">
        <v>11173</v>
      </c>
      <c r="V1685" s="722">
        <v>6.93</v>
      </c>
      <c r="W1685" s="722">
        <v>0.9</v>
      </c>
      <c r="X1685" s="722">
        <v>0.39</v>
      </c>
      <c r="Y1685" s="722">
        <v>10.220000000000001</v>
      </c>
      <c r="Z1685" s="382" t="s">
        <v>934</v>
      </c>
      <c r="AA1685" s="372">
        <v>1778.0623676</v>
      </c>
      <c r="AB1685" s="372">
        <v>1947.4686222</v>
      </c>
      <c r="AC1685" s="372">
        <v>2182.2244400999998</v>
      </c>
      <c r="AD1685" s="372">
        <v>2310.0054872000001</v>
      </c>
      <c r="AE1685" s="372">
        <v>0</v>
      </c>
      <c r="AF1685" s="372">
        <v>0</v>
      </c>
      <c r="AG1685" s="372">
        <v>0</v>
      </c>
      <c r="AH1685" s="372">
        <v>0</v>
      </c>
    </row>
    <row r="1686" spans="1:34">
      <c r="A1686" s="372" t="s">
        <v>11174</v>
      </c>
      <c r="B1686" s="373" t="s">
        <v>11175</v>
      </c>
      <c r="C1686" s="372" t="s">
        <v>11176</v>
      </c>
      <c r="D1686" s="374">
        <v>1801110001494</v>
      </c>
      <c r="E1686" s="372" t="s">
        <v>11177</v>
      </c>
      <c r="F1686" s="372" t="s">
        <v>11178</v>
      </c>
      <c r="G1686" s="375" t="s">
        <v>11178</v>
      </c>
      <c r="H1686" s="375" t="s">
        <v>1327</v>
      </c>
      <c r="I1686" s="375" t="s">
        <v>755</v>
      </c>
      <c r="J1686" s="375">
        <v>319058.61865000002</v>
      </c>
      <c r="K1686" s="375">
        <v>7989.2709999999997</v>
      </c>
      <c r="L1686" s="375">
        <v>4529.7769399999997</v>
      </c>
      <c r="M1686" s="375">
        <v>106925.91094</v>
      </c>
      <c r="N1686" s="372">
        <v>0.79500000000000004</v>
      </c>
      <c r="O1686" s="703">
        <v>156.41370385944649</v>
      </c>
      <c r="P1686" s="375" t="s">
        <v>623</v>
      </c>
      <c r="Q1686" s="375" t="s">
        <v>623</v>
      </c>
      <c r="R1686" s="695">
        <v>19910114</v>
      </c>
      <c r="S1686" s="375" t="s">
        <v>11179</v>
      </c>
      <c r="T1686" s="696">
        <v>0.20900000000000002</v>
      </c>
      <c r="U1686" s="372" t="s">
        <v>11180</v>
      </c>
      <c r="V1686" s="722">
        <v>14.87</v>
      </c>
      <c r="W1686" s="722">
        <v>0.73</v>
      </c>
      <c r="X1686" s="722">
        <v>0.25</v>
      </c>
      <c r="Y1686" s="722">
        <v>23.13</v>
      </c>
      <c r="Z1686" s="382" t="s">
        <v>934</v>
      </c>
      <c r="AA1686" s="372">
        <v>1905.0455734</v>
      </c>
      <c r="AB1686" s="372">
        <v>2134.8655149000001</v>
      </c>
      <c r="AC1686" s="372">
        <v>2783.7067723999999</v>
      </c>
      <c r="AD1686" s="372">
        <v>3190.5861865000002</v>
      </c>
      <c r="AE1686" s="372">
        <v>0</v>
      </c>
      <c r="AF1686" s="372">
        <v>0</v>
      </c>
      <c r="AG1686" s="372">
        <v>0</v>
      </c>
      <c r="AH1686" s="372">
        <v>0</v>
      </c>
    </row>
    <row r="1687" spans="1:34">
      <c r="A1687" s="372" t="s">
        <v>11181</v>
      </c>
      <c r="B1687" s="373" t="s">
        <v>11182</v>
      </c>
      <c r="C1687" s="372" t="s">
        <v>11183</v>
      </c>
      <c r="D1687" s="374">
        <v>1101112017922</v>
      </c>
      <c r="E1687" s="372" t="s">
        <v>11184</v>
      </c>
      <c r="F1687" s="372" t="s">
        <v>3584</v>
      </c>
      <c r="G1687" s="375" t="s">
        <v>3584</v>
      </c>
      <c r="H1687" s="375" t="s">
        <v>1348</v>
      </c>
      <c r="I1687" s="375" t="s">
        <v>869</v>
      </c>
      <c r="J1687" s="375">
        <v>29582.881170000001</v>
      </c>
      <c r="K1687" s="375">
        <v>6069.1598700000004</v>
      </c>
      <c r="L1687" s="375">
        <v>8774.5778200000004</v>
      </c>
      <c r="M1687" s="375">
        <v>59010.403469999997</v>
      </c>
      <c r="N1687" s="372">
        <v>0.89500000000000002</v>
      </c>
      <c r="O1687" s="703">
        <v>28.972003024883264</v>
      </c>
      <c r="P1687" s="375" t="s">
        <v>623</v>
      </c>
      <c r="Q1687" s="375" t="s">
        <v>623</v>
      </c>
      <c r="R1687" s="695">
        <v>20130701</v>
      </c>
      <c r="S1687" s="372" t="s">
        <v>11185</v>
      </c>
      <c r="T1687" s="696">
        <v>0.20900000000000002</v>
      </c>
      <c r="U1687" s="372" t="s">
        <v>11186</v>
      </c>
      <c r="V1687" s="722">
        <v>11.63</v>
      </c>
      <c r="W1687" s="722">
        <v>1.23</v>
      </c>
      <c r="X1687" s="722">
        <v>2.7</v>
      </c>
      <c r="Y1687" s="722">
        <v>10.28</v>
      </c>
      <c r="Z1687" s="382" t="s">
        <v>934</v>
      </c>
      <c r="AA1687" s="372">
        <v>210.71977419999999</v>
      </c>
      <c r="AB1687" s="372">
        <v>255.24250430000001</v>
      </c>
      <c r="AC1687" s="372">
        <v>284.22917669999998</v>
      </c>
      <c r="AD1687" s="372">
        <v>295.82881170000002</v>
      </c>
      <c r="AE1687" s="372">
        <v>0</v>
      </c>
      <c r="AF1687" s="372">
        <v>0</v>
      </c>
      <c r="AG1687" s="372">
        <v>0</v>
      </c>
      <c r="AH1687" s="372">
        <v>0</v>
      </c>
    </row>
    <row r="1688" spans="1:34">
      <c r="A1688" s="372" t="s">
        <v>11187</v>
      </c>
      <c r="B1688" s="373" t="s">
        <v>11188</v>
      </c>
      <c r="C1688" s="372" t="s">
        <v>11189</v>
      </c>
      <c r="D1688" s="374">
        <v>1101111800659</v>
      </c>
      <c r="E1688" s="372" t="s">
        <v>11190</v>
      </c>
      <c r="F1688" s="375" t="s">
        <v>3584</v>
      </c>
      <c r="G1688" s="375" t="s">
        <v>3584</v>
      </c>
      <c r="H1688" s="375" t="s">
        <v>1693</v>
      </c>
      <c r="I1688" s="375" t="s">
        <v>869</v>
      </c>
      <c r="J1688" s="375">
        <v>106955.41949</v>
      </c>
      <c r="K1688" s="375">
        <v>5716.9989999999998</v>
      </c>
      <c r="L1688" s="375">
        <v>9162.1440700000003</v>
      </c>
      <c r="M1688" s="375">
        <v>76369.944180000006</v>
      </c>
      <c r="N1688" s="372">
        <v>0.67100000000000004</v>
      </c>
      <c r="O1688" s="703">
        <v>4.2468274497184275</v>
      </c>
      <c r="P1688" s="375" t="s">
        <v>623</v>
      </c>
      <c r="Q1688" s="372" t="s">
        <v>623</v>
      </c>
      <c r="R1688" s="695">
        <v>20100804</v>
      </c>
      <c r="S1688" s="372" t="s">
        <v>11191</v>
      </c>
      <c r="T1688" s="696">
        <v>0.20900000000000002</v>
      </c>
      <c r="U1688" s="372" t="s">
        <v>16081</v>
      </c>
      <c r="V1688" s="722">
        <v>8.3699999999999992</v>
      </c>
      <c r="W1688" s="722">
        <v>0.87</v>
      </c>
      <c r="X1688" s="722">
        <v>0.64</v>
      </c>
      <c r="Y1688" s="722">
        <v>7.91</v>
      </c>
      <c r="Z1688" s="382" t="s">
        <v>934</v>
      </c>
      <c r="AA1688" s="372">
        <v>817.27314639999997</v>
      </c>
      <c r="AB1688" s="372">
        <v>920.44388909999998</v>
      </c>
      <c r="AC1688" s="372">
        <v>1030.0602458999999</v>
      </c>
      <c r="AD1688" s="372">
        <v>1069.5541949000001</v>
      </c>
      <c r="AE1688" s="372">
        <v>1283</v>
      </c>
      <c r="AF1688" s="372">
        <v>0</v>
      </c>
      <c r="AG1688" s="372">
        <v>0</v>
      </c>
      <c r="AH1688" s="372">
        <v>0</v>
      </c>
    </row>
    <row r="1689" spans="1:34">
      <c r="A1689" s="372" t="s">
        <v>11192</v>
      </c>
      <c r="B1689" s="373" t="s">
        <v>11193</v>
      </c>
      <c r="C1689" s="372" t="s">
        <v>11194</v>
      </c>
      <c r="D1689" s="374">
        <v>1101110770548</v>
      </c>
      <c r="E1689" s="372" t="s">
        <v>11195</v>
      </c>
      <c r="F1689" s="372" t="s">
        <v>5680</v>
      </c>
      <c r="G1689" s="375" t="s">
        <v>5680</v>
      </c>
      <c r="H1689" s="375" t="s">
        <v>868</v>
      </c>
      <c r="I1689" s="375" t="s">
        <v>869</v>
      </c>
      <c r="J1689" s="375">
        <v>96398.616290000005</v>
      </c>
      <c r="K1689" s="375">
        <v>6331.1718700000001</v>
      </c>
      <c r="L1689" s="375">
        <v>5164.6624499999998</v>
      </c>
      <c r="M1689" s="375">
        <v>86088.812040000004</v>
      </c>
      <c r="N1689" s="372">
        <v>0.93</v>
      </c>
      <c r="O1689" s="703">
        <v>31.909013020854673</v>
      </c>
      <c r="P1689" s="375" t="s">
        <v>623</v>
      </c>
      <c r="Q1689" s="375" t="s">
        <v>623</v>
      </c>
      <c r="R1689" s="695">
        <v>19970416</v>
      </c>
      <c r="S1689" s="375" t="s">
        <v>11196</v>
      </c>
      <c r="T1689" s="696">
        <v>0.20900000000000002</v>
      </c>
      <c r="U1689" s="372" t="s">
        <v>11197</v>
      </c>
      <c r="V1689" s="722">
        <v>10.32</v>
      </c>
      <c r="W1689" s="722">
        <v>1</v>
      </c>
      <c r="X1689" s="722">
        <v>0.89</v>
      </c>
      <c r="Y1689" s="722">
        <v>18.32</v>
      </c>
      <c r="Z1689" s="382" t="s">
        <v>934</v>
      </c>
      <c r="AA1689" s="372">
        <v>556.28185710000002</v>
      </c>
      <c r="AB1689" s="372">
        <v>618.54165079999996</v>
      </c>
      <c r="AC1689" s="372">
        <v>859.11499260000005</v>
      </c>
      <c r="AD1689" s="372">
        <v>963.98616289999995</v>
      </c>
      <c r="AE1689" s="372">
        <v>1022</v>
      </c>
      <c r="AF1689" s="372">
        <v>0</v>
      </c>
      <c r="AG1689" s="372">
        <v>0</v>
      </c>
      <c r="AH1689" s="372">
        <v>0</v>
      </c>
    </row>
    <row r="1690" spans="1:34">
      <c r="A1690" s="372" t="s">
        <v>11198</v>
      </c>
      <c r="B1690" s="373" t="s">
        <v>11199</v>
      </c>
      <c r="C1690" s="372" t="s">
        <v>11200</v>
      </c>
      <c r="D1690" s="374">
        <v>1101113175969</v>
      </c>
      <c r="E1690" s="372" t="s">
        <v>11201</v>
      </c>
      <c r="F1690" s="375" t="s">
        <v>1814</v>
      </c>
      <c r="G1690" s="375" t="s">
        <v>1815</v>
      </c>
      <c r="H1690" s="375" t="s">
        <v>1693</v>
      </c>
      <c r="I1690" s="375" t="s">
        <v>869</v>
      </c>
      <c r="J1690" s="375">
        <v>33291.839460000003</v>
      </c>
      <c r="K1690" s="375">
        <v>-4541.1809800000001</v>
      </c>
      <c r="L1690" s="375">
        <v>-5047.1009599999998</v>
      </c>
      <c r="M1690" s="375">
        <v>42384.228479999998</v>
      </c>
      <c r="N1690" s="372">
        <v>1.087</v>
      </c>
      <c r="O1690" s="703">
        <v>3.3195018115089154</v>
      </c>
      <c r="P1690" s="375" t="s">
        <v>623</v>
      </c>
      <c r="Q1690" s="372" t="s">
        <v>623</v>
      </c>
      <c r="R1690" s="695">
        <v>20210812</v>
      </c>
      <c r="S1690" s="375" t="s">
        <v>11202</v>
      </c>
      <c r="T1690" s="696" t="s">
        <v>772</v>
      </c>
      <c r="U1690" s="372" t="s">
        <v>11203</v>
      </c>
      <c r="V1690" s="722">
        <v>0</v>
      </c>
      <c r="W1690" s="722">
        <v>1.62</v>
      </c>
      <c r="X1690" s="722">
        <v>0</v>
      </c>
      <c r="Y1690" s="722">
        <v>0</v>
      </c>
      <c r="Z1690" s="382" t="s">
        <v>934</v>
      </c>
      <c r="AA1690" s="372">
        <v>393.76204469999999</v>
      </c>
      <c r="AB1690" s="372">
        <v>418.9336644</v>
      </c>
      <c r="AC1690" s="372">
        <v>499.57146719999997</v>
      </c>
      <c r="AD1690" s="372">
        <v>332.9183946</v>
      </c>
      <c r="AE1690" s="372">
        <v>0</v>
      </c>
      <c r="AF1690" s="372">
        <v>0</v>
      </c>
      <c r="AG1690" s="372">
        <v>0</v>
      </c>
      <c r="AH1690" s="372">
        <v>0</v>
      </c>
    </row>
    <row r="1691" spans="1:34">
      <c r="A1691" s="372" t="s">
        <v>11204</v>
      </c>
      <c r="B1691" s="373" t="s">
        <v>11205</v>
      </c>
      <c r="C1691" s="372" t="s">
        <v>11206</v>
      </c>
      <c r="D1691" s="374">
        <v>1501110123252</v>
      </c>
      <c r="E1691" s="372" t="s">
        <v>11207</v>
      </c>
      <c r="F1691" s="375" t="s">
        <v>2147</v>
      </c>
      <c r="G1691" s="375" t="s">
        <v>4273</v>
      </c>
      <c r="H1691" s="375" t="s">
        <v>868</v>
      </c>
      <c r="I1691" s="375" t="s">
        <v>869</v>
      </c>
      <c r="J1691" s="375">
        <v>5367.4234500000002</v>
      </c>
      <c r="K1691" s="375">
        <v>-19375.745650000001</v>
      </c>
      <c r="L1691" s="375">
        <v>-25807.854930000001</v>
      </c>
      <c r="M1691" s="375">
        <v>36328.82978</v>
      </c>
      <c r="N1691" s="372">
        <v>0.76500000000000001</v>
      </c>
      <c r="O1691" s="703">
        <v>21.745125111932843</v>
      </c>
      <c r="P1691" s="375" t="s">
        <v>623</v>
      </c>
      <c r="Q1691" s="375" t="s">
        <v>623</v>
      </c>
      <c r="R1691" s="695">
        <v>20150622</v>
      </c>
      <c r="S1691" s="375" t="s">
        <v>11208</v>
      </c>
      <c r="T1691" s="696" t="s">
        <v>772</v>
      </c>
      <c r="U1691" s="372" t="s">
        <v>11209</v>
      </c>
      <c r="V1691" s="722" t="s">
        <v>774</v>
      </c>
      <c r="W1691" s="722">
        <v>2.1800000000000002</v>
      </c>
      <c r="X1691" s="722">
        <v>9.01</v>
      </c>
      <c r="Y1691" s="722" t="s">
        <v>774</v>
      </c>
      <c r="Z1691" s="382" t="s">
        <v>934</v>
      </c>
      <c r="AA1691" s="372">
        <v>456.71908239999999</v>
      </c>
      <c r="AB1691" s="372">
        <v>303.02075600000001</v>
      </c>
      <c r="AC1691" s="372">
        <v>161.11429179999999</v>
      </c>
      <c r="AD1691" s="372">
        <v>53.674234499999997</v>
      </c>
      <c r="AE1691" s="372">
        <v>0</v>
      </c>
      <c r="AF1691" s="372">
        <v>0</v>
      </c>
      <c r="AG1691" s="372">
        <v>0</v>
      </c>
      <c r="AH1691" s="372">
        <v>0</v>
      </c>
    </row>
    <row r="1692" spans="1:34">
      <c r="A1692" s="372" t="s">
        <v>11210</v>
      </c>
      <c r="B1692" s="373" t="s">
        <v>11211</v>
      </c>
      <c r="C1692" s="372" t="s">
        <v>11212</v>
      </c>
      <c r="D1692" s="374">
        <v>1101111990335</v>
      </c>
      <c r="E1692" s="372" t="s">
        <v>11213</v>
      </c>
      <c r="F1692" s="375" t="s">
        <v>11214</v>
      </c>
      <c r="G1692" s="375" t="s">
        <v>11214</v>
      </c>
      <c r="H1692" s="375" t="s">
        <v>1348</v>
      </c>
      <c r="I1692" s="375" t="s">
        <v>869</v>
      </c>
      <c r="J1692" s="375">
        <v>60480.863490000003</v>
      </c>
      <c r="K1692" s="375">
        <v>5121.86276</v>
      </c>
      <c r="L1692" s="375">
        <v>6272.2611699999998</v>
      </c>
      <c r="M1692" s="375">
        <v>51732.464690000001</v>
      </c>
      <c r="N1692" s="372">
        <v>0.89600000000000002</v>
      </c>
      <c r="O1692" s="703">
        <v>15.545775955342567</v>
      </c>
      <c r="P1692" s="375" t="s">
        <v>623</v>
      </c>
      <c r="Q1692" s="375" t="s">
        <v>623</v>
      </c>
      <c r="R1692" s="695">
        <v>20040604</v>
      </c>
      <c r="S1692" s="375" t="s">
        <v>11215</v>
      </c>
      <c r="T1692" s="696">
        <v>0.20900000000000002</v>
      </c>
      <c r="U1692" s="372" t="s">
        <v>11216</v>
      </c>
      <c r="V1692" s="722">
        <v>8.6999999999999993</v>
      </c>
      <c r="W1692" s="722">
        <v>1.48</v>
      </c>
      <c r="X1692" s="722">
        <v>1.3</v>
      </c>
      <c r="Y1692" s="722">
        <v>15.52</v>
      </c>
      <c r="Z1692" s="382" t="s">
        <v>934</v>
      </c>
      <c r="AA1692" s="372">
        <v>526.04366560000005</v>
      </c>
      <c r="AB1692" s="372">
        <v>583.31472710000003</v>
      </c>
      <c r="AC1692" s="372">
        <v>625.6252988</v>
      </c>
      <c r="AD1692" s="372">
        <v>604.80863490000002</v>
      </c>
      <c r="AE1692" s="372">
        <v>0</v>
      </c>
      <c r="AF1692" s="372">
        <v>0</v>
      </c>
      <c r="AG1692" s="372">
        <v>0</v>
      </c>
      <c r="AH1692" s="372">
        <v>0</v>
      </c>
    </row>
    <row r="1693" spans="1:34">
      <c r="A1693" s="372" t="s">
        <v>11217</v>
      </c>
      <c r="B1693" s="373" t="s">
        <v>11218</v>
      </c>
      <c r="C1693" s="372" t="s">
        <v>11219</v>
      </c>
      <c r="D1693" s="374">
        <v>1101116201737</v>
      </c>
      <c r="E1693" s="372" t="s">
        <v>11220</v>
      </c>
      <c r="F1693" s="375" t="s">
        <v>10547</v>
      </c>
      <c r="G1693" s="375" t="s">
        <v>11221</v>
      </c>
      <c r="H1693" s="375" t="s">
        <v>868</v>
      </c>
      <c r="I1693" s="375" t="s">
        <v>869</v>
      </c>
      <c r="J1693" s="375">
        <v>26151.553510000002</v>
      </c>
      <c r="K1693" s="375">
        <v>-8971.6750900000006</v>
      </c>
      <c r="L1693" s="375">
        <v>-8638.1303200000002</v>
      </c>
      <c r="M1693" s="375">
        <v>70887.967390000005</v>
      </c>
      <c r="N1693" s="372">
        <v>0.94699999999999995</v>
      </c>
      <c r="O1693" s="703">
        <v>21.142036565210244</v>
      </c>
      <c r="P1693" s="375" t="s">
        <v>623</v>
      </c>
      <c r="Q1693" s="375" t="s">
        <v>623</v>
      </c>
      <c r="R1693" s="695">
        <v>20170502</v>
      </c>
      <c r="S1693" s="375" t="s">
        <v>11222</v>
      </c>
      <c r="T1693" s="696" t="s">
        <v>772</v>
      </c>
      <c r="U1693" s="372" t="s">
        <v>11223</v>
      </c>
      <c r="V1693" s="722" t="s">
        <v>774</v>
      </c>
      <c r="W1693" s="722">
        <v>1.28</v>
      </c>
      <c r="X1693" s="722">
        <v>3.65</v>
      </c>
      <c r="Y1693" s="722" t="s">
        <v>774</v>
      </c>
      <c r="Z1693" s="382" t="s">
        <v>934</v>
      </c>
      <c r="AA1693" s="372">
        <v>561.71445289999997</v>
      </c>
      <c r="AB1693" s="372">
        <v>453.5295443</v>
      </c>
      <c r="AC1693" s="372">
        <v>393.89905119999997</v>
      </c>
      <c r="AD1693" s="372">
        <v>261.51553510000002</v>
      </c>
      <c r="AE1693" s="372">
        <v>0</v>
      </c>
      <c r="AF1693" s="372">
        <v>0</v>
      </c>
      <c r="AG1693" s="372">
        <v>0</v>
      </c>
      <c r="AH1693" s="372">
        <v>0</v>
      </c>
    </row>
    <row r="1694" spans="1:34">
      <c r="A1694" s="372" t="s">
        <v>11224</v>
      </c>
      <c r="B1694" s="373" t="s">
        <v>11225</v>
      </c>
      <c r="C1694" s="372" t="s">
        <v>11226</v>
      </c>
      <c r="D1694" s="374">
        <v>1801110047399</v>
      </c>
      <c r="E1694" s="372" t="s">
        <v>11227</v>
      </c>
      <c r="F1694" s="375" t="s">
        <v>2207</v>
      </c>
      <c r="G1694" s="375" t="s">
        <v>2208</v>
      </c>
      <c r="H1694" s="375" t="s">
        <v>868</v>
      </c>
      <c r="I1694" s="375" t="s">
        <v>869</v>
      </c>
      <c r="J1694" s="375">
        <v>70580.550189999994</v>
      </c>
      <c r="K1694" s="375">
        <v>8974.5253100000009</v>
      </c>
      <c r="L1694" s="375">
        <v>17496.79708</v>
      </c>
      <c r="M1694" s="375">
        <v>207237.84716</v>
      </c>
      <c r="N1694" s="372">
        <v>0.78300000000000003</v>
      </c>
      <c r="O1694" s="703">
        <v>0.18940213710083989</v>
      </c>
      <c r="P1694" s="375" t="s">
        <v>623</v>
      </c>
      <c r="Q1694" s="375" t="s">
        <v>623</v>
      </c>
      <c r="R1694" s="695">
        <v>20010112</v>
      </c>
      <c r="S1694" s="375" t="s">
        <v>11228</v>
      </c>
      <c r="T1694" s="696">
        <v>0.20900000000000002</v>
      </c>
      <c r="U1694" s="372" t="s">
        <v>11229</v>
      </c>
      <c r="V1694" s="722">
        <v>6.61</v>
      </c>
      <c r="W1694" s="722">
        <v>0.4</v>
      </c>
      <c r="X1694" s="722">
        <v>1.17</v>
      </c>
      <c r="Y1694" s="722">
        <v>5.39</v>
      </c>
      <c r="Z1694" s="382" t="s">
        <v>934</v>
      </c>
      <c r="AA1694" s="372">
        <v>621.13395979999996</v>
      </c>
      <c r="AB1694" s="372">
        <v>778.19354639999995</v>
      </c>
      <c r="AC1694" s="372">
        <v>827.10338750000005</v>
      </c>
      <c r="AD1694" s="372">
        <v>705.80550189999997</v>
      </c>
      <c r="AE1694" s="372">
        <v>0</v>
      </c>
      <c r="AF1694" s="372">
        <v>0</v>
      </c>
      <c r="AG1694" s="372">
        <v>0</v>
      </c>
      <c r="AH1694" s="372">
        <v>0</v>
      </c>
    </row>
    <row r="1695" spans="1:34">
      <c r="A1695" s="372" t="s">
        <v>11230</v>
      </c>
      <c r="B1695" s="373" t="s">
        <v>11231</v>
      </c>
      <c r="C1695" s="372" t="s">
        <v>11232</v>
      </c>
      <c r="D1695" s="374">
        <v>1101110822159</v>
      </c>
      <c r="E1695" s="372" t="s">
        <v>11233</v>
      </c>
      <c r="F1695" s="372" t="s">
        <v>5674</v>
      </c>
      <c r="G1695" s="375" t="s">
        <v>5674</v>
      </c>
      <c r="H1695" s="375" t="s">
        <v>868</v>
      </c>
      <c r="I1695" s="375" t="s">
        <v>869</v>
      </c>
      <c r="J1695" s="375">
        <v>251061.34818999999</v>
      </c>
      <c r="K1695" s="375">
        <v>-1532.49639</v>
      </c>
      <c r="L1695" s="375">
        <v>-2550.0281300000001</v>
      </c>
      <c r="M1695" s="375">
        <v>157685.26683000001</v>
      </c>
      <c r="N1695" s="372">
        <v>0.84299999999999997</v>
      </c>
      <c r="O1695" s="703">
        <v>68.055835500319404</v>
      </c>
      <c r="P1695" s="375" t="s">
        <v>623</v>
      </c>
      <c r="Q1695" s="372" t="s">
        <v>623</v>
      </c>
      <c r="R1695" s="695">
        <v>20090423</v>
      </c>
      <c r="S1695" s="372" t="s">
        <v>11234</v>
      </c>
      <c r="T1695" s="696" t="s">
        <v>772</v>
      </c>
      <c r="U1695" s="372" t="s">
        <v>11235</v>
      </c>
      <c r="V1695" s="722">
        <v>0</v>
      </c>
      <c r="W1695" s="722">
        <v>0.5</v>
      </c>
      <c r="X1695" s="722">
        <v>0</v>
      </c>
      <c r="Y1695" s="722">
        <v>0</v>
      </c>
      <c r="Z1695" s="382" t="s">
        <v>934</v>
      </c>
      <c r="AA1695" s="372">
        <v>1326.1658603000001</v>
      </c>
      <c r="AB1695" s="372">
        <v>1895.4418377</v>
      </c>
      <c r="AC1695" s="372">
        <v>2577.4028576000001</v>
      </c>
      <c r="AD1695" s="372">
        <v>2510.6134818999999</v>
      </c>
      <c r="AE1695" s="372">
        <v>0</v>
      </c>
      <c r="AF1695" s="372">
        <v>0</v>
      </c>
      <c r="AG1695" s="372">
        <v>0</v>
      </c>
      <c r="AH1695" s="372">
        <v>0</v>
      </c>
    </row>
    <row r="1696" spans="1:34">
      <c r="A1696" s="372" t="s">
        <v>11236</v>
      </c>
      <c r="B1696" s="373" t="s">
        <v>11237</v>
      </c>
      <c r="C1696" s="372" t="s">
        <v>11238</v>
      </c>
      <c r="D1696" s="374">
        <v>1352110033862</v>
      </c>
      <c r="E1696" s="372" t="s">
        <v>11239</v>
      </c>
      <c r="F1696" s="375" t="s">
        <v>1285</v>
      </c>
      <c r="G1696" s="375" t="s">
        <v>1285</v>
      </c>
      <c r="H1696" s="375" t="s">
        <v>1388</v>
      </c>
      <c r="I1696" s="375" t="s">
        <v>869</v>
      </c>
      <c r="J1696" s="375">
        <v>156846.10186</v>
      </c>
      <c r="K1696" s="375">
        <v>4692.4051799999997</v>
      </c>
      <c r="L1696" s="375">
        <v>5872.49172</v>
      </c>
      <c r="M1696" s="375">
        <v>68270.109979999994</v>
      </c>
      <c r="N1696" s="372">
        <v>0.96899999999999997</v>
      </c>
      <c r="O1696" s="703">
        <v>0.49081049410013444</v>
      </c>
      <c r="P1696" s="375" t="s">
        <v>623</v>
      </c>
      <c r="Q1696" s="372" t="s">
        <v>623</v>
      </c>
      <c r="R1696" s="695">
        <v>20180828</v>
      </c>
      <c r="S1696" s="372" t="s">
        <v>11240</v>
      </c>
      <c r="T1696" s="696">
        <v>0.20900000000000002</v>
      </c>
      <c r="U1696" s="372" t="s">
        <v>11241</v>
      </c>
      <c r="V1696" s="722">
        <v>7.25</v>
      </c>
      <c r="W1696" s="722">
        <v>1.08</v>
      </c>
      <c r="X1696" s="722">
        <v>0.52</v>
      </c>
      <c r="Y1696" s="722">
        <v>14.12</v>
      </c>
      <c r="Z1696" s="382" t="s">
        <v>934</v>
      </c>
      <c r="AA1696" s="372">
        <v>1322.7316217</v>
      </c>
      <c r="AB1696" s="372">
        <v>923.26395349999996</v>
      </c>
      <c r="AC1696" s="372">
        <v>1329.8043514999999</v>
      </c>
      <c r="AD1696" s="372">
        <v>1568.4610186</v>
      </c>
      <c r="AE1696" s="372">
        <v>0</v>
      </c>
      <c r="AF1696" s="372">
        <v>0</v>
      </c>
      <c r="AG1696" s="372">
        <v>0</v>
      </c>
      <c r="AH1696" s="372">
        <v>0</v>
      </c>
    </row>
    <row r="1697" spans="1:34">
      <c r="A1697" s="372" t="s">
        <v>11242</v>
      </c>
      <c r="B1697" s="373" t="s">
        <v>11243</v>
      </c>
      <c r="C1697" s="372" t="s">
        <v>11244</v>
      </c>
      <c r="D1697" s="374">
        <v>1201110140484</v>
      </c>
      <c r="E1697" s="372" t="s">
        <v>11245</v>
      </c>
      <c r="F1697" s="372" t="s">
        <v>1005</v>
      </c>
      <c r="G1697" s="375" t="s">
        <v>1006</v>
      </c>
      <c r="H1697" s="375" t="s">
        <v>1388</v>
      </c>
      <c r="I1697" s="375" t="s">
        <v>869</v>
      </c>
      <c r="J1697" s="375">
        <v>237301.21862</v>
      </c>
      <c r="K1697" s="375">
        <v>13909.70089</v>
      </c>
      <c r="L1697" s="375">
        <v>12436.652889999999</v>
      </c>
      <c r="M1697" s="375">
        <v>100485.20812</v>
      </c>
      <c r="N1697" s="372">
        <v>1.3029999999999999</v>
      </c>
      <c r="O1697" s="703">
        <v>54.300601628261425</v>
      </c>
      <c r="P1697" s="375" t="s">
        <v>623</v>
      </c>
      <c r="Q1697" s="372" t="s">
        <v>623</v>
      </c>
      <c r="R1697" s="695">
        <v>20071024</v>
      </c>
      <c r="S1697" s="372" t="s">
        <v>11246</v>
      </c>
      <c r="T1697" s="696">
        <v>0.20900000000000002</v>
      </c>
      <c r="U1697" s="372" t="s">
        <v>11247</v>
      </c>
      <c r="V1697" s="722">
        <v>4.38</v>
      </c>
      <c r="W1697" s="722">
        <v>0.76</v>
      </c>
      <c r="X1697" s="722">
        <v>0.32</v>
      </c>
      <c r="Y1697" s="722">
        <v>7.43</v>
      </c>
      <c r="Z1697" s="382" t="s">
        <v>934</v>
      </c>
      <c r="AA1697" s="372">
        <v>1529.2763651</v>
      </c>
      <c r="AB1697" s="372">
        <v>1842.8418526999999</v>
      </c>
      <c r="AC1697" s="372">
        <v>2098.6781483999998</v>
      </c>
      <c r="AD1697" s="372">
        <v>2373.0121862000001</v>
      </c>
      <c r="AE1697" s="372">
        <v>0</v>
      </c>
      <c r="AF1697" s="372">
        <v>0</v>
      </c>
      <c r="AG1697" s="372">
        <v>0</v>
      </c>
      <c r="AH1697" s="372">
        <v>0</v>
      </c>
    </row>
    <row r="1698" spans="1:34">
      <c r="A1698" s="372" t="s">
        <v>11248</v>
      </c>
      <c r="B1698" s="373" t="s">
        <v>11249</v>
      </c>
      <c r="C1698" s="372" t="s">
        <v>11250</v>
      </c>
      <c r="D1698" s="374">
        <v>1801110515685</v>
      </c>
      <c r="E1698" s="372" t="s">
        <v>11251</v>
      </c>
      <c r="F1698" s="372" t="s">
        <v>2888</v>
      </c>
      <c r="G1698" s="375" t="s">
        <v>2889</v>
      </c>
      <c r="H1698" s="375" t="s">
        <v>868</v>
      </c>
      <c r="I1698" s="375" t="s">
        <v>869</v>
      </c>
      <c r="J1698" s="375">
        <v>47734.640829999997</v>
      </c>
      <c r="K1698" s="375">
        <v>6008.9918100000004</v>
      </c>
      <c r="L1698" s="375">
        <v>5411.3298000000004</v>
      </c>
      <c r="M1698" s="375">
        <v>61288.371010000003</v>
      </c>
      <c r="N1698" s="372">
        <v>1.304</v>
      </c>
      <c r="O1698" s="703">
        <v>37.794812660717248</v>
      </c>
      <c r="P1698" s="375" t="s">
        <v>623</v>
      </c>
      <c r="Q1698" s="372" t="s">
        <v>623</v>
      </c>
      <c r="R1698" s="695">
        <v>20220207</v>
      </c>
      <c r="S1698" s="372" t="s">
        <v>11252</v>
      </c>
      <c r="T1698" s="696">
        <v>0.20900000000000002</v>
      </c>
      <c r="U1698" s="372" t="s">
        <v>11253</v>
      </c>
      <c r="V1698" s="722">
        <v>11.64</v>
      </c>
      <c r="W1698" s="722">
        <v>1.23</v>
      </c>
      <c r="X1698" s="722">
        <v>1.57</v>
      </c>
      <c r="Y1698" s="722">
        <v>24.03</v>
      </c>
      <c r="Z1698" s="382" t="s">
        <v>934</v>
      </c>
      <c r="AA1698" s="372">
        <v>340.48822200000001</v>
      </c>
      <c r="AB1698" s="372">
        <v>420.2721128</v>
      </c>
      <c r="AC1698" s="372">
        <v>530.52773969999998</v>
      </c>
      <c r="AD1698" s="372">
        <v>477.34640830000001</v>
      </c>
      <c r="AE1698" s="372">
        <v>593</v>
      </c>
      <c r="AF1698" s="372">
        <v>719</v>
      </c>
      <c r="AG1698" s="372">
        <v>0</v>
      </c>
      <c r="AH1698" s="372">
        <v>0</v>
      </c>
    </row>
    <row r="1699" spans="1:34">
      <c r="A1699" s="372" t="s">
        <v>11254</v>
      </c>
      <c r="B1699" s="373" t="s">
        <v>11255</v>
      </c>
      <c r="C1699" s="372" t="s">
        <v>11256</v>
      </c>
      <c r="D1699" s="374">
        <v>1101110944036</v>
      </c>
      <c r="E1699" s="372" t="s">
        <v>11257</v>
      </c>
      <c r="F1699" s="375" t="s">
        <v>1814</v>
      </c>
      <c r="G1699" s="375" t="s">
        <v>2821</v>
      </c>
      <c r="H1699" s="375" t="s">
        <v>1693</v>
      </c>
      <c r="I1699" s="375" t="s">
        <v>869</v>
      </c>
      <c r="J1699" s="375">
        <v>55510.670310000001</v>
      </c>
      <c r="K1699" s="375">
        <v>2890.9556699999998</v>
      </c>
      <c r="L1699" s="375">
        <v>4257.1742599999998</v>
      </c>
      <c r="M1699" s="375">
        <v>44458.297290000002</v>
      </c>
      <c r="N1699" s="372">
        <v>0.90500000000000003</v>
      </c>
      <c r="O1699" s="703">
        <v>3.9673224213215694</v>
      </c>
      <c r="P1699" s="375" t="s">
        <v>623</v>
      </c>
      <c r="Q1699" s="372" t="s">
        <v>623</v>
      </c>
      <c r="R1699" s="695">
        <v>20200812</v>
      </c>
      <c r="S1699" s="372" t="s">
        <v>11258</v>
      </c>
      <c r="T1699" s="696">
        <v>0.20900000000000002</v>
      </c>
      <c r="U1699" s="372" t="s">
        <v>11259</v>
      </c>
      <c r="V1699" s="722">
        <v>18.77</v>
      </c>
      <c r="W1699" s="722">
        <v>1.61</v>
      </c>
      <c r="X1699" s="722">
        <v>1.34</v>
      </c>
      <c r="Y1699" s="722">
        <v>19.72</v>
      </c>
      <c r="Z1699" s="382" t="s">
        <v>934</v>
      </c>
      <c r="AA1699" s="372">
        <v>438.72409649999997</v>
      </c>
      <c r="AB1699" s="372">
        <v>477.05702480000002</v>
      </c>
      <c r="AC1699" s="372">
        <v>575.28932350000002</v>
      </c>
      <c r="AD1699" s="372">
        <v>555.1067031</v>
      </c>
      <c r="AE1699" s="372">
        <v>0</v>
      </c>
      <c r="AF1699" s="372">
        <v>0</v>
      </c>
      <c r="AG1699" s="372">
        <v>0</v>
      </c>
      <c r="AH1699" s="372">
        <v>0</v>
      </c>
    </row>
    <row r="1700" spans="1:34">
      <c r="A1700" s="372" t="s">
        <v>11260</v>
      </c>
      <c r="B1700" s="373" t="s">
        <v>11261</v>
      </c>
      <c r="C1700" s="372" t="s">
        <v>11262</v>
      </c>
      <c r="D1700" s="374">
        <v>1101112192493</v>
      </c>
      <c r="E1700" s="372" t="s">
        <v>11263</v>
      </c>
      <c r="F1700" s="372" t="s">
        <v>6680</v>
      </c>
      <c r="G1700" s="375" t="s">
        <v>6680</v>
      </c>
      <c r="H1700" s="375" t="s">
        <v>3127</v>
      </c>
      <c r="I1700" s="375" t="s">
        <v>869</v>
      </c>
      <c r="J1700" s="375">
        <v>4646.7448000000004</v>
      </c>
      <c r="K1700" s="375">
        <v>-11567.05183</v>
      </c>
      <c r="L1700" s="375">
        <v>-15229.0741</v>
      </c>
      <c r="M1700" s="375">
        <v>41838.676460000002</v>
      </c>
      <c r="N1700" s="372">
        <v>0.51900000000000002</v>
      </c>
      <c r="O1700" s="703">
        <v>0.28613984615420524</v>
      </c>
      <c r="P1700" s="375" t="s">
        <v>623</v>
      </c>
      <c r="Q1700" s="372" t="s">
        <v>623</v>
      </c>
      <c r="R1700" s="695">
        <v>20071205</v>
      </c>
      <c r="S1700" s="372" t="s">
        <v>11264</v>
      </c>
      <c r="T1700" s="696" t="s">
        <v>772</v>
      </c>
      <c r="U1700" s="372" t="s">
        <v>11265</v>
      </c>
      <c r="V1700" s="722">
        <v>0</v>
      </c>
      <c r="W1700" s="722">
        <v>1.98</v>
      </c>
      <c r="X1700" s="722">
        <v>0</v>
      </c>
      <c r="Y1700" s="722">
        <v>0</v>
      </c>
      <c r="Z1700" s="382" t="s">
        <v>934</v>
      </c>
      <c r="AA1700" s="372">
        <v>279.14131809999998</v>
      </c>
      <c r="AB1700" s="372">
        <v>215.15302869999999</v>
      </c>
      <c r="AC1700" s="372">
        <v>54.754938199999998</v>
      </c>
      <c r="AD1700" s="372">
        <v>46.467447999999997</v>
      </c>
      <c r="AE1700" s="372">
        <v>0</v>
      </c>
      <c r="AF1700" s="372">
        <v>0</v>
      </c>
      <c r="AG1700" s="372">
        <v>0</v>
      </c>
      <c r="AH1700" s="372">
        <v>0</v>
      </c>
    </row>
    <row r="1701" spans="1:34">
      <c r="A1701" s="372" t="s">
        <v>11266</v>
      </c>
      <c r="B1701" s="373" t="s">
        <v>11267</v>
      </c>
      <c r="C1701" s="372" t="s">
        <v>11268</v>
      </c>
      <c r="D1701" s="374">
        <v>1101110286412</v>
      </c>
      <c r="E1701" s="372" t="s">
        <v>11269</v>
      </c>
      <c r="F1701" s="375" t="s">
        <v>852</v>
      </c>
      <c r="G1701" s="375" t="s">
        <v>852</v>
      </c>
      <c r="H1701" s="375" t="s">
        <v>853</v>
      </c>
      <c r="I1701" s="375" t="s">
        <v>755</v>
      </c>
      <c r="J1701" s="375">
        <v>214420.29370000001</v>
      </c>
      <c r="K1701" s="375">
        <v>-2591.6175600000001</v>
      </c>
      <c r="L1701" s="375">
        <v>-43536.432399999998</v>
      </c>
      <c r="M1701" s="375">
        <v>173674.97883000001</v>
      </c>
      <c r="N1701" s="372">
        <v>0.64500000000000002</v>
      </c>
      <c r="O1701" s="703">
        <v>48.596474834182104</v>
      </c>
      <c r="P1701" s="375" t="s">
        <v>623</v>
      </c>
      <c r="Q1701" s="372" t="s">
        <v>623</v>
      </c>
      <c r="R1701" s="695">
        <v>19880831</v>
      </c>
      <c r="S1701" s="372" t="s">
        <v>16082</v>
      </c>
      <c r="T1701" s="696" t="s">
        <v>772</v>
      </c>
      <c r="U1701" s="372" t="s">
        <v>16083</v>
      </c>
      <c r="V1701" s="722">
        <v>20.9</v>
      </c>
      <c r="W1701" s="722">
        <v>1.3</v>
      </c>
      <c r="X1701" s="722">
        <v>0.33</v>
      </c>
      <c r="Y1701" s="722" t="s">
        <v>774</v>
      </c>
      <c r="Z1701" s="382" t="s">
        <v>934</v>
      </c>
      <c r="AA1701" s="372">
        <v>340.87130000000002</v>
      </c>
      <c r="AB1701" s="372">
        <v>408.31807099999997</v>
      </c>
      <c r="AC1701" s="372">
        <v>1313.0168666</v>
      </c>
      <c r="AD1701" s="372">
        <v>2144.202937</v>
      </c>
      <c r="AE1701" s="372">
        <v>0</v>
      </c>
      <c r="AF1701" s="372">
        <v>0</v>
      </c>
      <c r="AG1701" s="372">
        <v>0</v>
      </c>
      <c r="AH1701" s="372">
        <v>0</v>
      </c>
    </row>
    <row r="1702" spans="1:34">
      <c r="A1702" s="372" t="s">
        <v>11270</v>
      </c>
      <c r="B1702" s="373" t="s">
        <v>11271</v>
      </c>
      <c r="C1702" s="372" t="s">
        <v>11272</v>
      </c>
      <c r="D1702" s="374">
        <v>1101110274699</v>
      </c>
      <c r="E1702" s="372" t="s">
        <v>11273</v>
      </c>
      <c r="F1702" s="375" t="s">
        <v>1395</v>
      </c>
      <c r="G1702" s="375" t="s">
        <v>1396</v>
      </c>
      <c r="H1702" s="375" t="s">
        <v>1397</v>
      </c>
      <c r="I1702" s="375" t="s">
        <v>755</v>
      </c>
      <c r="J1702" s="375">
        <v>1571977.5824800001</v>
      </c>
      <c r="K1702" s="375">
        <v>50663.745430000003</v>
      </c>
      <c r="L1702" s="375">
        <v>34042.71632</v>
      </c>
      <c r="M1702" s="375">
        <v>455597.81634000002</v>
      </c>
      <c r="N1702" s="372">
        <v>0.996</v>
      </c>
      <c r="O1702" s="703">
        <v>952.31692138748917</v>
      </c>
      <c r="P1702" s="375" t="s">
        <v>623</v>
      </c>
      <c r="Q1702" s="372" t="s">
        <v>623</v>
      </c>
      <c r="R1702" s="695">
        <v>19940812</v>
      </c>
      <c r="S1702" s="372" t="s">
        <v>11274</v>
      </c>
      <c r="T1702" s="696">
        <v>0.23100000000000001</v>
      </c>
      <c r="U1702" s="372" t="s">
        <v>16084</v>
      </c>
      <c r="V1702" s="722">
        <v>10.53</v>
      </c>
      <c r="W1702" s="722">
        <v>0.21</v>
      </c>
      <c r="X1702" s="722">
        <v>0.06</v>
      </c>
      <c r="Y1702" s="722">
        <v>3.14</v>
      </c>
      <c r="Z1702" s="382">
        <v>-1.5043262539556235E-2</v>
      </c>
      <c r="AA1702" s="372">
        <v>15508.7704421</v>
      </c>
      <c r="AB1702" s="372">
        <v>14752.990615299999</v>
      </c>
      <c r="AC1702" s="372">
        <v>14720.882716800001</v>
      </c>
      <c r="AD1702" s="372">
        <v>15719.775824799999</v>
      </c>
      <c r="AE1702" s="372">
        <v>15187</v>
      </c>
      <c r="AF1702" s="372">
        <v>14809.2</v>
      </c>
      <c r="AG1702" s="372">
        <v>14795</v>
      </c>
      <c r="AH1702" s="372">
        <v>13160</v>
      </c>
    </row>
    <row r="1703" spans="1:34">
      <c r="A1703" s="372" t="s">
        <v>11275</v>
      </c>
      <c r="B1703" s="373" t="s">
        <v>11276</v>
      </c>
      <c r="C1703" s="372" t="s">
        <v>11277</v>
      </c>
      <c r="D1703" s="374">
        <v>1345110053211</v>
      </c>
      <c r="E1703" s="372" t="s">
        <v>11278</v>
      </c>
      <c r="F1703" s="375" t="s">
        <v>830</v>
      </c>
      <c r="G1703" s="375" t="s">
        <v>1524</v>
      </c>
      <c r="H1703" s="375" t="s">
        <v>1388</v>
      </c>
      <c r="I1703" s="375" t="s">
        <v>869</v>
      </c>
      <c r="J1703" s="375">
        <v>42975.926480000002</v>
      </c>
      <c r="K1703" s="375">
        <v>-2952.4142200000001</v>
      </c>
      <c r="L1703" s="375">
        <v>-4565.75317</v>
      </c>
      <c r="M1703" s="375">
        <v>48588.203880000001</v>
      </c>
      <c r="N1703" s="372">
        <v>0.998</v>
      </c>
      <c r="O1703" s="703">
        <v>45.744473257028368</v>
      </c>
      <c r="P1703" s="375" t="s">
        <v>623</v>
      </c>
      <c r="Q1703" s="375" t="s">
        <v>623</v>
      </c>
      <c r="R1703" s="695">
        <v>20131118</v>
      </c>
      <c r="S1703" s="375" t="s">
        <v>11279</v>
      </c>
      <c r="T1703" s="696" t="s">
        <v>772</v>
      </c>
      <c r="U1703" s="372" t="s">
        <v>11280</v>
      </c>
      <c r="V1703" s="722" t="s">
        <v>774</v>
      </c>
      <c r="W1703" s="722">
        <v>1.6</v>
      </c>
      <c r="X1703" s="722">
        <v>1.8</v>
      </c>
      <c r="Y1703" s="722" t="s">
        <v>774</v>
      </c>
      <c r="Z1703" s="382" t="s">
        <v>934</v>
      </c>
      <c r="AA1703" s="372">
        <v>427.58550220000001</v>
      </c>
      <c r="AB1703" s="372">
        <v>485.8285965</v>
      </c>
      <c r="AC1703" s="372">
        <v>670.22778730000005</v>
      </c>
      <c r="AD1703" s="372">
        <v>429.75926479999998</v>
      </c>
      <c r="AE1703" s="372">
        <v>0</v>
      </c>
      <c r="AF1703" s="372">
        <v>0</v>
      </c>
      <c r="AG1703" s="372">
        <v>0</v>
      </c>
      <c r="AH1703" s="372">
        <v>0</v>
      </c>
    </row>
    <row r="1704" spans="1:34">
      <c r="A1704" s="372" t="s">
        <v>11281</v>
      </c>
      <c r="B1704" s="373" t="s">
        <v>11282</v>
      </c>
      <c r="C1704" s="372" t="s">
        <v>11283</v>
      </c>
      <c r="D1704" s="374">
        <v>1201110517154</v>
      </c>
      <c r="E1704" s="372" t="s">
        <v>11284</v>
      </c>
      <c r="F1704" s="372" t="s">
        <v>2193</v>
      </c>
      <c r="G1704" s="375" t="s">
        <v>11285</v>
      </c>
      <c r="H1704" s="375" t="s">
        <v>868</v>
      </c>
      <c r="I1704" s="375" t="s">
        <v>869</v>
      </c>
      <c r="J1704" s="375">
        <v>80921.130309999993</v>
      </c>
      <c r="K1704" s="375">
        <v>-13468.74682</v>
      </c>
      <c r="L1704" s="375">
        <v>-32373.300080000001</v>
      </c>
      <c r="M1704" s="375">
        <v>51254.050889999999</v>
      </c>
      <c r="N1704" s="372">
        <v>0.73399999999999999</v>
      </c>
      <c r="O1704" s="703">
        <v>100.37919781780316</v>
      </c>
      <c r="P1704" s="375" t="s">
        <v>623</v>
      </c>
      <c r="Q1704" s="372" t="s">
        <v>623</v>
      </c>
      <c r="R1704" s="695">
        <v>20180126</v>
      </c>
      <c r="S1704" s="372" t="s">
        <v>11286</v>
      </c>
      <c r="T1704" s="696" t="s">
        <v>772</v>
      </c>
      <c r="U1704" s="372" t="s">
        <v>11287</v>
      </c>
      <c r="V1704" s="722" t="s">
        <v>774</v>
      </c>
      <c r="W1704" s="722">
        <v>1.3</v>
      </c>
      <c r="X1704" s="722">
        <v>0.93</v>
      </c>
      <c r="Y1704" s="722" t="s">
        <v>774</v>
      </c>
      <c r="Z1704" s="382" t="s">
        <v>934</v>
      </c>
      <c r="AA1704" s="372">
        <v>759.11800229999994</v>
      </c>
      <c r="AB1704" s="372">
        <v>701.02082499999995</v>
      </c>
      <c r="AC1704" s="372">
        <v>898.58217239999999</v>
      </c>
      <c r="AD1704" s="372">
        <v>809.21130310000001</v>
      </c>
      <c r="AE1704" s="372">
        <v>1516</v>
      </c>
      <c r="AF1704" s="372">
        <v>2196</v>
      </c>
      <c r="AG1704" s="372">
        <v>0</v>
      </c>
      <c r="AH1704" s="372">
        <v>0</v>
      </c>
    </row>
    <row r="1705" spans="1:34">
      <c r="A1705" s="372" t="s">
        <v>11288</v>
      </c>
      <c r="B1705" s="373" t="s">
        <v>11289</v>
      </c>
      <c r="C1705" s="372" t="s">
        <v>11290</v>
      </c>
      <c r="D1705" s="374">
        <v>1801110007088</v>
      </c>
      <c r="E1705" s="372" t="s">
        <v>11291</v>
      </c>
      <c r="F1705" s="375" t="s">
        <v>1700</v>
      </c>
      <c r="G1705" s="375" t="s">
        <v>1701</v>
      </c>
      <c r="H1705" s="375" t="s">
        <v>832</v>
      </c>
      <c r="I1705" s="375" t="s">
        <v>755</v>
      </c>
      <c r="J1705" s="375">
        <v>252818.41276000001</v>
      </c>
      <c r="K1705" s="375">
        <v>3706.4623799999999</v>
      </c>
      <c r="L1705" s="375">
        <v>4879.3138300000001</v>
      </c>
      <c r="M1705" s="375">
        <v>175296.46257999999</v>
      </c>
      <c r="N1705" s="372">
        <v>1.0549999999999999</v>
      </c>
      <c r="O1705" s="703">
        <v>209.79937245227535</v>
      </c>
      <c r="P1705" s="375" t="s">
        <v>623</v>
      </c>
      <c r="Q1705" s="375" t="s">
        <v>623</v>
      </c>
      <c r="R1705" s="695">
        <v>19761227</v>
      </c>
      <c r="S1705" s="372" t="s">
        <v>11292</v>
      </c>
      <c r="T1705" s="696">
        <v>0.20900000000000002</v>
      </c>
      <c r="U1705" s="372" t="s">
        <v>11293</v>
      </c>
      <c r="V1705" s="722">
        <v>21.01</v>
      </c>
      <c r="W1705" s="722">
        <v>0.43</v>
      </c>
      <c r="X1705" s="722">
        <v>0.32</v>
      </c>
      <c r="Y1705" s="722">
        <v>16.89</v>
      </c>
      <c r="Z1705" s="382" t="s">
        <v>934</v>
      </c>
      <c r="AA1705" s="372">
        <v>2013.032451</v>
      </c>
      <c r="AB1705" s="372">
        <v>2385.4780016999998</v>
      </c>
      <c r="AC1705" s="372">
        <v>2604.7073789999999</v>
      </c>
      <c r="AD1705" s="372">
        <v>2528.1841276</v>
      </c>
      <c r="AE1705" s="372">
        <v>3204</v>
      </c>
      <c r="AF1705" s="372">
        <v>0</v>
      </c>
      <c r="AG1705" s="372">
        <v>0</v>
      </c>
      <c r="AH1705" s="372">
        <v>0</v>
      </c>
    </row>
    <row r="1706" spans="1:34">
      <c r="A1706" s="372" t="s">
        <v>11294</v>
      </c>
      <c r="B1706" s="373" t="s">
        <v>11295</v>
      </c>
      <c r="C1706" s="372" t="s">
        <v>16188</v>
      </c>
      <c r="D1706" s="374">
        <v>1747110001791</v>
      </c>
      <c r="E1706" s="372" t="s">
        <v>11296</v>
      </c>
      <c r="F1706" s="375" t="s">
        <v>3020</v>
      </c>
      <c r="G1706" s="375" t="s">
        <v>3020</v>
      </c>
      <c r="H1706" s="375" t="s">
        <v>868</v>
      </c>
      <c r="I1706" s="375" t="s">
        <v>869</v>
      </c>
      <c r="J1706" s="375">
        <v>357438.43543000001</v>
      </c>
      <c r="K1706" s="375">
        <v>28953.283159999999</v>
      </c>
      <c r="L1706" s="375">
        <v>23200.11637</v>
      </c>
      <c r="M1706" s="375">
        <v>106572.54372</v>
      </c>
      <c r="N1706" s="372">
        <v>1.06</v>
      </c>
      <c r="O1706" s="703">
        <v>154.82215442309479</v>
      </c>
      <c r="P1706" s="375" t="s">
        <v>623</v>
      </c>
      <c r="Q1706" s="372" t="s">
        <v>623</v>
      </c>
      <c r="R1706" s="695">
        <v>20020205</v>
      </c>
      <c r="S1706" s="372" t="s">
        <v>11297</v>
      </c>
      <c r="T1706" s="696">
        <v>0.23100000000000001</v>
      </c>
      <c r="U1706" s="372" t="s">
        <v>11298</v>
      </c>
      <c r="V1706" s="722">
        <v>3.76</v>
      </c>
      <c r="W1706" s="722">
        <v>0.74</v>
      </c>
      <c r="X1706" s="722">
        <v>0.23</v>
      </c>
      <c r="Y1706" s="722">
        <v>4.34</v>
      </c>
      <c r="Z1706" s="382" t="s">
        <v>934</v>
      </c>
      <c r="AA1706" s="372">
        <v>1966.6050802</v>
      </c>
      <c r="AB1706" s="372">
        <v>2033.9845183</v>
      </c>
      <c r="AC1706" s="372">
        <v>2742.0775475</v>
      </c>
      <c r="AD1706" s="372">
        <v>3574.3843542999998</v>
      </c>
      <c r="AE1706" s="372">
        <v>0</v>
      </c>
      <c r="AF1706" s="372">
        <v>0</v>
      </c>
      <c r="AG1706" s="372">
        <v>0</v>
      </c>
      <c r="AH1706" s="372">
        <v>0</v>
      </c>
    </row>
    <row r="1707" spans="1:34">
      <c r="A1707" s="372" t="s">
        <v>11299</v>
      </c>
      <c r="B1707" s="373" t="s">
        <v>11300</v>
      </c>
      <c r="C1707" s="372" t="s">
        <v>16189</v>
      </c>
      <c r="D1707" s="374">
        <v>1301110004620</v>
      </c>
      <c r="E1707" s="372" t="s">
        <v>16190</v>
      </c>
      <c r="F1707" s="375" t="s">
        <v>1076</v>
      </c>
      <c r="G1707" s="375" t="s">
        <v>1076</v>
      </c>
      <c r="H1707" s="375" t="s">
        <v>1388</v>
      </c>
      <c r="I1707" s="375" t="s">
        <v>869</v>
      </c>
      <c r="J1707" s="375">
        <v>87041.126629999999</v>
      </c>
      <c r="K1707" s="375">
        <v>-15367.519039999999</v>
      </c>
      <c r="L1707" s="375">
        <v>-10479.118259999999</v>
      </c>
      <c r="M1707" s="375">
        <v>184174.99455999999</v>
      </c>
      <c r="N1707" s="372">
        <v>1.101</v>
      </c>
      <c r="O1707" s="703">
        <v>7.5663615107306121</v>
      </c>
      <c r="P1707" s="375" t="s">
        <v>623</v>
      </c>
      <c r="Q1707" s="375" t="s">
        <v>623</v>
      </c>
      <c r="R1707" s="695">
        <v>20030702</v>
      </c>
      <c r="S1707" s="375" t="s">
        <v>16191</v>
      </c>
      <c r="T1707" s="696" t="s">
        <v>772</v>
      </c>
      <c r="U1707" s="372" t="s">
        <v>11301</v>
      </c>
      <c r="V1707" s="722" t="s">
        <v>774</v>
      </c>
      <c r="W1707" s="722">
        <v>0.47</v>
      </c>
      <c r="X1707" s="722">
        <v>1.01</v>
      </c>
      <c r="Y1707" s="722" t="s">
        <v>774</v>
      </c>
      <c r="Z1707" s="382" t="s">
        <v>934</v>
      </c>
      <c r="AA1707" s="372">
        <v>2451.4853327999999</v>
      </c>
      <c r="AB1707" s="372">
        <v>1862.9300255000001</v>
      </c>
      <c r="AC1707" s="372">
        <v>1375.7142455999999</v>
      </c>
      <c r="AD1707" s="372">
        <v>870.41126629999997</v>
      </c>
      <c r="AE1707" s="372">
        <v>0</v>
      </c>
      <c r="AF1707" s="372">
        <v>0</v>
      </c>
      <c r="AG1707" s="372">
        <v>0</v>
      </c>
      <c r="AH1707" s="372">
        <v>0</v>
      </c>
    </row>
    <row r="1708" spans="1:34">
      <c r="A1708" s="372" t="s">
        <v>11302</v>
      </c>
      <c r="B1708" s="373" t="s">
        <v>11303</v>
      </c>
      <c r="C1708" s="372" t="s">
        <v>11304</v>
      </c>
      <c r="D1708" s="374">
        <v>1101113403972</v>
      </c>
      <c r="E1708" s="372" t="s">
        <v>11305</v>
      </c>
      <c r="F1708" s="375" t="s">
        <v>786</v>
      </c>
      <c r="G1708" s="375" t="s">
        <v>786</v>
      </c>
      <c r="H1708" s="375" t="s">
        <v>868</v>
      </c>
      <c r="I1708" s="375" t="s">
        <v>869</v>
      </c>
      <c r="J1708" s="375">
        <v>0</v>
      </c>
      <c r="K1708" s="375">
        <v>0</v>
      </c>
      <c r="L1708" s="375">
        <v>0</v>
      </c>
      <c r="M1708" s="375">
        <v>87657.143190000003</v>
      </c>
      <c r="N1708" s="372">
        <v>0.82799999999999996</v>
      </c>
      <c r="O1708" s="703">
        <v>33.144757553432584</v>
      </c>
      <c r="P1708" s="375" t="s">
        <v>623</v>
      </c>
      <c r="Q1708" s="372" t="s">
        <v>623</v>
      </c>
      <c r="R1708" s="695">
        <v>20150803</v>
      </c>
      <c r="S1708" s="372" t="s">
        <v>11306</v>
      </c>
      <c r="T1708" s="696" t="s">
        <v>772</v>
      </c>
      <c r="U1708" s="372" t="s">
        <v>11307</v>
      </c>
      <c r="V1708" s="722">
        <v>0</v>
      </c>
      <c r="W1708" s="722">
        <v>0.75</v>
      </c>
      <c r="X1708" s="722">
        <v>0</v>
      </c>
      <c r="Y1708" s="722">
        <v>0</v>
      </c>
      <c r="Z1708" s="382" t="s">
        <v>934</v>
      </c>
      <c r="AA1708" s="372">
        <v>853.02769679999994</v>
      </c>
      <c r="AB1708" s="372">
        <v>728.34041409999998</v>
      </c>
      <c r="AC1708" s="372">
        <v>380.84568960000001</v>
      </c>
      <c r="AD1708" s="372">
        <v>97.613014100000001</v>
      </c>
      <c r="AE1708" s="372">
        <v>0</v>
      </c>
      <c r="AF1708" s="372">
        <v>0</v>
      </c>
      <c r="AG1708" s="372">
        <v>0</v>
      </c>
      <c r="AH1708" s="372">
        <v>0</v>
      </c>
    </row>
    <row r="1709" spans="1:34">
      <c r="A1709" s="372" t="s">
        <v>11308</v>
      </c>
      <c r="B1709" s="373" t="s">
        <v>11309</v>
      </c>
      <c r="C1709" s="372" t="s">
        <v>11310</v>
      </c>
      <c r="D1709" s="374">
        <v>1648110010780</v>
      </c>
      <c r="E1709" s="372" t="s">
        <v>11311</v>
      </c>
      <c r="F1709" s="375" t="s">
        <v>11312</v>
      </c>
      <c r="G1709" s="375" t="s">
        <v>11312</v>
      </c>
      <c r="H1709" s="375" t="s">
        <v>1388</v>
      </c>
      <c r="I1709" s="375" t="s">
        <v>869</v>
      </c>
      <c r="J1709" s="375">
        <v>154677.2452</v>
      </c>
      <c r="K1709" s="375">
        <v>8121.1588899999997</v>
      </c>
      <c r="L1709" s="375">
        <v>6678.7538100000002</v>
      </c>
      <c r="M1709" s="375">
        <v>117169.79646</v>
      </c>
      <c r="N1709" s="372">
        <v>1.22</v>
      </c>
      <c r="O1709" s="703">
        <v>55.771049403521076</v>
      </c>
      <c r="P1709" s="375" t="s">
        <v>623</v>
      </c>
      <c r="Q1709" s="372" t="s">
        <v>623</v>
      </c>
      <c r="R1709" s="695">
        <v>20050114</v>
      </c>
      <c r="S1709" s="372" t="s">
        <v>11313</v>
      </c>
      <c r="T1709" s="696">
        <v>0.20900000000000002</v>
      </c>
      <c r="U1709" s="372" t="s">
        <v>16085</v>
      </c>
      <c r="V1709" s="722">
        <v>5.0199999999999996</v>
      </c>
      <c r="W1709" s="722">
        <v>0.56000000000000005</v>
      </c>
      <c r="X1709" s="722">
        <v>0.44</v>
      </c>
      <c r="Y1709" s="722">
        <v>15.22</v>
      </c>
      <c r="Z1709" s="382" t="s">
        <v>934</v>
      </c>
      <c r="AA1709" s="372">
        <v>747.2457958</v>
      </c>
      <c r="AB1709" s="372">
        <v>1048.9737130000001</v>
      </c>
      <c r="AC1709" s="372">
        <v>1564.1051522</v>
      </c>
      <c r="AD1709" s="372">
        <v>1546.7724519999999</v>
      </c>
      <c r="AE1709" s="372">
        <v>0</v>
      </c>
      <c r="AF1709" s="372">
        <v>0</v>
      </c>
      <c r="AG1709" s="372">
        <v>0</v>
      </c>
      <c r="AH1709" s="372">
        <v>0</v>
      </c>
    </row>
    <row r="1710" spans="1:34">
      <c r="A1710" s="372" t="s">
        <v>11314</v>
      </c>
      <c r="B1710" s="373" t="s">
        <v>11315</v>
      </c>
      <c r="C1710" s="372" t="s">
        <v>11316</v>
      </c>
      <c r="D1710" s="374">
        <v>1101111201071</v>
      </c>
      <c r="E1710" s="372" t="s">
        <v>11317</v>
      </c>
      <c r="F1710" s="375" t="s">
        <v>2542</v>
      </c>
      <c r="G1710" s="375" t="s">
        <v>2542</v>
      </c>
      <c r="H1710" s="375" t="s">
        <v>1693</v>
      </c>
      <c r="I1710" s="375" t="s">
        <v>869</v>
      </c>
      <c r="J1710" s="375">
        <v>36571.550719999999</v>
      </c>
      <c r="K1710" s="375">
        <v>2174.9824100000001</v>
      </c>
      <c r="L1710" s="375">
        <v>4410.1151300000001</v>
      </c>
      <c r="M1710" s="375">
        <v>85169.357550000001</v>
      </c>
      <c r="N1710" s="372">
        <v>0.68500000000000005</v>
      </c>
      <c r="O1710" s="703">
        <v>5.5523002757207642</v>
      </c>
      <c r="P1710" s="375" t="s">
        <v>623</v>
      </c>
      <c r="Q1710" s="372" t="s">
        <v>623</v>
      </c>
      <c r="R1710" s="695">
        <v>19970806</v>
      </c>
      <c r="S1710" s="372" t="s">
        <v>11318</v>
      </c>
      <c r="T1710" s="696">
        <v>0.20900000000000002</v>
      </c>
      <c r="U1710" s="375" t="s">
        <v>11319</v>
      </c>
      <c r="V1710" s="722">
        <v>16.02</v>
      </c>
      <c r="W1710" s="722">
        <v>0.97</v>
      </c>
      <c r="X1710" s="722">
        <v>2.2599999999999998</v>
      </c>
      <c r="Y1710" s="722">
        <v>24.22</v>
      </c>
      <c r="Z1710" s="382" t="s">
        <v>934</v>
      </c>
      <c r="AA1710" s="372">
        <v>303.61095710000001</v>
      </c>
      <c r="AB1710" s="372">
        <v>334.51533740000002</v>
      </c>
      <c r="AC1710" s="372">
        <v>347.14775580000003</v>
      </c>
      <c r="AD1710" s="372">
        <v>365.71550719999999</v>
      </c>
      <c r="AE1710" s="372">
        <v>0</v>
      </c>
      <c r="AF1710" s="372">
        <v>0</v>
      </c>
      <c r="AG1710" s="372">
        <v>0</v>
      </c>
      <c r="AH1710" s="372">
        <v>0</v>
      </c>
    </row>
    <row r="1711" spans="1:34">
      <c r="A1711" s="372" t="s">
        <v>11320</v>
      </c>
      <c r="B1711" s="373" t="s">
        <v>11321</v>
      </c>
      <c r="C1711" s="372" t="s">
        <v>11322</v>
      </c>
      <c r="D1711" s="374">
        <v>1615110030026</v>
      </c>
      <c r="E1711" s="372" t="s">
        <v>11323</v>
      </c>
      <c r="F1711" s="375" t="s">
        <v>1881</v>
      </c>
      <c r="G1711" s="375" t="s">
        <v>1882</v>
      </c>
      <c r="H1711" s="375" t="s">
        <v>797</v>
      </c>
      <c r="I1711" s="375" t="s">
        <v>755</v>
      </c>
      <c r="J1711" s="375">
        <v>140307.23118</v>
      </c>
      <c r="K1711" s="375">
        <v>-7620.5239700000002</v>
      </c>
      <c r="L1711" s="375">
        <v>1908.1232399999999</v>
      </c>
      <c r="M1711" s="375">
        <v>230301.7831</v>
      </c>
      <c r="N1711" s="372">
        <v>0.51100000000000001</v>
      </c>
      <c r="O1711" s="703">
        <v>1.3583962797619047</v>
      </c>
      <c r="P1711" s="375" t="s">
        <v>623</v>
      </c>
      <c r="Q1711" s="372" t="s">
        <v>623</v>
      </c>
      <c r="R1711" s="695">
        <v>20051021</v>
      </c>
      <c r="S1711" s="372" t="s">
        <v>11324</v>
      </c>
      <c r="T1711" s="696">
        <v>0.20900000000000002</v>
      </c>
      <c r="U1711" s="372" t="s">
        <v>11325</v>
      </c>
      <c r="V1711" s="722">
        <v>407.76</v>
      </c>
      <c r="W1711" s="722">
        <v>0.34</v>
      </c>
      <c r="X1711" s="722">
        <v>0.56000000000000005</v>
      </c>
      <c r="Y1711" s="722">
        <v>23.64</v>
      </c>
      <c r="Z1711" s="382" t="s">
        <v>934</v>
      </c>
      <c r="AA1711" s="372">
        <v>1356.6084192999999</v>
      </c>
      <c r="AB1711" s="372">
        <v>1276.0561256999999</v>
      </c>
      <c r="AC1711" s="372">
        <v>1380.3755040999999</v>
      </c>
      <c r="AD1711" s="372">
        <v>1403.0723118000001</v>
      </c>
      <c r="AE1711" s="372">
        <v>0</v>
      </c>
      <c r="AF1711" s="372">
        <v>0</v>
      </c>
      <c r="AG1711" s="372">
        <v>0</v>
      </c>
      <c r="AH1711" s="372">
        <v>0</v>
      </c>
    </row>
    <row r="1712" spans="1:34">
      <c r="A1712" s="372" t="s">
        <v>11326</v>
      </c>
      <c r="B1712" s="373" t="s">
        <v>11327</v>
      </c>
      <c r="C1712" s="372" t="s">
        <v>11328</v>
      </c>
      <c r="D1712" s="374">
        <v>1101110425432</v>
      </c>
      <c r="E1712" s="372" t="s">
        <v>11329</v>
      </c>
      <c r="F1712" s="375" t="s">
        <v>5755</v>
      </c>
      <c r="G1712" s="375" t="s">
        <v>5756</v>
      </c>
      <c r="H1712" s="375" t="s">
        <v>3127</v>
      </c>
      <c r="I1712" s="375" t="s">
        <v>869</v>
      </c>
      <c r="J1712" s="375">
        <v>244376.14702</v>
      </c>
      <c r="K1712" s="375">
        <v>5600.9599600000001</v>
      </c>
      <c r="L1712" s="375">
        <v>6515.1025799999998</v>
      </c>
      <c r="M1712" s="375">
        <v>104200.64010999999</v>
      </c>
      <c r="N1712" s="372">
        <v>1.516</v>
      </c>
      <c r="O1712" s="703">
        <v>22.082748545004215</v>
      </c>
      <c r="P1712" s="375" t="s">
        <v>623</v>
      </c>
      <c r="Q1712" s="375" t="s">
        <v>623</v>
      </c>
      <c r="R1712" s="695">
        <v>19951028</v>
      </c>
      <c r="S1712" s="375" t="s">
        <v>11330</v>
      </c>
      <c r="T1712" s="696">
        <v>0.20900000000000002</v>
      </c>
      <c r="U1712" s="372" t="s">
        <v>11331</v>
      </c>
      <c r="V1712" s="722">
        <v>13.07</v>
      </c>
      <c r="W1712" s="722">
        <v>0.88</v>
      </c>
      <c r="X1712" s="722">
        <v>0.38</v>
      </c>
      <c r="Y1712" s="722">
        <v>18.579999999999998</v>
      </c>
      <c r="Z1712" s="382" t="s">
        <v>934</v>
      </c>
      <c r="AA1712" s="372">
        <v>1954.1810264000001</v>
      </c>
      <c r="AB1712" s="372">
        <v>2583.8156577999998</v>
      </c>
      <c r="AC1712" s="372">
        <v>2459.7991081999999</v>
      </c>
      <c r="AD1712" s="372">
        <v>2443.7614702000001</v>
      </c>
      <c r="AE1712" s="372">
        <v>0</v>
      </c>
      <c r="AF1712" s="372">
        <v>0</v>
      </c>
      <c r="AG1712" s="372">
        <v>0</v>
      </c>
      <c r="AH1712" s="372">
        <v>0</v>
      </c>
    </row>
    <row r="1713" spans="1:34">
      <c r="A1713" s="372" t="s">
        <v>11332</v>
      </c>
      <c r="B1713" s="373" t="s">
        <v>11333</v>
      </c>
      <c r="C1713" s="372" t="s">
        <v>11334</v>
      </c>
      <c r="D1713" s="374">
        <v>1101110657499</v>
      </c>
      <c r="E1713" s="372" t="s">
        <v>11335</v>
      </c>
      <c r="F1713" s="375" t="s">
        <v>1368</v>
      </c>
      <c r="G1713" s="375" t="s">
        <v>1368</v>
      </c>
      <c r="H1713" s="375" t="s">
        <v>868</v>
      </c>
      <c r="I1713" s="375" t="s">
        <v>869</v>
      </c>
      <c r="J1713" s="375">
        <v>44586.544399999999</v>
      </c>
      <c r="K1713" s="375">
        <v>-5907.7764999999999</v>
      </c>
      <c r="L1713" s="375">
        <v>-6605.9831899999999</v>
      </c>
      <c r="M1713" s="375">
        <v>21305.211480000002</v>
      </c>
      <c r="N1713" s="372">
        <v>0.88500000000000001</v>
      </c>
      <c r="O1713" s="703">
        <v>13.069390662922389</v>
      </c>
      <c r="P1713" s="375" t="s">
        <v>623</v>
      </c>
      <c r="Q1713" s="375" t="s">
        <v>623</v>
      </c>
      <c r="R1713" s="695">
        <v>20060725</v>
      </c>
      <c r="S1713" s="375" t="s">
        <v>11336</v>
      </c>
      <c r="T1713" s="696" t="s">
        <v>772</v>
      </c>
      <c r="U1713" s="372" t="s">
        <v>11337</v>
      </c>
      <c r="V1713" s="722" t="s">
        <v>774</v>
      </c>
      <c r="W1713" s="722">
        <v>3.53</v>
      </c>
      <c r="X1713" s="722">
        <v>1.47</v>
      </c>
      <c r="Y1713" s="722" t="s">
        <v>774</v>
      </c>
      <c r="Z1713" s="382" t="s">
        <v>934</v>
      </c>
      <c r="AA1713" s="372">
        <v>583.0877855</v>
      </c>
      <c r="AB1713" s="372">
        <v>602.97016689999998</v>
      </c>
      <c r="AC1713" s="372">
        <v>611.99059260000001</v>
      </c>
      <c r="AD1713" s="372">
        <v>445.86544400000002</v>
      </c>
      <c r="AE1713" s="372">
        <v>0</v>
      </c>
      <c r="AF1713" s="372">
        <v>0</v>
      </c>
      <c r="AG1713" s="372">
        <v>0</v>
      </c>
      <c r="AH1713" s="372">
        <v>0</v>
      </c>
    </row>
    <row r="1714" spans="1:34">
      <c r="A1714" s="372" t="s">
        <v>11338</v>
      </c>
      <c r="B1714" s="373" t="s">
        <v>11339</v>
      </c>
      <c r="C1714" s="372" t="s">
        <v>11340</v>
      </c>
      <c r="D1714" s="374">
        <v>1101114249458</v>
      </c>
      <c r="E1714" s="372" t="s">
        <v>11341</v>
      </c>
      <c r="F1714" s="375" t="s">
        <v>887</v>
      </c>
      <c r="G1714" s="375" t="s">
        <v>887</v>
      </c>
      <c r="H1714" s="375" t="s">
        <v>868</v>
      </c>
      <c r="I1714" s="375" t="s">
        <v>869</v>
      </c>
      <c r="J1714" s="375">
        <v>537441.45027000003</v>
      </c>
      <c r="K1714" s="375">
        <v>7809.0727699999998</v>
      </c>
      <c r="L1714" s="375">
        <v>4935.9407899999997</v>
      </c>
      <c r="M1714" s="375">
        <v>171181.12173000001</v>
      </c>
      <c r="N1714" s="372">
        <v>1.246</v>
      </c>
      <c r="O1714" s="703">
        <v>430.29174912386185</v>
      </c>
      <c r="P1714" s="375" t="s">
        <v>623</v>
      </c>
      <c r="Q1714" s="372" t="s">
        <v>623</v>
      </c>
      <c r="R1714" s="695">
        <v>20100319</v>
      </c>
      <c r="S1714" s="372" t="s">
        <v>11342</v>
      </c>
      <c r="T1714" s="696">
        <v>0.20900000000000002</v>
      </c>
      <c r="U1714" s="372" t="s">
        <v>11343</v>
      </c>
      <c r="V1714" s="722">
        <v>6.79</v>
      </c>
      <c r="W1714" s="722">
        <v>0.7</v>
      </c>
      <c r="X1714" s="722">
        <v>0.16</v>
      </c>
      <c r="Y1714" s="722">
        <v>13.17</v>
      </c>
      <c r="Z1714" s="382" t="s">
        <v>934</v>
      </c>
      <c r="AA1714" s="372">
        <v>3626.4582461</v>
      </c>
      <c r="AB1714" s="372">
        <v>5045.1190790999999</v>
      </c>
      <c r="AC1714" s="372">
        <v>5241.4524309999997</v>
      </c>
      <c r="AD1714" s="372">
        <v>5374.4145027000004</v>
      </c>
      <c r="AE1714" s="372">
        <v>0</v>
      </c>
      <c r="AF1714" s="372">
        <v>0</v>
      </c>
      <c r="AG1714" s="372">
        <v>0</v>
      </c>
      <c r="AH1714" s="372">
        <v>0</v>
      </c>
    </row>
    <row r="1715" spans="1:34">
      <c r="A1715" s="372" t="s">
        <v>11344</v>
      </c>
      <c r="B1715" s="373" t="s">
        <v>11345</v>
      </c>
      <c r="C1715" s="372" t="s">
        <v>11346</v>
      </c>
      <c r="D1715" s="374">
        <v>1101111634272</v>
      </c>
      <c r="E1715" s="372" t="s">
        <v>11347</v>
      </c>
      <c r="F1715" s="375" t="s">
        <v>1195</v>
      </c>
      <c r="G1715" s="375" t="s">
        <v>3144</v>
      </c>
      <c r="H1715" s="375" t="s">
        <v>1388</v>
      </c>
      <c r="I1715" s="375" t="s">
        <v>869</v>
      </c>
      <c r="J1715" s="375">
        <v>50101.822410000001</v>
      </c>
      <c r="K1715" s="375">
        <v>5685.4071299999996</v>
      </c>
      <c r="L1715" s="375">
        <v>6054.0115900000001</v>
      </c>
      <c r="M1715" s="375">
        <v>68531.128349999999</v>
      </c>
      <c r="N1715" s="372">
        <v>1.1639999999999999</v>
      </c>
      <c r="O1715" s="703">
        <v>9.0749655793043225</v>
      </c>
      <c r="P1715" s="375" t="s">
        <v>623</v>
      </c>
      <c r="Q1715" s="372" t="s">
        <v>623</v>
      </c>
      <c r="R1715" s="695">
        <v>20170720</v>
      </c>
      <c r="S1715" s="372" t="s">
        <v>11348</v>
      </c>
      <c r="T1715" s="696">
        <v>0.20900000000000002</v>
      </c>
      <c r="U1715" s="372" t="s">
        <v>11349</v>
      </c>
      <c r="V1715" s="722">
        <v>11.57</v>
      </c>
      <c r="W1715" s="722">
        <v>1.1100000000000001</v>
      </c>
      <c r="X1715" s="722">
        <v>1.56</v>
      </c>
      <c r="Y1715" s="722">
        <v>14</v>
      </c>
      <c r="Z1715" s="382" t="s">
        <v>934</v>
      </c>
      <c r="AA1715" s="372">
        <v>1062.0614957</v>
      </c>
      <c r="AB1715" s="372">
        <v>505.84198629999997</v>
      </c>
      <c r="AC1715" s="372">
        <v>315.4018365</v>
      </c>
      <c r="AD1715" s="372">
        <v>501.0182241</v>
      </c>
      <c r="AE1715" s="372">
        <v>0</v>
      </c>
      <c r="AF1715" s="372">
        <v>0</v>
      </c>
      <c r="AG1715" s="372">
        <v>0</v>
      </c>
      <c r="AH1715" s="372">
        <v>0</v>
      </c>
    </row>
    <row r="1716" spans="1:34">
      <c r="A1716" s="372" t="s">
        <v>11350</v>
      </c>
      <c r="B1716" s="373" t="s">
        <v>11351</v>
      </c>
      <c r="C1716" s="372" t="s">
        <v>11352</v>
      </c>
      <c r="D1716" s="374">
        <v>1801111522465</v>
      </c>
      <c r="E1716" s="372" t="s">
        <v>11353</v>
      </c>
      <c r="F1716" s="375" t="s">
        <v>11354</v>
      </c>
      <c r="G1716" s="375" t="s">
        <v>11354</v>
      </c>
      <c r="H1716" s="375" t="s">
        <v>916</v>
      </c>
      <c r="I1716" s="375" t="s">
        <v>755</v>
      </c>
      <c r="J1716" s="375">
        <v>0</v>
      </c>
      <c r="K1716" s="375">
        <v>0</v>
      </c>
      <c r="L1716" s="375">
        <v>0</v>
      </c>
      <c r="M1716" s="375">
        <v>30439.346259999998</v>
      </c>
      <c r="N1716" s="372" t="s">
        <v>1033</v>
      </c>
      <c r="O1716" s="703">
        <v>48.132208748568779</v>
      </c>
      <c r="P1716" s="375" t="s">
        <v>623</v>
      </c>
      <c r="Q1716" s="375" t="s">
        <v>623</v>
      </c>
      <c r="R1716" s="695">
        <v>20230915</v>
      </c>
      <c r="S1716" s="375" t="s">
        <v>11355</v>
      </c>
      <c r="T1716" s="696" t="s">
        <v>772</v>
      </c>
      <c r="U1716" s="372" t="s">
        <v>11356</v>
      </c>
      <c r="V1716" s="722">
        <v>0</v>
      </c>
      <c r="W1716" s="722">
        <v>2.82</v>
      </c>
      <c r="X1716" s="722">
        <v>0</v>
      </c>
      <c r="Y1716" s="722">
        <v>0</v>
      </c>
      <c r="Z1716" s="382" t="s">
        <v>934</v>
      </c>
      <c r="AA1716" s="372">
        <v>0</v>
      </c>
      <c r="AB1716" s="372">
        <v>0</v>
      </c>
      <c r="AC1716" s="372">
        <v>0</v>
      </c>
      <c r="AD1716" s="372">
        <v>283.10433169999999</v>
      </c>
      <c r="AE1716" s="372">
        <v>0</v>
      </c>
      <c r="AF1716" s="372">
        <v>0</v>
      </c>
      <c r="AG1716" s="372">
        <v>0</v>
      </c>
      <c r="AH1716" s="372">
        <v>0</v>
      </c>
    </row>
    <row r="1717" spans="1:34">
      <c r="A1717" s="372" t="s">
        <v>11357</v>
      </c>
      <c r="B1717" s="373" t="s">
        <v>11358</v>
      </c>
      <c r="C1717" s="372" t="s">
        <v>11359</v>
      </c>
      <c r="D1717" s="374">
        <v>1201110608755</v>
      </c>
      <c r="E1717" s="372" t="s">
        <v>11360</v>
      </c>
      <c r="F1717" s="375" t="s">
        <v>1104</v>
      </c>
      <c r="G1717" s="375" t="s">
        <v>1105</v>
      </c>
      <c r="H1717" s="375" t="s">
        <v>868</v>
      </c>
      <c r="I1717" s="375" t="s">
        <v>869</v>
      </c>
      <c r="J1717" s="375">
        <v>42868.677210000002</v>
      </c>
      <c r="K1717" s="375">
        <v>4067.7342699999999</v>
      </c>
      <c r="L1717" s="375">
        <v>3942.3909899999999</v>
      </c>
      <c r="M1717" s="375">
        <v>60816.474139999998</v>
      </c>
      <c r="N1717" s="372">
        <v>0.82899999999999996</v>
      </c>
      <c r="O1717" s="703">
        <v>19.874707638056385</v>
      </c>
      <c r="P1717" s="375" t="s">
        <v>623</v>
      </c>
      <c r="Q1717" s="372" t="s">
        <v>623</v>
      </c>
      <c r="R1717" s="695">
        <v>20201202</v>
      </c>
      <c r="S1717" s="372" t="s">
        <v>11361</v>
      </c>
      <c r="T1717" s="696">
        <v>0.20900000000000002</v>
      </c>
      <c r="U1717" s="372" t="s">
        <v>11362</v>
      </c>
      <c r="V1717" s="722">
        <v>0</v>
      </c>
      <c r="W1717" s="722">
        <v>1.29</v>
      </c>
      <c r="X1717" s="722">
        <v>0</v>
      </c>
      <c r="Y1717" s="722">
        <v>0</v>
      </c>
      <c r="Z1717" s="382" t="s">
        <v>934</v>
      </c>
      <c r="AA1717" s="372">
        <v>333.24513250000001</v>
      </c>
      <c r="AB1717" s="372">
        <v>404.14881810000003</v>
      </c>
      <c r="AC1717" s="372">
        <v>314.78132679999999</v>
      </c>
      <c r="AD1717" s="372">
        <v>428.68677209999998</v>
      </c>
      <c r="AE1717" s="372">
        <v>0</v>
      </c>
      <c r="AF1717" s="372">
        <v>0</v>
      </c>
      <c r="AG1717" s="372">
        <v>0</v>
      </c>
      <c r="AH1717" s="372">
        <v>0</v>
      </c>
    </row>
    <row r="1718" spans="1:34">
      <c r="A1718" s="372" t="s">
        <v>11363</v>
      </c>
      <c r="B1718" s="373" t="s">
        <v>11364</v>
      </c>
      <c r="C1718" s="372" t="s">
        <v>11365</v>
      </c>
      <c r="D1718" s="374">
        <v>1101110668579</v>
      </c>
      <c r="E1718" s="372" t="s">
        <v>11366</v>
      </c>
      <c r="F1718" s="372" t="s">
        <v>11367</v>
      </c>
      <c r="G1718" s="375" t="s">
        <v>11368</v>
      </c>
      <c r="H1718" s="375" t="s">
        <v>3127</v>
      </c>
      <c r="I1718" s="375" t="s">
        <v>869</v>
      </c>
      <c r="J1718" s="375">
        <v>0</v>
      </c>
      <c r="K1718" s="375">
        <v>0</v>
      </c>
      <c r="L1718" s="375">
        <v>0</v>
      </c>
      <c r="M1718" s="375">
        <v>70035.650829999999</v>
      </c>
      <c r="N1718" s="372" t="s">
        <v>1033</v>
      </c>
      <c r="O1718" s="703">
        <v>72.486105965449809</v>
      </c>
      <c r="P1718" s="375" t="s">
        <v>623</v>
      </c>
      <c r="Q1718" s="372" t="s">
        <v>623</v>
      </c>
      <c r="R1718" s="695">
        <v>20230602</v>
      </c>
      <c r="S1718" s="372" t="s">
        <v>11369</v>
      </c>
      <c r="T1718" s="696" t="s">
        <v>772</v>
      </c>
      <c r="U1718" s="372" t="s">
        <v>11370</v>
      </c>
      <c r="V1718" s="722">
        <v>0</v>
      </c>
      <c r="W1718" s="722">
        <v>1.1100000000000001</v>
      </c>
      <c r="X1718" s="722">
        <v>0</v>
      </c>
      <c r="Y1718" s="722">
        <v>0</v>
      </c>
      <c r="Z1718" s="382" t="s">
        <v>934</v>
      </c>
      <c r="AA1718" s="372">
        <v>594.79714000000001</v>
      </c>
      <c r="AB1718" s="372">
        <v>883.94062910000002</v>
      </c>
      <c r="AC1718" s="372">
        <v>1071.6250161</v>
      </c>
      <c r="AD1718" s="372">
        <v>853.25300230000005</v>
      </c>
      <c r="AE1718" s="372">
        <v>0</v>
      </c>
      <c r="AF1718" s="372">
        <v>0</v>
      </c>
      <c r="AG1718" s="372">
        <v>0</v>
      </c>
      <c r="AH1718" s="372">
        <v>0</v>
      </c>
    </row>
    <row r="1719" spans="1:34">
      <c r="A1719" s="372" t="s">
        <v>11371</v>
      </c>
      <c r="B1719" s="373" t="s">
        <v>11372</v>
      </c>
      <c r="C1719" s="372" t="s">
        <v>11373</v>
      </c>
      <c r="D1719" s="374">
        <v>1341110013180</v>
      </c>
      <c r="E1719" s="372" t="s">
        <v>11374</v>
      </c>
      <c r="F1719" s="375" t="s">
        <v>1334</v>
      </c>
      <c r="G1719" s="375" t="s">
        <v>1334</v>
      </c>
      <c r="H1719" s="375" t="s">
        <v>788</v>
      </c>
      <c r="I1719" s="375" t="s">
        <v>755</v>
      </c>
      <c r="J1719" s="375">
        <v>169567.37299</v>
      </c>
      <c r="K1719" s="375">
        <v>963.76532999999995</v>
      </c>
      <c r="L1719" s="375">
        <v>-4781.6337199999998</v>
      </c>
      <c r="M1719" s="375">
        <v>88754.532439999995</v>
      </c>
      <c r="N1719" s="372">
        <v>0.79800000000000004</v>
      </c>
      <c r="O1719" s="703">
        <v>129.12775351313712</v>
      </c>
      <c r="P1719" s="375" t="s">
        <v>623</v>
      </c>
      <c r="Q1719" s="372" t="s">
        <v>623</v>
      </c>
      <c r="R1719" s="695">
        <v>20080710</v>
      </c>
      <c r="S1719" s="372" t="s">
        <v>11375</v>
      </c>
      <c r="T1719" s="696" t="s">
        <v>772</v>
      </c>
      <c r="U1719" s="372" t="s">
        <v>11376</v>
      </c>
      <c r="V1719" s="722">
        <v>31.29</v>
      </c>
      <c r="W1719" s="722">
        <v>0.92</v>
      </c>
      <c r="X1719" s="722">
        <v>0.46</v>
      </c>
      <c r="Y1719" s="722" t="s">
        <v>774</v>
      </c>
      <c r="Z1719" s="382" t="s">
        <v>934</v>
      </c>
      <c r="AA1719" s="372">
        <v>1278.5285590000001</v>
      </c>
      <c r="AB1719" s="372">
        <v>1377.5990207</v>
      </c>
      <c r="AC1719" s="372">
        <v>1521.3494049999999</v>
      </c>
      <c r="AD1719" s="372">
        <v>1695.6737298999999</v>
      </c>
      <c r="AE1719" s="372">
        <v>0</v>
      </c>
      <c r="AF1719" s="372">
        <v>0</v>
      </c>
      <c r="AG1719" s="372">
        <v>0</v>
      </c>
      <c r="AH1719" s="372">
        <v>0</v>
      </c>
    </row>
    <row r="1720" spans="1:34">
      <c r="A1720" s="372" t="s">
        <v>11377</v>
      </c>
      <c r="B1720" s="373" t="s">
        <v>11378</v>
      </c>
      <c r="C1720" s="372" t="s">
        <v>11379</v>
      </c>
      <c r="D1720" s="374">
        <v>1101111551749</v>
      </c>
      <c r="E1720" s="372" t="s">
        <v>11380</v>
      </c>
      <c r="F1720" s="375" t="s">
        <v>1286</v>
      </c>
      <c r="G1720" s="375" t="s">
        <v>1465</v>
      </c>
      <c r="H1720" s="375" t="s">
        <v>1388</v>
      </c>
      <c r="I1720" s="375" t="s">
        <v>869</v>
      </c>
      <c r="J1720" s="375">
        <v>122737.48373000001</v>
      </c>
      <c r="K1720" s="375">
        <v>14826.526540000001</v>
      </c>
      <c r="L1720" s="375">
        <v>25924.764319999998</v>
      </c>
      <c r="M1720" s="375">
        <v>158150.35417000001</v>
      </c>
      <c r="N1720" s="372">
        <v>0.88100000000000001</v>
      </c>
      <c r="O1720" s="703">
        <v>6.6052057584553072</v>
      </c>
      <c r="P1720" s="375" t="s">
        <v>623</v>
      </c>
      <c r="Q1720" s="375" t="s">
        <v>623</v>
      </c>
      <c r="R1720" s="695">
        <v>20071012</v>
      </c>
      <c r="S1720" s="375" t="s">
        <v>11381</v>
      </c>
      <c r="T1720" s="696">
        <v>0.23100000000000001</v>
      </c>
      <c r="U1720" s="372" t="s">
        <v>11382</v>
      </c>
      <c r="V1720" s="722">
        <v>4.2699999999999996</v>
      </c>
      <c r="W1720" s="722">
        <v>0.56000000000000005</v>
      </c>
      <c r="X1720" s="722">
        <v>0.56000000000000005</v>
      </c>
      <c r="Y1720" s="722">
        <v>3.03</v>
      </c>
      <c r="Z1720" s="382" t="s">
        <v>934</v>
      </c>
      <c r="AA1720" s="372">
        <v>782.07621840000002</v>
      </c>
      <c r="AB1720" s="372">
        <v>793.62860139999998</v>
      </c>
      <c r="AC1720" s="372">
        <v>905.998335</v>
      </c>
      <c r="AD1720" s="372">
        <v>1227.3748373000001</v>
      </c>
      <c r="AE1720" s="372">
        <v>0</v>
      </c>
      <c r="AF1720" s="372">
        <v>0</v>
      </c>
      <c r="AG1720" s="372">
        <v>0</v>
      </c>
      <c r="AH1720" s="372">
        <v>0</v>
      </c>
    </row>
    <row r="1721" spans="1:34">
      <c r="A1721" s="372" t="s">
        <v>11383</v>
      </c>
      <c r="B1721" s="373" t="s">
        <v>11384</v>
      </c>
      <c r="C1721" s="372" t="s">
        <v>11385</v>
      </c>
      <c r="D1721" s="374">
        <v>1101116122983</v>
      </c>
      <c r="E1721" s="372" t="s">
        <v>11386</v>
      </c>
      <c r="F1721" s="375" t="s">
        <v>1124</v>
      </c>
      <c r="G1721" s="375" t="s">
        <v>1347</v>
      </c>
      <c r="H1721" s="375" t="s">
        <v>1348</v>
      </c>
      <c r="I1721" s="375" t="s">
        <v>869</v>
      </c>
      <c r="J1721" s="375">
        <v>1030.05826</v>
      </c>
      <c r="K1721" s="375">
        <v>-17243.541829999998</v>
      </c>
      <c r="L1721" s="375">
        <v>-15799.24209</v>
      </c>
      <c r="M1721" s="375">
        <v>38796.328070000003</v>
      </c>
      <c r="N1721" s="372" t="s">
        <v>1033</v>
      </c>
      <c r="O1721" s="703">
        <v>31.679476877705021</v>
      </c>
      <c r="P1721" s="375" t="s">
        <v>623</v>
      </c>
      <c r="Q1721" s="372" t="s">
        <v>623</v>
      </c>
      <c r="R1721" s="695">
        <v>20230615</v>
      </c>
      <c r="S1721" s="372" t="s">
        <v>11387</v>
      </c>
      <c r="T1721" s="696" t="s">
        <v>772</v>
      </c>
      <c r="U1721" s="372" t="s">
        <v>11388</v>
      </c>
      <c r="V1721" s="722">
        <v>0</v>
      </c>
      <c r="W1721" s="722">
        <v>2.39</v>
      </c>
      <c r="X1721" s="722">
        <v>0</v>
      </c>
      <c r="Y1721" s="722">
        <v>0</v>
      </c>
      <c r="Z1721" s="382" t="s">
        <v>934</v>
      </c>
      <c r="AA1721" s="372">
        <v>1.1000000000000001</v>
      </c>
      <c r="AB1721" s="372">
        <v>15.885479999999999</v>
      </c>
      <c r="AC1721" s="372">
        <v>84.094464700000003</v>
      </c>
      <c r="AD1721" s="372">
        <v>10.3005826</v>
      </c>
      <c r="AE1721" s="372">
        <v>0</v>
      </c>
      <c r="AF1721" s="372">
        <v>0</v>
      </c>
      <c r="AG1721" s="372">
        <v>0</v>
      </c>
      <c r="AH1721" s="372">
        <v>0</v>
      </c>
    </row>
    <row r="1722" spans="1:34">
      <c r="A1722" s="372" t="s">
        <v>11389</v>
      </c>
      <c r="B1722" s="373" t="s">
        <v>11390</v>
      </c>
      <c r="C1722" s="372" t="s">
        <v>11391</v>
      </c>
      <c r="D1722" s="374">
        <v>1101110165393</v>
      </c>
      <c r="E1722" s="372" t="s">
        <v>11392</v>
      </c>
      <c r="F1722" s="375" t="s">
        <v>2888</v>
      </c>
      <c r="G1722" s="375" t="s">
        <v>6039</v>
      </c>
      <c r="H1722" s="375" t="s">
        <v>832</v>
      </c>
      <c r="I1722" s="375" t="s">
        <v>755</v>
      </c>
      <c r="J1722" s="375">
        <v>122178.45775</v>
      </c>
      <c r="K1722" s="375">
        <v>-6436.3524600000001</v>
      </c>
      <c r="L1722" s="375">
        <v>-9181.1803299999992</v>
      </c>
      <c r="M1722" s="375">
        <v>52837.62988</v>
      </c>
      <c r="N1722" s="372">
        <v>1.0369999999999999</v>
      </c>
      <c r="O1722" s="703">
        <v>93.322927379937411</v>
      </c>
      <c r="P1722" s="375" t="s">
        <v>623</v>
      </c>
      <c r="Q1722" s="372" t="s">
        <v>623</v>
      </c>
      <c r="R1722" s="695">
        <v>19971028</v>
      </c>
      <c r="S1722" s="372" t="s">
        <v>11393</v>
      </c>
      <c r="T1722" s="696" t="s">
        <v>772</v>
      </c>
      <c r="U1722" s="372" t="s">
        <v>11394</v>
      </c>
      <c r="V1722" s="722" t="s">
        <v>774</v>
      </c>
      <c r="W1722" s="722">
        <v>1.52</v>
      </c>
      <c r="X1722" s="722">
        <v>0.67</v>
      </c>
      <c r="Y1722" s="722" t="s">
        <v>774</v>
      </c>
      <c r="Z1722" s="382" t="s">
        <v>934</v>
      </c>
      <c r="AA1722" s="372">
        <v>1087.8731682</v>
      </c>
      <c r="AB1722" s="372">
        <v>1133.3907827999999</v>
      </c>
      <c r="AC1722" s="372">
        <v>1468.051835</v>
      </c>
      <c r="AD1722" s="372">
        <v>1221.7845775000001</v>
      </c>
      <c r="AE1722" s="372">
        <v>0</v>
      </c>
      <c r="AF1722" s="372">
        <v>0</v>
      </c>
      <c r="AG1722" s="372">
        <v>0</v>
      </c>
      <c r="AH1722" s="372">
        <v>0</v>
      </c>
    </row>
    <row r="1723" spans="1:34">
      <c r="A1723" s="372" t="s">
        <v>11395</v>
      </c>
      <c r="B1723" s="373" t="s">
        <v>11396</v>
      </c>
      <c r="C1723" s="372" t="s">
        <v>11397</v>
      </c>
      <c r="D1723" s="374">
        <v>1701110039207</v>
      </c>
      <c r="E1723" s="372" t="s">
        <v>11398</v>
      </c>
      <c r="F1723" s="375" t="s">
        <v>3020</v>
      </c>
      <c r="G1723" s="375" t="s">
        <v>3020</v>
      </c>
      <c r="H1723" s="375" t="s">
        <v>797</v>
      </c>
      <c r="I1723" s="375" t="s">
        <v>755</v>
      </c>
      <c r="J1723" s="375">
        <v>159199.45730000001</v>
      </c>
      <c r="K1723" s="375">
        <v>12037.913130000001</v>
      </c>
      <c r="L1723" s="375">
        <v>-25005.626789999998</v>
      </c>
      <c r="M1723" s="375">
        <v>581208.05552000005</v>
      </c>
      <c r="N1723" s="372" t="s">
        <v>1033</v>
      </c>
      <c r="O1723" s="703">
        <v>0</v>
      </c>
      <c r="P1723" s="375" t="s">
        <v>623</v>
      </c>
      <c r="Q1723" s="372" t="s">
        <v>623</v>
      </c>
      <c r="R1723" s="695">
        <v>19960703</v>
      </c>
      <c r="S1723" s="375" t="s">
        <v>11399</v>
      </c>
      <c r="T1723" s="696" t="s">
        <v>772</v>
      </c>
      <c r="U1723" s="372" t="s">
        <v>11400</v>
      </c>
      <c r="V1723" s="722">
        <v>6.37</v>
      </c>
      <c r="W1723" s="722">
        <v>0.17</v>
      </c>
      <c r="X1723" s="722">
        <v>0.55000000000000004</v>
      </c>
      <c r="Y1723" s="722" t="s">
        <v>774</v>
      </c>
      <c r="Z1723" s="382" t="s">
        <v>934</v>
      </c>
      <c r="AA1723" s="372">
        <v>1568.6012765999999</v>
      </c>
      <c r="AB1723" s="372">
        <v>1424.7381184000001</v>
      </c>
      <c r="AC1723" s="372">
        <v>1152.1534807</v>
      </c>
      <c r="AD1723" s="372">
        <v>1591.9945729999999</v>
      </c>
      <c r="AE1723" s="372">
        <v>0</v>
      </c>
      <c r="AF1723" s="372">
        <v>0</v>
      </c>
      <c r="AG1723" s="372">
        <v>0</v>
      </c>
      <c r="AH1723" s="372">
        <v>0</v>
      </c>
    </row>
    <row r="1724" spans="1:34">
      <c r="A1724" s="372" t="s">
        <v>11401</v>
      </c>
      <c r="B1724" s="373" t="s">
        <v>11402</v>
      </c>
      <c r="C1724" s="372" t="s">
        <v>11403</v>
      </c>
      <c r="D1724" s="374">
        <v>1311110416816</v>
      </c>
      <c r="E1724" s="372" t="s">
        <v>11404</v>
      </c>
      <c r="F1724" s="375" t="s">
        <v>2858</v>
      </c>
      <c r="G1724" s="375" t="s">
        <v>2859</v>
      </c>
      <c r="H1724" s="375" t="s">
        <v>1388</v>
      </c>
      <c r="I1724" s="375" t="s">
        <v>869</v>
      </c>
      <c r="J1724" s="375">
        <v>201031.42963</v>
      </c>
      <c r="K1724" s="375">
        <v>15360.086670000001</v>
      </c>
      <c r="L1724" s="375">
        <v>12222.28318</v>
      </c>
      <c r="M1724" s="375">
        <v>98129.741269999999</v>
      </c>
      <c r="N1724" s="372">
        <v>0.92100000000000004</v>
      </c>
      <c r="O1724" s="703">
        <v>31.858771428280601</v>
      </c>
      <c r="P1724" s="375" t="s">
        <v>623</v>
      </c>
      <c r="Q1724" s="372" t="s">
        <v>623</v>
      </c>
      <c r="R1724" s="695">
        <v>20150825</v>
      </c>
      <c r="S1724" s="375" t="s">
        <v>11405</v>
      </c>
      <c r="T1724" s="696">
        <v>0.20900000000000002</v>
      </c>
      <c r="U1724" s="372" t="s">
        <v>16086</v>
      </c>
      <c r="V1724" s="722">
        <v>5.78</v>
      </c>
      <c r="W1724" s="722">
        <v>1.23</v>
      </c>
      <c r="X1724" s="722">
        <v>0.39</v>
      </c>
      <c r="Y1724" s="722">
        <v>12.29</v>
      </c>
      <c r="Z1724" s="382" t="s">
        <v>934</v>
      </c>
      <c r="AA1724" s="372">
        <v>1183.8055846</v>
      </c>
      <c r="AB1724" s="372">
        <v>1318.4146963000001</v>
      </c>
      <c r="AC1724" s="372">
        <v>1504.8181603999999</v>
      </c>
      <c r="AD1724" s="372">
        <v>2010.3142963</v>
      </c>
      <c r="AE1724" s="372">
        <v>0</v>
      </c>
      <c r="AF1724" s="372">
        <v>0</v>
      </c>
      <c r="AG1724" s="372">
        <v>0</v>
      </c>
      <c r="AH1724" s="372">
        <v>0</v>
      </c>
    </row>
    <row r="1725" spans="1:34">
      <c r="A1725" s="372" t="s">
        <v>11406</v>
      </c>
      <c r="B1725" s="373" t="s">
        <v>11407</v>
      </c>
      <c r="C1725" s="372" t="s">
        <v>11408</v>
      </c>
      <c r="D1725" s="374">
        <v>1701110233338</v>
      </c>
      <c r="E1725" s="372" t="s">
        <v>11409</v>
      </c>
      <c r="F1725" s="375" t="s">
        <v>2139</v>
      </c>
      <c r="G1725" s="375" t="s">
        <v>2140</v>
      </c>
      <c r="H1725" s="375" t="s">
        <v>817</v>
      </c>
      <c r="I1725" s="375" t="s">
        <v>755</v>
      </c>
      <c r="J1725" s="375">
        <v>181568.71721999999</v>
      </c>
      <c r="K1725" s="375">
        <v>8359.0241499999993</v>
      </c>
      <c r="L1725" s="375">
        <v>3934.2517899999998</v>
      </c>
      <c r="M1725" s="375">
        <v>94727.342780000006</v>
      </c>
      <c r="N1725" s="372">
        <v>1.3140000000000001</v>
      </c>
      <c r="O1725" s="703">
        <v>50.729440151270843</v>
      </c>
      <c r="P1725" s="375" t="s">
        <v>623</v>
      </c>
      <c r="Q1725" s="372" t="s">
        <v>623</v>
      </c>
      <c r="R1725" s="695">
        <v>20021111</v>
      </c>
      <c r="S1725" s="372" t="s">
        <v>11410</v>
      </c>
      <c r="T1725" s="696">
        <v>0.20900000000000002</v>
      </c>
      <c r="U1725" s="372" t="s">
        <v>11411</v>
      </c>
      <c r="V1725" s="722">
        <v>0</v>
      </c>
      <c r="W1725" s="722">
        <v>0.9</v>
      </c>
      <c r="X1725" s="722">
        <v>0</v>
      </c>
      <c r="Y1725" s="722">
        <v>0</v>
      </c>
      <c r="Z1725" s="382" t="s">
        <v>934</v>
      </c>
      <c r="AA1725" s="372">
        <v>1214.2644152</v>
      </c>
      <c r="AB1725" s="372">
        <v>1434.0175827</v>
      </c>
      <c r="AC1725" s="372">
        <v>1740.3674074</v>
      </c>
      <c r="AD1725" s="372">
        <v>1815.6871722000001</v>
      </c>
      <c r="AE1725" s="372">
        <v>0</v>
      </c>
      <c r="AF1725" s="372">
        <v>0</v>
      </c>
      <c r="AG1725" s="372">
        <v>0</v>
      </c>
      <c r="AH1725" s="372">
        <v>0</v>
      </c>
    </row>
    <row r="1726" spans="1:34">
      <c r="A1726" s="372" t="s">
        <v>11412</v>
      </c>
      <c r="B1726" s="373" t="s">
        <v>11413</v>
      </c>
      <c r="C1726" s="372" t="s">
        <v>11414</v>
      </c>
      <c r="D1726" s="374">
        <v>1101110008486</v>
      </c>
      <c r="E1726" s="372" t="s">
        <v>11415</v>
      </c>
      <c r="F1726" s="375" t="s">
        <v>900</v>
      </c>
      <c r="G1726" s="375" t="s">
        <v>901</v>
      </c>
      <c r="H1726" s="375" t="s">
        <v>862</v>
      </c>
      <c r="I1726" s="375" t="s">
        <v>755</v>
      </c>
      <c r="J1726" s="375">
        <v>171965.23952</v>
      </c>
      <c r="K1726" s="375">
        <v>19128.717939999999</v>
      </c>
      <c r="L1726" s="375">
        <v>27218.097580000001</v>
      </c>
      <c r="M1726" s="375">
        <v>347206.89107999997</v>
      </c>
      <c r="N1726" s="372">
        <v>0.89700000000000002</v>
      </c>
      <c r="O1726" s="703">
        <v>2.1502599404234459</v>
      </c>
      <c r="P1726" s="375" t="s">
        <v>623</v>
      </c>
      <c r="Q1726" s="372" t="s">
        <v>623</v>
      </c>
      <c r="R1726" s="695">
        <v>19751222</v>
      </c>
      <c r="S1726" s="372" t="s">
        <v>11416</v>
      </c>
      <c r="T1726" s="696">
        <v>0.23100000000000001</v>
      </c>
      <c r="U1726" s="372" t="s">
        <v>8748</v>
      </c>
      <c r="V1726" s="722">
        <v>5.96</v>
      </c>
      <c r="W1726" s="722">
        <v>0.25</v>
      </c>
      <c r="X1726" s="722">
        <v>0.42</v>
      </c>
      <c r="Y1726" s="722">
        <v>4.3099999999999996</v>
      </c>
      <c r="Z1726" s="382" t="s">
        <v>934</v>
      </c>
      <c r="AA1726" s="372">
        <v>1316.3708449999999</v>
      </c>
      <c r="AB1726" s="372">
        <v>1590.1795529999999</v>
      </c>
      <c r="AC1726" s="372">
        <v>1752.6645203999999</v>
      </c>
      <c r="AD1726" s="372">
        <v>1719.6523952</v>
      </c>
      <c r="AE1726" s="372">
        <v>0</v>
      </c>
      <c r="AF1726" s="372">
        <v>0</v>
      </c>
      <c r="AG1726" s="372">
        <v>0</v>
      </c>
      <c r="AH1726" s="372">
        <v>0</v>
      </c>
    </row>
    <row r="1727" spans="1:34">
      <c r="A1727" s="372" t="s">
        <v>11417</v>
      </c>
      <c r="B1727" s="373" t="s">
        <v>11418</v>
      </c>
      <c r="C1727" s="372" t="s">
        <v>11419</v>
      </c>
      <c r="D1727" s="374">
        <v>1344110001840</v>
      </c>
      <c r="E1727" s="372" t="s">
        <v>11420</v>
      </c>
      <c r="F1727" s="372" t="s">
        <v>1334</v>
      </c>
      <c r="G1727" s="375" t="s">
        <v>1334</v>
      </c>
      <c r="H1727" s="375" t="s">
        <v>868</v>
      </c>
      <c r="I1727" s="375" t="s">
        <v>869</v>
      </c>
      <c r="J1727" s="375">
        <v>81374.983429999993</v>
      </c>
      <c r="K1727" s="375">
        <v>18025.892029999999</v>
      </c>
      <c r="L1727" s="375">
        <v>8265.3197999999993</v>
      </c>
      <c r="M1727" s="375">
        <v>77090.082739999998</v>
      </c>
      <c r="N1727" s="372">
        <v>0.65900000000000003</v>
      </c>
      <c r="O1727" s="703">
        <v>0.1011786932092137</v>
      </c>
      <c r="P1727" s="375" t="s">
        <v>623</v>
      </c>
      <c r="Q1727" s="372" t="s">
        <v>623</v>
      </c>
      <c r="R1727" s="695">
        <v>20001205</v>
      </c>
      <c r="S1727" s="372" t="s">
        <v>11421</v>
      </c>
      <c r="T1727" s="696">
        <v>0.20900000000000002</v>
      </c>
      <c r="U1727" s="372" t="s">
        <v>11422</v>
      </c>
      <c r="V1727" s="722">
        <v>0</v>
      </c>
      <c r="W1727" s="722">
        <v>1</v>
      </c>
      <c r="X1727" s="722">
        <v>0</v>
      </c>
      <c r="Y1727" s="722">
        <v>0</v>
      </c>
      <c r="Z1727" s="382" t="s">
        <v>934</v>
      </c>
      <c r="AA1727" s="372">
        <v>667.89304919999995</v>
      </c>
      <c r="AB1727" s="372">
        <v>744.65727430000004</v>
      </c>
      <c r="AC1727" s="372">
        <v>799.84056439999995</v>
      </c>
      <c r="AD1727" s="372">
        <v>813.74983429999997</v>
      </c>
      <c r="AE1727" s="372">
        <v>0</v>
      </c>
      <c r="AF1727" s="372">
        <v>0</v>
      </c>
      <c r="AG1727" s="372">
        <v>0</v>
      </c>
      <c r="AH1727" s="372">
        <v>0</v>
      </c>
    </row>
    <row r="1728" spans="1:34">
      <c r="A1728" s="372" t="s">
        <v>11423</v>
      </c>
      <c r="B1728" s="373" t="s">
        <v>11424</v>
      </c>
      <c r="C1728" s="372" t="s">
        <v>11425</v>
      </c>
      <c r="D1728" s="374">
        <v>1101112035578</v>
      </c>
      <c r="E1728" s="372" t="s">
        <v>11426</v>
      </c>
      <c r="F1728" s="375" t="s">
        <v>6673</v>
      </c>
      <c r="G1728" s="375" t="s">
        <v>6673</v>
      </c>
      <c r="H1728" s="375" t="s">
        <v>1388</v>
      </c>
      <c r="I1728" s="375" t="s">
        <v>869</v>
      </c>
      <c r="J1728" s="375">
        <v>59017.753140000001</v>
      </c>
      <c r="K1728" s="375">
        <v>9004.1758100000006</v>
      </c>
      <c r="L1728" s="375">
        <v>10473.20917</v>
      </c>
      <c r="M1728" s="375">
        <v>80582.111820000006</v>
      </c>
      <c r="N1728" s="372">
        <v>0.748</v>
      </c>
      <c r="O1728" s="703">
        <v>1.0512484657459613</v>
      </c>
      <c r="P1728" s="375" t="s">
        <v>623</v>
      </c>
      <c r="Q1728" s="372" t="s">
        <v>623</v>
      </c>
      <c r="R1728" s="695">
        <v>20130801</v>
      </c>
      <c r="S1728" s="372" t="s">
        <v>11427</v>
      </c>
      <c r="T1728" s="696">
        <v>0.20900000000000002</v>
      </c>
      <c r="U1728" s="372" t="s">
        <v>11428</v>
      </c>
      <c r="V1728" s="722">
        <v>0</v>
      </c>
      <c r="W1728" s="722">
        <v>0.89</v>
      </c>
      <c r="X1728" s="722">
        <v>0</v>
      </c>
      <c r="Y1728" s="722">
        <v>0</v>
      </c>
      <c r="Z1728" s="382" t="s">
        <v>934</v>
      </c>
      <c r="AA1728" s="372">
        <v>398.3820571</v>
      </c>
      <c r="AB1728" s="372">
        <v>543.33902639999997</v>
      </c>
      <c r="AC1728" s="372">
        <v>616.37231699999995</v>
      </c>
      <c r="AD1728" s="372">
        <v>590.17753140000002</v>
      </c>
      <c r="AE1728" s="372">
        <v>0</v>
      </c>
      <c r="AF1728" s="372">
        <v>0</v>
      </c>
      <c r="AG1728" s="372">
        <v>0</v>
      </c>
      <c r="AH1728" s="372">
        <v>0</v>
      </c>
    </row>
    <row r="1729" spans="1:34">
      <c r="A1729" s="372" t="s">
        <v>11429</v>
      </c>
      <c r="B1729" s="373" t="s">
        <v>11430</v>
      </c>
      <c r="C1729" s="372" t="s">
        <v>11431</v>
      </c>
      <c r="D1729" s="374">
        <v>2111110005365</v>
      </c>
      <c r="E1729" s="372" t="s">
        <v>11432</v>
      </c>
      <c r="F1729" s="375" t="s">
        <v>4016</v>
      </c>
      <c r="G1729" s="375" t="s">
        <v>11433</v>
      </c>
      <c r="H1729" s="375" t="s">
        <v>868</v>
      </c>
      <c r="I1729" s="375" t="s">
        <v>869</v>
      </c>
      <c r="J1729" s="375">
        <v>349164.10875999997</v>
      </c>
      <c r="K1729" s="375">
        <v>21126.989600000001</v>
      </c>
      <c r="L1729" s="375">
        <v>31854.413949999998</v>
      </c>
      <c r="M1729" s="375">
        <v>219770.65288000001</v>
      </c>
      <c r="N1729" s="372">
        <v>0.74399999999999999</v>
      </c>
      <c r="O1729" s="703">
        <v>51.762460170149481</v>
      </c>
      <c r="P1729" s="375" t="s">
        <v>623</v>
      </c>
      <c r="Q1729" s="372" t="s">
        <v>623</v>
      </c>
      <c r="R1729" s="695">
        <v>20060623</v>
      </c>
      <c r="S1729" s="372" t="s">
        <v>11434</v>
      </c>
      <c r="T1729" s="696">
        <v>0.23100000000000001</v>
      </c>
      <c r="U1729" s="372" t="s">
        <v>11435</v>
      </c>
      <c r="V1729" s="722">
        <v>3.2</v>
      </c>
      <c r="W1729" s="722">
        <v>0.36</v>
      </c>
      <c r="X1729" s="722">
        <v>0.23</v>
      </c>
      <c r="Y1729" s="722">
        <v>3.03</v>
      </c>
      <c r="Z1729" s="382" t="s">
        <v>934</v>
      </c>
      <c r="AA1729" s="372">
        <v>2761.8334432000001</v>
      </c>
      <c r="AB1729" s="372">
        <v>2956.8493308000002</v>
      </c>
      <c r="AC1729" s="372">
        <v>3368.4747305000001</v>
      </c>
      <c r="AD1729" s="372">
        <v>3491.6410876</v>
      </c>
      <c r="AE1729" s="372">
        <v>0</v>
      </c>
      <c r="AF1729" s="372">
        <v>0</v>
      </c>
      <c r="AG1729" s="372">
        <v>0</v>
      </c>
      <c r="AH1729" s="372">
        <v>0</v>
      </c>
    </row>
    <row r="1730" spans="1:34">
      <c r="A1730" s="372" t="s">
        <v>11436</v>
      </c>
      <c r="B1730" s="373" t="s">
        <v>11437</v>
      </c>
      <c r="C1730" s="372" t="s">
        <v>11438</v>
      </c>
      <c r="D1730" s="374">
        <v>2052110005288</v>
      </c>
      <c r="E1730" s="372" t="s">
        <v>11439</v>
      </c>
      <c r="F1730" s="372" t="s">
        <v>1592</v>
      </c>
      <c r="G1730" s="375" t="s">
        <v>6376</v>
      </c>
      <c r="H1730" s="375" t="s">
        <v>1050</v>
      </c>
      <c r="I1730" s="375" t="s">
        <v>755</v>
      </c>
      <c r="J1730" s="375">
        <v>378093.13936999999</v>
      </c>
      <c r="K1730" s="375">
        <v>22478.73342</v>
      </c>
      <c r="L1730" s="375">
        <v>17813.088680000001</v>
      </c>
      <c r="M1730" s="375">
        <v>154105.44719000001</v>
      </c>
      <c r="N1730" s="372">
        <v>0.99399999999999999</v>
      </c>
      <c r="O1730" s="703">
        <v>175.58214365809107</v>
      </c>
      <c r="P1730" s="375" t="s">
        <v>623</v>
      </c>
      <c r="Q1730" s="375" t="s">
        <v>623</v>
      </c>
      <c r="R1730" s="695">
        <v>20040802</v>
      </c>
      <c r="S1730" s="375" t="s">
        <v>11440</v>
      </c>
      <c r="T1730" s="696">
        <v>0.20900000000000002</v>
      </c>
      <c r="U1730" s="372" t="s">
        <v>11441</v>
      </c>
      <c r="V1730" s="722">
        <v>4.53</v>
      </c>
      <c r="W1730" s="722">
        <v>0.53</v>
      </c>
      <c r="X1730" s="722">
        <v>0.22</v>
      </c>
      <c r="Y1730" s="722">
        <v>5.81</v>
      </c>
      <c r="Z1730" s="382" t="s">
        <v>934</v>
      </c>
      <c r="AA1730" s="372">
        <v>2244.7850873000002</v>
      </c>
      <c r="AB1730" s="372">
        <v>3636.0016919</v>
      </c>
      <c r="AC1730" s="372">
        <v>3784.8145531</v>
      </c>
      <c r="AD1730" s="372">
        <v>3780.9313937000002</v>
      </c>
      <c r="AE1730" s="372">
        <v>0</v>
      </c>
      <c r="AF1730" s="372">
        <v>0</v>
      </c>
      <c r="AG1730" s="372">
        <v>0</v>
      </c>
      <c r="AH1730" s="372">
        <v>0</v>
      </c>
    </row>
    <row r="1731" spans="1:34">
      <c r="A1731" s="372" t="s">
        <v>11442</v>
      </c>
      <c r="B1731" s="373" t="s">
        <v>11443</v>
      </c>
      <c r="C1731" s="372" t="s">
        <v>11444</v>
      </c>
      <c r="D1731" s="374">
        <v>1901110005551</v>
      </c>
      <c r="E1731" s="372" t="s">
        <v>11445</v>
      </c>
      <c r="F1731" s="375" t="s">
        <v>2112</v>
      </c>
      <c r="G1731" s="375" t="s">
        <v>2112</v>
      </c>
      <c r="H1731" s="375" t="s">
        <v>868</v>
      </c>
      <c r="I1731" s="375" t="s">
        <v>869</v>
      </c>
      <c r="J1731" s="375">
        <v>262437.77801000001</v>
      </c>
      <c r="K1731" s="375">
        <v>9727.7199799999999</v>
      </c>
      <c r="L1731" s="375">
        <v>13027.501609999999</v>
      </c>
      <c r="M1731" s="375">
        <v>194512.41933999999</v>
      </c>
      <c r="N1731" s="372">
        <v>0.96399999999999997</v>
      </c>
      <c r="O1731" s="703">
        <v>0</v>
      </c>
      <c r="P1731" s="375" t="s">
        <v>623</v>
      </c>
      <c r="Q1731" s="372" t="s">
        <v>623</v>
      </c>
      <c r="R1731" s="695">
        <v>20010105</v>
      </c>
      <c r="S1731" s="372" t="s">
        <v>11446</v>
      </c>
      <c r="T1731" s="696">
        <v>0.20900000000000002</v>
      </c>
      <c r="U1731" s="372" t="s">
        <v>11447</v>
      </c>
      <c r="V1731" s="722">
        <v>0</v>
      </c>
      <c r="W1731" s="722">
        <v>0.41</v>
      </c>
      <c r="X1731" s="722">
        <v>0</v>
      </c>
      <c r="Y1731" s="722">
        <v>0</v>
      </c>
      <c r="Z1731" s="382" t="s">
        <v>934</v>
      </c>
      <c r="AA1731" s="372">
        <v>2249.1993290999999</v>
      </c>
      <c r="AB1731" s="372">
        <v>3221.4686852999998</v>
      </c>
      <c r="AC1731" s="372">
        <v>3405.6681081000002</v>
      </c>
      <c r="AD1731" s="372">
        <v>2624.3777801000001</v>
      </c>
      <c r="AE1731" s="372">
        <v>0</v>
      </c>
      <c r="AF1731" s="372">
        <v>0</v>
      </c>
      <c r="AG1731" s="372">
        <v>0</v>
      </c>
      <c r="AH1731" s="372">
        <v>0</v>
      </c>
    </row>
    <row r="1732" spans="1:34">
      <c r="A1732" s="372" t="s">
        <v>11448</v>
      </c>
      <c r="B1732" s="373" t="s">
        <v>11449</v>
      </c>
      <c r="C1732" s="372" t="s">
        <v>11450</v>
      </c>
      <c r="D1732" s="374">
        <v>1348110004474</v>
      </c>
      <c r="E1732" s="372" t="s">
        <v>11451</v>
      </c>
      <c r="F1732" s="375" t="s">
        <v>1782</v>
      </c>
      <c r="G1732" s="375" t="s">
        <v>2261</v>
      </c>
      <c r="H1732" s="375" t="s">
        <v>832</v>
      </c>
      <c r="I1732" s="375" t="s">
        <v>755</v>
      </c>
      <c r="J1732" s="375">
        <v>46773.797120000003</v>
      </c>
      <c r="K1732" s="375">
        <v>505.61074000000002</v>
      </c>
      <c r="L1732" s="375">
        <v>723.76585999999998</v>
      </c>
      <c r="M1732" s="375">
        <v>48779.052909999999</v>
      </c>
      <c r="N1732" s="372">
        <v>0.94599999999999995</v>
      </c>
      <c r="O1732" s="703">
        <v>3.1444713192153153</v>
      </c>
      <c r="P1732" s="375" t="s">
        <v>623</v>
      </c>
      <c r="Q1732" s="372" t="s">
        <v>623</v>
      </c>
      <c r="R1732" s="695">
        <v>19891130</v>
      </c>
      <c r="S1732" s="372" t="s">
        <v>11452</v>
      </c>
      <c r="T1732" s="696">
        <v>0.20900000000000002</v>
      </c>
      <c r="U1732" s="372" t="s">
        <v>11453</v>
      </c>
      <c r="V1732" s="722">
        <v>0</v>
      </c>
      <c r="W1732" s="722">
        <v>1.61</v>
      </c>
      <c r="X1732" s="722">
        <v>0</v>
      </c>
      <c r="Y1732" s="722">
        <v>0</v>
      </c>
      <c r="Z1732" s="382" t="s">
        <v>934</v>
      </c>
      <c r="AA1732" s="372">
        <v>382.92696999999998</v>
      </c>
      <c r="AB1732" s="372">
        <v>397.63912499999998</v>
      </c>
      <c r="AC1732" s="372">
        <v>484.34715670000003</v>
      </c>
      <c r="AD1732" s="372">
        <v>467.7379712</v>
      </c>
      <c r="AE1732" s="372">
        <v>0</v>
      </c>
      <c r="AF1732" s="372">
        <v>0</v>
      </c>
      <c r="AG1732" s="372">
        <v>0</v>
      </c>
      <c r="AH1732" s="372">
        <v>0</v>
      </c>
    </row>
    <row r="1733" spans="1:34">
      <c r="A1733" s="372" t="s">
        <v>11454</v>
      </c>
      <c r="B1733" s="373" t="s">
        <v>11455</v>
      </c>
      <c r="C1733" s="372" t="s">
        <v>11456</v>
      </c>
      <c r="D1733" s="374">
        <v>1101110407456</v>
      </c>
      <c r="E1733" s="372" t="s">
        <v>11457</v>
      </c>
      <c r="F1733" s="375" t="s">
        <v>10848</v>
      </c>
      <c r="G1733" s="375" t="s">
        <v>11458</v>
      </c>
      <c r="H1733" s="375" t="s">
        <v>1348</v>
      </c>
      <c r="I1733" s="375" t="s">
        <v>869</v>
      </c>
      <c r="J1733" s="375">
        <v>232555.06552999999</v>
      </c>
      <c r="K1733" s="375">
        <v>28430.933870000001</v>
      </c>
      <c r="L1733" s="375">
        <v>9267.2329699999991</v>
      </c>
      <c r="M1733" s="375">
        <v>139765.60274</v>
      </c>
      <c r="N1733" s="372">
        <v>0.85499999999999998</v>
      </c>
      <c r="O1733" s="703">
        <v>481.30831093280995</v>
      </c>
      <c r="P1733" s="375" t="s">
        <v>623</v>
      </c>
      <c r="Q1733" s="375" t="s">
        <v>623</v>
      </c>
      <c r="R1733" s="695">
        <v>20001229</v>
      </c>
      <c r="S1733" s="375" t="s">
        <v>11459</v>
      </c>
      <c r="T1733" s="696">
        <v>0.20900000000000002</v>
      </c>
      <c r="U1733" s="372" t="s">
        <v>11460</v>
      </c>
      <c r="V1733" s="722">
        <v>9.7100000000000009</v>
      </c>
      <c r="W1733" s="722">
        <v>0.55000000000000004</v>
      </c>
      <c r="X1733" s="722">
        <v>0.33</v>
      </c>
      <c r="Y1733" s="722">
        <v>10.89</v>
      </c>
      <c r="Z1733" s="382" t="s">
        <v>934</v>
      </c>
      <c r="AA1733" s="372">
        <v>1415.9439364</v>
      </c>
      <c r="AB1733" s="372">
        <v>1780.7576461000001</v>
      </c>
      <c r="AC1733" s="372">
        <v>2316.9425974000001</v>
      </c>
      <c r="AD1733" s="372">
        <v>2325.5506553</v>
      </c>
      <c r="AE1733" s="372">
        <v>2413</v>
      </c>
      <c r="AF1733" s="372">
        <v>2485</v>
      </c>
      <c r="AG1733" s="372">
        <v>0</v>
      </c>
      <c r="AH1733" s="372">
        <v>0</v>
      </c>
    </row>
    <row r="1734" spans="1:34">
      <c r="A1734" s="372" t="s">
        <v>11461</v>
      </c>
      <c r="B1734" s="373" t="s">
        <v>11462</v>
      </c>
      <c r="C1734" s="372" t="s">
        <v>11463</v>
      </c>
      <c r="D1734" s="374">
        <v>1741110000527</v>
      </c>
      <c r="E1734" s="372" t="s">
        <v>11464</v>
      </c>
      <c r="F1734" s="375" t="s">
        <v>1881</v>
      </c>
      <c r="G1734" s="375" t="s">
        <v>1882</v>
      </c>
      <c r="H1734" s="375" t="s">
        <v>797</v>
      </c>
      <c r="I1734" s="375" t="s">
        <v>755</v>
      </c>
      <c r="J1734" s="375">
        <v>575491.18478000001</v>
      </c>
      <c r="K1734" s="375">
        <v>27544.460360000001</v>
      </c>
      <c r="L1734" s="375">
        <v>17815.849010000002</v>
      </c>
      <c r="M1734" s="375">
        <v>211835.21384000001</v>
      </c>
      <c r="N1734" s="372">
        <v>1.042</v>
      </c>
      <c r="O1734" s="703">
        <v>319.55589946648576</v>
      </c>
      <c r="P1734" s="375" t="s">
        <v>623</v>
      </c>
      <c r="Q1734" s="372" t="s">
        <v>623</v>
      </c>
      <c r="R1734" s="695">
        <v>20011113</v>
      </c>
      <c r="S1734" s="372" t="s">
        <v>11465</v>
      </c>
      <c r="T1734" s="696">
        <v>0.20900000000000002</v>
      </c>
      <c r="U1734" s="372" t="s">
        <v>11466</v>
      </c>
      <c r="V1734" s="722">
        <v>5.54</v>
      </c>
      <c r="W1734" s="722">
        <v>0.36</v>
      </c>
      <c r="X1734" s="722">
        <v>0.14000000000000001</v>
      </c>
      <c r="Y1734" s="722">
        <v>5.57</v>
      </c>
      <c r="Z1734" s="382" t="s">
        <v>934</v>
      </c>
      <c r="AA1734" s="372">
        <v>3490.4164820000001</v>
      </c>
      <c r="AB1734" s="372">
        <v>3970.2306804</v>
      </c>
      <c r="AC1734" s="372">
        <v>4890.1482245999996</v>
      </c>
      <c r="AD1734" s="372">
        <v>5754.9118478</v>
      </c>
      <c r="AE1734" s="372">
        <v>0</v>
      </c>
      <c r="AF1734" s="372">
        <v>0</v>
      </c>
      <c r="AG1734" s="372">
        <v>0</v>
      </c>
      <c r="AH1734" s="372">
        <v>0</v>
      </c>
    </row>
    <row r="1735" spans="1:34">
      <c r="A1735" s="372" t="s">
        <v>11467</v>
      </c>
      <c r="B1735" s="373" t="s">
        <v>11468</v>
      </c>
      <c r="C1735" s="372" t="s">
        <v>11469</v>
      </c>
      <c r="D1735" s="374">
        <v>1801110001973</v>
      </c>
      <c r="E1735" s="372" t="s">
        <v>11470</v>
      </c>
      <c r="F1735" s="375" t="s">
        <v>1472</v>
      </c>
      <c r="G1735" s="375" t="s">
        <v>5698</v>
      </c>
      <c r="H1735" s="375" t="s">
        <v>916</v>
      </c>
      <c r="I1735" s="375" t="s">
        <v>755</v>
      </c>
      <c r="J1735" s="375">
        <v>611639.43354</v>
      </c>
      <c r="K1735" s="375">
        <v>23029.106090000001</v>
      </c>
      <c r="L1735" s="375">
        <v>17258.740030000001</v>
      </c>
      <c r="M1735" s="375">
        <v>263840.46078000002</v>
      </c>
      <c r="N1735" s="372">
        <v>1.113</v>
      </c>
      <c r="O1735" s="703">
        <v>128.8636318849008</v>
      </c>
      <c r="P1735" s="375" t="s">
        <v>623</v>
      </c>
      <c r="Q1735" s="372" t="s">
        <v>623</v>
      </c>
      <c r="R1735" s="695">
        <v>20111216</v>
      </c>
      <c r="S1735" s="372" t="s">
        <v>11471</v>
      </c>
      <c r="T1735" s="696">
        <v>0.20900000000000002</v>
      </c>
      <c r="U1735" s="372" t="s">
        <v>11472</v>
      </c>
      <c r="V1735" s="722">
        <v>3.01</v>
      </c>
      <c r="W1735" s="722">
        <v>0.26</v>
      </c>
      <c r="X1735" s="722">
        <v>0.12</v>
      </c>
      <c r="Y1735" s="722">
        <v>5.26</v>
      </c>
      <c r="Z1735" s="382" t="s">
        <v>934</v>
      </c>
      <c r="AA1735" s="372">
        <v>4583.1682633</v>
      </c>
      <c r="AB1735" s="372">
        <v>5888.8203993999996</v>
      </c>
      <c r="AC1735" s="372">
        <v>7199.8367270999997</v>
      </c>
      <c r="AD1735" s="372">
        <v>6116.3943354000003</v>
      </c>
      <c r="AE1735" s="372">
        <v>0</v>
      </c>
      <c r="AF1735" s="372">
        <v>0</v>
      </c>
      <c r="AG1735" s="372">
        <v>0</v>
      </c>
      <c r="AH1735" s="372">
        <v>0</v>
      </c>
    </row>
    <row r="1736" spans="1:34">
      <c r="A1736" s="372" t="s">
        <v>11473</v>
      </c>
      <c r="B1736" s="373" t="s">
        <v>11474</v>
      </c>
      <c r="C1736" s="372" t="s">
        <v>11475</v>
      </c>
      <c r="D1736" s="374">
        <v>1345110004149</v>
      </c>
      <c r="E1736" s="372" t="s">
        <v>11476</v>
      </c>
      <c r="F1736" s="375" t="s">
        <v>4016</v>
      </c>
      <c r="G1736" s="375" t="s">
        <v>4017</v>
      </c>
      <c r="H1736" s="375" t="s">
        <v>1327</v>
      </c>
      <c r="I1736" s="375" t="s">
        <v>755</v>
      </c>
      <c r="J1736" s="375">
        <v>339611.58497999999</v>
      </c>
      <c r="K1736" s="375">
        <v>2214.54691</v>
      </c>
      <c r="L1736" s="375">
        <v>-1772.25477</v>
      </c>
      <c r="M1736" s="375">
        <v>45895.285519999998</v>
      </c>
      <c r="N1736" s="372">
        <v>0.96799999999999997</v>
      </c>
      <c r="O1736" s="703">
        <v>76.15852400008643</v>
      </c>
      <c r="P1736" s="375" t="s">
        <v>623</v>
      </c>
      <c r="Q1736" s="375" t="s">
        <v>623</v>
      </c>
      <c r="R1736" s="695">
        <v>20001205</v>
      </c>
      <c r="S1736" s="375" t="s">
        <v>11477</v>
      </c>
      <c r="T1736" s="696" t="s">
        <v>772</v>
      </c>
      <c r="U1736" s="372" t="s">
        <v>11478</v>
      </c>
      <c r="V1736" s="722">
        <v>10.56</v>
      </c>
      <c r="W1736" s="722">
        <v>1.58</v>
      </c>
      <c r="X1736" s="722">
        <v>0.22</v>
      </c>
      <c r="Y1736" s="722" t="s">
        <v>774</v>
      </c>
      <c r="Z1736" s="382" t="s">
        <v>934</v>
      </c>
      <c r="AA1736" s="372">
        <v>2147.9462668000001</v>
      </c>
      <c r="AB1736" s="372">
        <v>2527.2700675000001</v>
      </c>
      <c r="AC1736" s="372">
        <v>3205.5128098999999</v>
      </c>
      <c r="AD1736" s="372">
        <v>3396.1158498</v>
      </c>
      <c r="AE1736" s="372">
        <v>0</v>
      </c>
      <c r="AF1736" s="372">
        <v>0</v>
      </c>
      <c r="AG1736" s="372">
        <v>0</v>
      </c>
      <c r="AH1736" s="372">
        <v>0</v>
      </c>
    </row>
    <row r="1737" spans="1:34">
      <c r="A1737" s="372" t="s">
        <v>11479</v>
      </c>
      <c r="B1737" s="373" t="s">
        <v>11480</v>
      </c>
      <c r="C1737" s="372" t="s">
        <v>11481</v>
      </c>
      <c r="D1737" s="374">
        <v>1101110054760</v>
      </c>
      <c r="E1737" s="372" t="s">
        <v>11482</v>
      </c>
      <c r="F1737" s="375" t="s">
        <v>852</v>
      </c>
      <c r="G1737" s="375" t="s">
        <v>852</v>
      </c>
      <c r="H1737" s="375" t="s">
        <v>853</v>
      </c>
      <c r="I1737" s="375" t="s">
        <v>755</v>
      </c>
      <c r="J1737" s="375">
        <v>69674.672019999998</v>
      </c>
      <c r="K1737" s="375">
        <v>-6078.1549999999997</v>
      </c>
      <c r="L1737" s="375">
        <v>-9304.3194600000006</v>
      </c>
      <c r="M1737" s="375">
        <v>108115.0961</v>
      </c>
      <c r="N1737" s="372">
        <v>1.2110000000000001</v>
      </c>
      <c r="O1737" s="703">
        <v>152.28995171771339</v>
      </c>
      <c r="P1737" s="375" t="s">
        <v>623</v>
      </c>
      <c r="Q1737" s="372" t="s">
        <v>623</v>
      </c>
      <c r="R1737" s="695">
        <v>19891114</v>
      </c>
      <c r="S1737" s="372" t="s">
        <v>11483</v>
      </c>
      <c r="T1737" s="696" t="s">
        <v>772</v>
      </c>
      <c r="U1737" s="372" t="s">
        <v>11484</v>
      </c>
      <c r="V1737" s="722" t="s">
        <v>774</v>
      </c>
      <c r="W1737" s="722">
        <v>0.73</v>
      </c>
      <c r="X1737" s="722">
        <v>1.1599999999999999</v>
      </c>
      <c r="Y1737" s="722" t="s">
        <v>774</v>
      </c>
      <c r="Z1737" s="382" t="s">
        <v>934</v>
      </c>
      <c r="AA1737" s="372">
        <v>925.3356096</v>
      </c>
      <c r="AB1737" s="372">
        <v>1023.2029093</v>
      </c>
      <c r="AC1737" s="372">
        <v>981.37172429999998</v>
      </c>
      <c r="AD1737" s="372">
        <v>696.74672020000003</v>
      </c>
      <c r="AE1737" s="372">
        <v>0</v>
      </c>
      <c r="AF1737" s="372">
        <v>0</v>
      </c>
      <c r="AG1737" s="372">
        <v>0</v>
      </c>
      <c r="AH1737" s="372">
        <v>0</v>
      </c>
    </row>
    <row r="1738" spans="1:34">
      <c r="A1738" s="372" t="s">
        <v>11485</v>
      </c>
      <c r="B1738" s="373" t="s">
        <v>11486</v>
      </c>
      <c r="C1738" s="372" t="s">
        <v>11487</v>
      </c>
      <c r="D1738" s="374">
        <v>1101111665516</v>
      </c>
      <c r="E1738" s="372" t="s">
        <v>11488</v>
      </c>
      <c r="F1738" s="375" t="s">
        <v>2858</v>
      </c>
      <c r="G1738" s="375" t="s">
        <v>2858</v>
      </c>
      <c r="H1738" s="375" t="s">
        <v>1388</v>
      </c>
      <c r="I1738" s="375" t="s">
        <v>869</v>
      </c>
      <c r="J1738" s="375">
        <v>1262831.6551600001</v>
      </c>
      <c r="K1738" s="375">
        <v>40278.032249999997</v>
      </c>
      <c r="L1738" s="375">
        <v>26449.237939999999</v>
      </c>
      <c r="M1738" s="375">
        <v>435831.47897</v>
      </c>
      <c r="N1738" s="372">
        <v>1.2090000000000001</v>
      </c>
      <c r="O1738" s="703">
        <v>291.78126447152283</v>
      </c>
      <c r="P1738" s="375" t="s">
        <v>623</v>
      </c>
      <c r="Q1738" s="372" t="s">
        <v>623</v>
      </c>
      <c r="R1738" s="695">
        <v>20100204</v>
      </c>
      <c r="S1738" s="372" t="s">
        <v>11489</v>
      </c>
      <c r="T1738" s="696">
        <v>0.23100000000000001</v>
      </c>
      <c r="U1738" s="372" t="s">
        <v>11490</v>
      </c>
      <c r="V1738" s="722">
        <v>3.84</v>
      </c>
      <c r="W1738" s="722">
        <v>0.25</v>
      </c>
      <c r="X1738" s="722">
        <v>0.06</v>
      </c>
      <c r="Y1738" s="722">
        <v>5.13</v>
      </c>
      <c r="Z1738" s="382" t="s">
        <v>934</v>
      </c>
      <c r="AA1738" s="372">
        <v>10804.7849477</v>
      </c>
      <c r="AB1738" s="372">
        <v>11718.0118559</v>
      </c>
      <c r="AC1738" s="372">
        <v>13268.860438199999</v>
      </c>
      <c r="AD1738" s="372">
        <v>12628.316551600001</v>
      </c>
      <c r="AE1738" s="372">
        <v>0</v>
      </c>
      <c r="AF1738" s="372">
        <v>0</v>
      </c>
      <c r="AG1738" s="372">
        <v>0</v>
      </c>
      <c r="AH1738" s="372">
        <v>0</v>
      </c>
    </row>
    <row r="1739" spans="1:34">
      <c r="A1739" s="372" t="s">
        <v>11491</v>
      </c>
      <c r="B1739" s="373" t="s">
        <v>11492</v>
      </c>
      <c r="C1739" s="372" t="s">
        <v>11493</v>
      </c>
      <c r="D1739" s="374">
        <v>1243110019293</v>
      </c>
      <c r="E1739" s="372" t="s">
        <v>11494</v>
      </c>
      <c r="F1739" s="372" t="s">
        <v>1881</v>
      </c>
      <c r="G1739" s="375" t="s">
        <v>1882</v>
      </c>
      <c r="H1739" s="375" t="s">
        <v>868</v>
      </c>
      <c r="I1739" s="375" t="s">
        <v>869</v>
      </c>
      <c r="J1739" s="375">
        <v>178166.77687</v>
      </c>
      <c r="K1739" s="375">
        <v>15168.146220000001</v>
      </c>
      <c r="L1739" s="375">
        <v>9323.3391699999993</v>
      </c>
      <c r="M1739" s="375">
        <v>123667.79816999999</v>
      </c>
      <c r="N1739" s="372">
        <v>0.86399999999999999</v>
      </c>
      <c r="O1739" s="703">
        <v>145.44263836196768</v>
      </c>
      <c r="P1739" s="375" t="s">
        <v>623</v>
      </c>
      <c r="Q1739" s="372" t="s">
        <v>623</v>
      </c>
      <c r="R1739" s="695">
        <v>19961129</v>
      </c>
      <c r="S1739" s="375" t="s">
        <v>11495</v>
      </c>
      <c r="T1739" s="696">
        <v>0.20900000000000002</v>
      </c>
      <c r="U1739" s="372" t="s">
        <v>11496</v>
      </c>
      <c r="V1739" s="722">
        <v>6.19</v>
      </c>
      <c r="W1739" s="722">
        <v>0.6</v>
      </c>
      <c r="X1739" s="722">
        <v>0.41</v>
      </c>
      <c r="Y1739" s="722">
        <v>9.66</v>
      </c>
      <c r="Z1739" s="382" t="s">
        <v>934</v>
      </c>
      <c r="AA1739" s="372">
        <v>1382.5502767</v>
      </c>
      <c r="AB1739" s="372">
        <v>1524.7147892999999</v>
      </c>
      <c r="AC1739" s="372">
        <v>1773.6453839999999</v>
      </c>
      <c r="AD1739" s="372">
        <v>1781.6677686999999</v>
      </c>
      <c r="AE1739" s="372">
        <v>0</v>
      </c>
      <c r="AF1739" s="372">
        <v>0</v>
      </c>
      <c r="AG1739" s="372">
        <v>0</v>
      </c>
      <c r="AH1739" s="372">
        <v>0</v>
      </c>
    </row>
    <row r="1740" spans="1:34">
      <c r="A1740" s="372" t="s">
        <v>11497</v>
      </c>
      <c r="B1740" s="373" t="s">
        <v>11498</v>
      </c>
      <c r="C1740" s="372" t="s">
        <v>11499</v>
      </c>
      <c r="D1740" s="374">
        <v>1101110245575</v>
      </c>
      <c r="E1740" s="372" t="s">
        <v>11500</v>
      </c>
      <c r="F1740" s="375" t="s">
        <v>5463</v>
      </c>
      <c r="G1740" s="375" t="s">
        <v>10879</v>
      </c>
      <c r="H1740" s="375" t="s">
        <v>868</v>
      </c>
      <c r="I1740" s="375" t="s">
        <v>869</v>
      </c>
      <c r="J1740" s="375">
        <v>86177.095409999994</v>
      </c>
      <c r="K1740" s="375">
        <v>-5157.69614</v>
      </c>
      <c r="L1740" s="375">
        <v>-7238.5808299999999</v>
      </c>
      <c r="M1740" s="375">
        <v>45677.572990000001</v>
      </c>
      <c r="N1740" s="372">
        <v>0.99399999999999999</v>
      </c>
      <c r="O1740" s="703">
        <v>62.459069591829738</v>
      </c>
      <c r="P1740" s="375" t="s">
        <v>623</v>
      </c>
      <c r="Q1740" s="375" t="s">
        <v>623</v>
      </c>
      <c r="R1740" s="695">
        <v>20010112</v>
      </c>
      <c r="S1740" s="375" t="s">
        <v>11501</v>
      </c>
      <c r="T1740" s="696" t="s">
        <v>772</v>
      </c>
      <c r="U1740" s="372" t="s">
        <v>11502</v>
      </c>
      <c r="V1740" s="722" t="s">
        <v>774</v>
      </c>
      <c r="W1740" s="722">
        <v>1.1499999999999999</v>
      </c>
      <c r="X1740" s="722">
        <v>0.59</v>
      </c>
      <c r="Y1740" s="722" t="s">
        <v>774</v>
      </c>
      <c r="Z1740" s="382" t="s">
        <v>934</v>
      </c>
      <c r="AA1740" s="372">
        <v>885.58514969999999</v>
      </c>
      <c r="AB1740" s="372">
        <v>869.50519359999998</v>
      </c>
      <c r="AC1740" s="372">
        <v>942.79860989999997</v>
      </c>
      <c r="AD1740" s="372">
        <v>861.77095410000004</v>
      </c>
      <c r="AE1740" s="372">
        <v>0</v>
      </c>
      <c r="AF1740" s="372">
        <v>0</v>
      </c>
      <c r="AG1740" s="372">
        <v>0</v>
      </c>
      <c r="AH1740" s="372">
        <v>0</v>
      </c>
    </row>
    <row r="1741" spans="1:34">
      <c r="A1741" s="372" t="s">
        <v>11503</v>
      </c>
      <c r="B1741" s="373" t="s">
        <v>11504</v>
      </c>
      <c r="C1741" s="372" t="s">
        <v>11505</v>
      </c>
      <c r="D1741" s="374">
        <v>1101110866785</v>
      </c>
      <c r="E1741" s="372" t="s">
        <v>11506</v>
      </c>
      <c r="F1741" s="372" t="s">
        <v>1700</v>
      </c>
      <c r="G1741" s="375" t="s">
        <v>11507</v>
      </c>
      <c r="H1741" s="375" t="s">
        <v>868</v>
      </c>
      <c r="I1741" s="375" t="s">
        <v>869</v>
      </c>
      <c r="J1741" s="375">
        <v>62809.011380000004</v>
      </c>
      <c r="K1741" s="375">
        <v>3845.7723799999999</v>
      </c>
      <c r="L1741" s="375">
        <v>3157.3933000000002</v>
      </c>
      <c r="M1741" s="375">
        <v>73242.51139</v>
      </c>
      <c r="N1741" s="372">
        <v>0.53700000000000003</v>
      </c>
      <c r="O1741" s="703">
        <v>54.804000680970645</v>
      </c>
      <c r="P1741" s="375" t="s">
        <v>623</v>
      </c>
      <c r="Q1741" s="372" t="s">
        <v>623</v>
      </c>
      <c r="R1741" s="695">
        <v>20020226</v>
      </c>
      <c r="S1741" s="372" t="s">
        <v>11508</v>
      </c>
      <c r="T1741" s="696">
        <v>0.20900000000000002</v>
      </c>
      <c r="U1741" s="375" t="s">
        <v>11509</v>
      </c>
      <c r="V1741" s="722">
        <v>17.04</v>
      </c>
      <c r="W1741" s="722">
        <v>1.1000000000000001</v>
      </c>
      <c r="X1741" s="722">
        <v>1.29</v>
      </c>
      <c r="Y1741" s="722">
        <v>21.76</v>
      </c>
      <c r="Z1741" s="382" t="s">
        <v>934</v>
      </c>
      <c r="AA1741" s="372">
        <v>483.20184380000001</v>
      </c>
      <c r="AB1741" s="372">
        <v>551.67562199999998</v>
      </c>
      <c r="AC1741" s="372">
        <v>615.37390210000001</v>
      </c>
      <c r="AD1741" s="372">
        <v>628.09011380000004</v>
      </c>
      <c r="AE1741" s="372">
        <v>0</v>
      </c>
      <c r="AF1741" s="372">
        <v>0</v>
      </c>
      <c r="AG1741" s="372">
        <v>0</v>
      </c>
      <c r="AH1741" s="372">
        <v>0</v>
      </c>
    </row>
    <row r="1742" spans="1:34">
      <c r="A1742" s="372" t="s">
        <v>11510</v>
      </c>
      <c r="B1742" s="373" t="s">
        <v>11511</v>
      </c>
      <c r="C1742" s="372" t="s">
        <v>11512</v>
      </c>
      <c r="D1742" s="374">
        <v>1501110137013</v>
      </c>
      <c r="E1742" s="372" t="s">
        <v>11513</v>
      </c>
      <c r="F1742" s="375" t="s">
        <v>5674</v>
      </c>
      <c r="G1742" s="375" t="s">
        <v>5674</v>
      </c>
      <c r="H1742" s="375" t="s">
        <v>868</v>
      </c>
      <c r="I1742" s="375" t="s">
        <v>869</v>
      </c>
      <c r="J1742" s="375">
        <v>47497.623099999997</v>
      </c>
      <c r="K1742" s="375">
        <v>6379.6562599999997</v>
      </c>
      <c r="L1742" s="375">
        <v>-1025.7766799999999</v>
      </c>
      <c r="M1742" s="375">
        <v>47847.141839999997</v>
      </c>
      <c r="N1742" s="372" t="s">
        <v>1033</v>
      </c>
      <c r="O1742" s="703">
        <v>21.988961277651839</v>
      </c>
      <c r="P1742" s="375" t="s">
        <v>623</v>
      </c>
      <c r="Q1742" s="372" t="s">
        <v>623</v>
      </c>
      <c r="R1742" s="695">
        <v>20231102</v>
      </c>
      <c r="S1742" s="372" t="s">
        <v>11514</v>
      </c>
      <c r="T1742" s="696" t="s">
        <v>772</v>
      </c>
      <c r="U1742" s="372" t="s">
        <v>11515</v>
      </c>
      <c r="V1742" s="722">
        <v>10.199999999999999</v>
      </c>
      <c r="W1742" s="722">
        <v>1.81</v>
      </c>
      <c r="X1742" s="722">
        <v>1.61</v>
      </c>
      <c r="Y1742" s="722" t="s">
        <v>774</v>
      </c>
      <c r="Z1742" s="382" t="s">
        <v>934</v>
      </c>
      <c r="AA1742" s="372">
        <v>309.53229709999999</v>
      </c>
      <c r="AB1742" s="372">
        <v>345.57425419999998</v>
      </c>
      <c r="AC1742" s="372">
        <v>398.24841240000001</v>
      </c>
      <c r="AD1742" s="372">
        <v>474.97623099999998</v>
      </c>
      <c r="AE1742" s="372">
        <v>565</v>
      </c>
      <c r="AF1742" s="372">
        <v>0</v>
      </c>
      <c r="AG1742" s="372">
        <v>0</v>
      </c>
      <c r="AH1742" s="372">
        <v>0</v>
      </c>
    </row>
    <row r="1743" spans="1:34">
      <c r="A1743" s="372" t="s">
        <v>11516</v>
      </c>
      <c r="B1743" s="373" t="s">
        <v>11517</v>
      </c>
      <c r="C1743" s="372" t="s">
        <v>11518</v>
      </c>
      <c r="D1743" s="374">
        <v>2011110000036</v>
      </c>
      <c r="E1743" s="372" t="s">
        <v>11519</v>
      </c>
      <c r="F1743" s="375" t="s">
        <v>1977</v>
      </c>
      <c r="G1743" s="375" t="s">
        <v>1978</v>
      </c>
      <c r="H1743" s="375" t="s">
        <v>1327</v>
      </c>
      <c r="I1743" s="375" t="s">
        <v>755</v>
      </c>
      <c r="J1743" s="375">
        <v>93084.785140000007</v>
      </c>
      <c r="K1743" s="375">
        <v>-2803.7019300000002</v>
      </c>
      <c r="L1743" s="375">
        <v>-3921.5072599999999</v>
      </c>
      <c r="M1743" s="375">
        <v>80013.889450000002</v>
      </c>
      <c r="N1743" s="372">
        <v>0.74</v>
      </c>
      <c r="O1743" s="703">
        <v>56.848817737391336</v>
      </c>
      <c r="P1743" s="375" t="s">
        <v>623</v>
      </c>
      <c r="Q1743" s="372" t="s">
        <v>623</v>
      </c>
      <c r="R1743" s="695">
        <v>19880923</v>
      </c>
      <c r="S1743" s="372" t="s">
        <v>11520</v>
      </c>
      <c r="T1743" s="696" t="s">
        <v>772</v>
      </c>
      <c r="U1743" s="372" t="s">
        <v>11521</v>
      </c>
      <c r="V1743" s="722">
        <v>20.22</v>
      </c>
      <c r="W1743" s="722">
        <v>0.94</v>
      </c>
      <c r="X1743" s="722">
        <v>0.81</v>
      </c>
      <c r="Y1743" s="722" t="s">
        <v>774</v>
      </c>
      <c r="Z1743" s="382" t="s">
        <v>934</v>
      </c>
      <c r="AA1743" s="372">
        <v>785.63804540000001</v>
      </c>
      <c r="AB1743" s="372">
        <v>837.48910790000002</v>
      </c>
      <c r="AC1743" s="372">
        <v>908.58780909999996</v>
      </c>
      <c r="AD1743" s="372">
        <v>930.84785139999997</v>
      </c>
      <c r="AE1743" s="372">
        <v>0</v>
      </c>
      <c r="AF1743" s="372">
        <v>0</v>
      </c>
      <c r="AG1743" s="372">
        <v>0</v>
      </c>
      <c r="AH1743" s="372">
        <v>0</v>
      </c>
    </row>
    <row r="1744" spans="1:34">
      <c r="A1744" s="372" t="s">
        <v>11522</v>
      </c>
      <c r="B1744" s="373" t="s">
        <v>11523</v>
      </c>
      <c r="C1744" s="372" t="s">
        <v>16192</v>
      </c>
      <c r="D1744" s="374">
        <v>1101112431669</v>
      </c>
      <c r="E1744" s="372" t="s">
        <v>16193</v>
      </c>
      <c r="F1744" s="375" t="s">
        <v>2858</v>
      </c>
      <c r="G1744" s="375" t="s">
        <v>2859</v>
      </c>
      <c r="H1744" s="375" t="s">
        <v>1388</v>
      </c>
      <c r="I1744" s="375" t="s">
        <v>869</v>
      </c>
      <c r="J1744" s="375">
        <v>38503.045769999997</v>
      </c>
      <c r="K1744" s="375">
        <v>-7993.58734</v>
      </c>
      <c r="L1744" s="375">
        <v>-14837.8909</v>
      </c>
      <c r="M1744" s="375">
        <v>42150.321629999999</v>
      </c>
      <c r="N1744" s="372">
        <v>0.42599999999999999</v>
      </c>
      <c r="O1744" s="703">
        <v>2.4825326175757536</v>
      </c>
      <c r="P1744" s="375" t="s">
        <v>623</v>
      </c>
      <c r="Q1744" s="372" t="s">
        <v>623</v>
      </c>
      <c r="R1744" s="695">
        <v>20150923</v>
      </c>
      <c r="S1744" s="375" t="s">
        <v>11524</v>
      </c>
      <c r="T1744" s="696" t="s">
        <v>772</v>
      </c>
      <c r="U1744" s="372" t="s">
        <v>11525</v>
      </c>
      <c r="V1744" s="722" t="s">
        <v>774</v>
      </c>
      <c r="W1744" s="722">
        <v>1.19</v>
      </c>
      <c r="X1744" s="722">
        <v>1.32</v>
      </c>
      <c r="Y1744" s="722" t="s">
        <v>774</v>
      </c>
      <c r="Z1744" s="382" t="s">
        <v>934</v>
      </c>
      <c r="AA1744" s="372">
        <v>435.05867860000001</v>
      </c>
      <c r="AB1744" s="372">
        <v>466.73243550000001</v>
      </c>
      <c r="AC1744" s="372">
        <v>355.3673781</v>
      </c>
      <c r="AD1744" s="372">
        <v>385.0304577</v>
      </c>
      <c r="AE1744" s="372">
        <v>0</v>
      </c>
      <c r="AF1744" s="372">
        <v>0</v>
      </c>
      <c r="AG1744" s="372">
        <v>0</v>
      </c>
      <c r="AH1744" s="372">
        <v>0</v>
      </c>
    </row>
    <row r="1745" spans="1:34">
      <c r="A1745" s="372" t="s">
        <v>11526</v>
      </c>
      <c r="B1745" s="373" t="s">
        <v>11527</v>
      </c>
      <c r="C1745" s="372" t="s">
        <v>11528</v>
      </c>
      <c r="D1745" s="374">
        <v>1101113292086</v>
      </c>
      <c r="E1745" s="372" t="s">
        <v>11529</v>
      </c>
      <c r="F1745" s="375" t="s">
        <v>1381</v>
      </c>
      <c r="G1745" s="375" t="s">
        <v>1381</v>
      </c>
      <c r="H1745" s="375" t="s">
        <v>1693</v>
      </c>
      <c r="I1745" s="375" t="s">
        <v>869</v>
      </c>
      <c r="J1745" s="375">
        <v>0</v>
      </c>
      <c r="K1745" s="375">
        <v>0</v>
      </c>
      <c r="L1745" s="375">
        <v>0</v>
      </c>
      <c r="M1745" s="375">
        <v>23071.223819999999</v>
      </c>
      <c r="N1745" s="372" t="s">
        <v>1033</v>
      </c>
      <c r="O1745" s="703">
        <v>3.7453169769546721</v>
      </c>
      <c r="P1745" s="375" t="s">
        <v>623</v>
      </c>
      <c r="Q1745" s="372" t="s">
        <v>623</v>
      </c>
      <c r="R1745" s="695">
        <v>20230804</v>
      </c>
      <c r="S1745" s="372" t="s">
        <v>11530</v>
      </c>
      <c r="T1745" s="696" t="s">
        <v>772</v>
      </c>
      <c r="U1745" s="372" t="s">
        <v>11531</v>
      </c>
      <c r="V1745" s="722">
        <v>0</v>
      </c>
      <c r="W1745" s="722">
        <v>3.28</v>
      </c>
      <c r="X1745" s="722">
        <v>0</v>
      </c>
      <c r="Y1745" s="722">
        <v>0</v>
      </c>
      <c r="Z1745" s="382" t="s">
        <v>934</v>
      </c>
      <c r="AA1745" s="372">
        <v>166.73772719999999</v>
      </c>
      <c r="AB1745" s="372">
        <v>170.39669290000001</v>
      </c>
      <c r="AC1745" s="372">
        <v>222.95174109999999</v>
      </c>
      <c r="AD1745" s="372">
        <v>241.521838</v>
      </c>
      <c r="AE1745" s="372">
        <v>0</v>
      </c>
      <c r="AF1745" s="372">
        <v>0</v>
      </c>
      <c r="AG1745" s="372">
        <v>0</v>
      </c>
      <c r="AH1745" s="372">
        <v>0</v>
      </c>
    </row>
    <row r="1746" spans="1:34">
      <c r="A1746" s="372" t="s">
        <v>11532</v>
      </c>
      <c r="B1746" s="373" t="s">
        <v>11533</v>
      </c>
      <c r="C1746" s="372" t="s">
        <v>11534</v>
      </c>
      <c r="D1746" s="374">
        <v>1345110017746</v>
      </c>
      <c r="E1746" s="372" t="s">
        <v>11535</v>
      </c>
      <c r="F1746" s="375" t="s">
        <v>1985</v>
      </c>
      <c r="G1746" s="375" t="s">
        <v>1985</v>
      </c>
      <c r="H1746" s="375" t="s">
        <v>868</v>
      </c>
      <c r="I1746" s="375" t="s">
        <v>869</v>
      </c>
      <c r="J1746" s="375">
        <v>52925.517540000001</v>
      </c>
      <c r="K1746" s="375">
        <v>-14991.082560000001</v>
      </c>
      <c r="L1746" s="375">
        <v>-16689.81409</v>
      </c>
      <c r="M1746" s="375">
        <v>93554.411949999994</v>
      </c>
      <c r="N1746" s="372">
        <v>1.1459999999999999</v>
      </c>
      <c r="O1746" s="703">
        <v>91.410548649044273</v>
      </c>
      <c r="P1746" s="375" t="s">
        <v>623</v>
      </c>
      <c r="Q1746" s="375" t="s">
        <v>623</v>
      </c>
      <c r="R1746" s="695">
        <v>20220208</v>
      </c>
      <c r="S1746" s="375" t="s">
        <v>11536</v>
      </c>
      <c r="T1746" s="696" t="s">
        <v>772</v>
      </c>
      <c r="U1746" s="372" t="s">
        <v>11537</v>
      </c>
      <c r="V1746" s="722" t="s">
        <v>774</v>
      </c>
      <c r="W1746" s="722">
        <v>0.75</v>
      </c>
      <c r="X1746" s="722">
        <v>1.32</v>
      </c>
      <c r="Y1746" s="722" t="s">
        <v>774</v>
      </c>
      <c r="Z1746" s="382" t="s">
        <v>934</v>
      </c>
      <c r="AA1746" s="372">
        <v>828.04670039999996</v>
      </c>
      <c r="AB1746" s="372">
        <v>1351.5254004999999</v>
      </c>
      <c r="AC1746" s="372">
        <v>880.40460880000001</v>
      </c>
      <c r="AD1746" s="372">
        <v>529.25517539999998</v>
      </c>
      <c r="AE1746" s="372">
        <v>1328</v>
      </c>
      <c r="AF1746" s="372">
        <v>1470</v>
      </c>
      <c r="AG1746" s="372">
        <v>0</v>
      </c>
      <c r="AH1746" s="372">
        <v>0</v>
      </c>
    </row>
    <row r="1747" spans="1:34">
      <c r="A1747" s="372" t="s">
        <v>11538</v>
      </c>
      <c r="B1747" s="373" t="s">
        <v>11539</v>
      </c>
      <c r="C1747" s="372" t="s">
        <v>11540</v>
      </c>
      <c r="D1747" s="374">
        <v>1101110393457</v>
      </c>
      <c r="E1747" s="372" t="s">
        <v>11541</v>
      </c>
      <c r="F1747" s="375" t="s">
        <v>2692</v>
      </c>
      <c r="G1747" s="375" t="s">
        <v>2693</v>
      </c>
      <c r="H1747" s="375" t="s">
        <v>1555</v>
      </c>
      <c r="I1747" s="375" t="s">
        <v>755</v>
      </c>
      <c r="J1747" s="375">
        <v>441548.77649999998</v>
      </c>
      <c r="K1747" s="375">
        <v>35118.432800000002</v>
      </c>
      <c r="L1747" s="375">
        <v>23039.403060000001</v>
      </c>
      <c r="M1747" s="375">
        <v>151689.58132999999</v>
      </c>
      <c r="N1747" s="372">
        <v>0.89100000000000001</v>
      </c>
      <c r="O1747" s="703">
        <v>184.44317446861126</v>
      </c>
      <c r="P1747" s="375" t="s">
        <v>623</v>
      </c>
      <c r="Q1747" s="372" t="s">
        <v>623</v>
      </c>
      <c r="R1747" s="695">
        <v>20170202</v>
      </c>
      <c r="S1747" s="372" t="s">
        <v>11542</v>
      </c>
      <c r="T1747" s="696">
        <v>0.23100000000000001</v>
      </c>
      <c r="U1747" s="372" t="s">
        <v>11543</v>
      </c>
      <c r="V1747" s="722">
        <v>3.5</v>
      </c>
      <c r="W1747" s="722">
        <v>0.46</v>
      </c>
      <c r="X1747" s="722">
        <v>0.16</v>
      </c>
      <c r="Y1747" s="722">
        <v>4.18</v>
      </c>
      <c r="Z1747" s="382" t="s">
        <v>934</v>
      </c>
      <c r="AA1747" s="372">
        <v>2925.3475262000002</v>
      </c>
      <c r="AB1747" s="372">
        <v>3448.6758353</v>
      </c>
      <c r="AC1747" s="372">
        <v>4799.9957603000003</v>
      </c>
      <c r="AD1747" s="372">
        <v>4415.4877649999999</v>
      </c>
      <c r="AE1747" s="372">
        <v>4105</v>
      </c>
      <c r="AF1747" s="372">
        <v>4182</v>
      </c>
      <c r="AG1747" s="372">
        <v>0</v>
      </c>
      <c r="AH1747" s="372">
        <v>0</v>
      </c>
    </row>
    <row r="1748" spans="1:34">
      <c r="A1748" s="372" t="s">
        <v>11544</v>
      </c>
      <c r="B1748" s="373" t="s">
        <v>11545</v>
      </c>
      <c r="C1748" s="372" t="s">
        <v>11546</v>
      </c>
      <c r="D1748" s="374">
        <v>1341110000210</v>
      </c>
      <c r="E1748" s="372" t="s">
        <v>11547</v>
      </c>
      <c r="F1748" s="375" t="s">
        <v>1313</v>
      </c>
      <c r="G1748" s="375" t="s">
        <v>1313</v>
      </c>
      <c r="H1748" s="375" t="s">
        <v>832</v>
      </c>
      <c r="I1748" s="375" t="s">
        <v>755</v>
      </c>
      <c r="J1748" s="375">
        <v>134037.72688999999</v>
      </c>
      <c r="K1748" s="375">
        <v>-4115.8683099999998</v>
      </c>
      <c r="L1748" s="375">
        <v>-3250.0234500000001</v>
      </c>
      <c r="M1748" s="375">
        <v>90131.774990000005</v>
      </c>
      <c r="N1748" s="372">
        <v>0.93</v>
      </c>
      <c r="O1748" s="703">
        <v>21.536063016904542</v>
      </c>
      <c r="P1748" s="375" t="s">
        <v>623</v>
      </c>
      <c r="Q1748" s="372" t="s">
        <v>623</v>
      </c>
      <c r="R1748" s="695">
        <v>19851223</v>
      </c>
      <c r="S1748" s="372" t="s">
        <v>11548</v>
      </c>
      <c r="T1748" s="696" t="s">
        <v>772</v>
      </c>
      <c r="U1748" s="372" t="s">
        <v>11549</v>
      </c>
      <c r="V1748" s="722" t="s">
        <v>774</v>
      </c>
      <c r="W1748" s="722">
        <v>0.77</v>
      </c>
      <c r="X1748" s="722">
        <v>0.53</v>
      </c>
      <c r="Y1748" s="722" t="s">
        <v>774</v>
      </c>
      <c r="Z1748" s="382" t="s">
        <v>934</v>
      </c>
      <c r="AA1748" s="372">
        <v>935.84261790000005</v>
      </c>
      <c r="AB1748" s="372">
        <v>1437.6255371</v>
      </c>
      <c r="AC1748" s="372">
        <v>1673.5587455</v>
      </c>
      <c r="AD1748" s="372">
        <v>1340.3772689</v>
      </c>
      <c r="AE1748" s="372">
        <v>2071</v>
      </c>
      <c r="AF1748" s="372">
        <v>0</v>
      </c>
      <c r="AG1748" s="372">
        <v>0</v>
      </c>
      <c r="AH1748" s="372">
        <v>0</v>
      </c>
    </row>
    <row r="1749" spans="1:34">
      <c r="A1749" s="372" t="s">
        <v>11550</v>
      </c>
      <c r="B1749" s="373" t="s">
        <v>11551</v>
      </c>
      <c r="C1749" s="372" t="s">
        <v>11552</v>
      </c>
      <c r="D1749" s="374">
        <v>1101113580390</v>
      </c>
      <c r="E1749" s="372" t="s">
        <v>11553</v>
      </c>
      <c r="F1749" s="375" t="s">
        <v>11554</v>
      </c>
      <c r="G1749" s="375" t="s">
        <v>11554</v>
      </c>
      <c r="H1749" s="375" t="s">
        <v>1547</v>
      </c>
      <c r="I1749" s="375" t="s">
        <v>869</v>
      </c>
      <c r="J1749" s="375">
        <v>92154.263319999998</v>
      </c>
      <c r="K1749" s="375">
        <v>-7568.8009199999997</v>
      </c>
      <c r="L1749" s="375">
        <v>-6800.44193</v>
      </c>
      <c r="M1749" s="375">
        <v>36019.724020000001</v>
      </c>
      <c r="N1749" s="372">
        <v>0.65400000000000003</v>
      </c>
      <c r="O1749" s="703">
        <v>19.210180981778308</v>
      </c>
      <c r="P1749" s="375" t="s">
        <v>623</v>
      </c>
      <c r="Q1749" s="375" t="s">
        <v>623</v>
      </c>
      <c r="R1749" s="695">
        <v>20141204</v>
      </c>
      <c r="S1749" s="375" t="s">
        <v>11555</v>
      </c>
      <c r="T1749" s="696" t="s">
        <v>772</v>
      </c>
      <c r="U1749" s="372" t="s">
        <v>11556</v>
      </c>
      <c r="V1749" s="722" t="s">
        <v>774</v>
      </c>
      <c r="W1749" s="722">
        <v>1.89</v>
      </c>
      <c r="X1749" s="722">
        <v>0.84</v>
      </c>
      <c r="Y1749" s="722" t="s">
        <v>774</v>
      </c>
      <c r="Z1749" s="382" t="s">
        <v>934</v>
      </c>
      <c r="AA1749" s="372">
        <v>724.24739150000005</v>
      </c>
      <c r="AB1749" s="372">
        <v>741.8947253</v>
      </c>
      <c r="AC1749" s="372">
        <v>657.86471710000001</v>
      </c>
      <c r="AD1749" s="372">
        <v>921.54263319999995</v>
      </c>
      <c r="AE1749" s="372">
        <v>1050</v>
      </c>
      <c r="AF1749" s="372">
        <v>0</v>
      </c>
      <c r="AG1749" s="372">
        <v>0</v>
      </c>
      <c r="AH1749" s="372">
        <v>0</v>
      </c>
    </row>
    <row r="1750" spans="1:34">
      <c r="A1750" s="372" t="s">
        <v>11557</v>
      </c>
      <c r="B1750" s="373" t="s">
        <v>11558</v>
      </c>
      <c r="C1750" s="372" t="s">
        <v>11559</v>
      </c>
      <c r="D1750" s="374">
        <v>1101114481274</v>
      </c>
      <c r="E1750" s="372" t="s">
        <v>11560</v>
      </c>
      <c r="F1750" s="372" t="s">
        <v>2147</v>
      </c>
      <c r="G1750" s="375" t="s">
        <v>4273</v>
      </c>
      <c r="H1750" s="375" t="s">
        <v>868</v>
      </c>
      <c r="I1750" s="375" t="s">
        <v>869</v>
      </c>
      <c r="J1750" s="375">
        <v>3117.9415199999999</v>
      </c>
      <c r="K1750" s="375">
        <v>-22448.003339999999</v>
      </c>
      <c r="L1750" s="375">
        <v>-21629.562529999999</v>
      </c>
      <c r="M1750" s="375">
        <v>18119.805850000001</v>
      </c>
      <c r="N1750" s="372">
        <v>1.077</v>
      </c>
      <c r="O1750" s="703">
        <v>1.4893744669167195</v>
      </c>
      <c r="P1750" s="375" t="s">
        <v>623</v>
      </c>
      <c r="Q1750" s="375" t="s">
        <v>623</v>
      </c>
      <c r="R1750" s="695">
        <v>20201209</v>
      </c>
      <c r="S1750" s="375" t="s">
        <v>11561</v>
      </c>
      <c r="T1750" s="696" t="s">
        <v>772</v>
      </c>
      <c r="U1750" s="372" t="s">
        <v>11562</v>
      </c>
      <c r="V1750" s="722" t="s">
        <v>774</v>
      </c>
      <c r="W1750" s="722">
        <v>4.25</v>
      </c>
      <c r="X1750" s="722">
        <v>24.68</v>
      </c>
      <c r="Y1750" s="722" t="s">
        <v>774</v>
      </c>
      <c r="Z1750" s="382" t="s">
        <v>934</v>
      </c>
      <c r="AA1750" s="372">
        <v>16.8932064</v>
      </c>
      <c r="AB1750" s="372">
        <v>5.4977257000000002</v>
      </c>
      <c r="AC1750" s="372">
        <v>12.8593397</v>
      </c>
      <c r="AD1750" s="372">
        <v>31.179415200000001</v>
      </c>
      <c r="AE1750" s="372">
        <v>0</v>
      </c>
      <c r="AF1750" s="372">
        <v>0</v>
      </c>
      <c r="AG1750" s="372">
        <v>0</v>
      </c>
      <c r="AH1750" s="372">
        <v>0</v>
      </c>
    </row>
    <row r="1751" spans="1:34">
      <c r="A1751" s="372" t="s">
        <v>11563</v>
      </c>
      <c r="B1751" s="373" t="s">
        <v>11564</v>
      </c>
      <c r="C1751" s="372" t="s">
        <v>11565</v>
      </c>
      <c r="D1751" s="374">
        <v>1101114255801</v>
      </c>
      <c r="E1751" s="372" t="s">
        <v>11566</v>
      </c>
      <c r="F1751" s="375" t="s">
        <v>1881</v>
      </c>
      <c r="G1751" s="375" t="s">
        <v>3905</v>
      </c>
      <c r="H1751" s="375" t="s">
        <v>868</v>
      </c>
      <c r="I1751" s="375" t="s">
        <v>869</v>
      </c>
      <c r="J1751" s="375">
        <v>198227.86483999999</v>
      </c>
      <c r="K1751" s="375">
        <v>10381.323</v>
      </c>
      <c r="L1751" s="375">
        <v>14393.1468</v>
      </c>
      <c r="M1751" s="375">
        <v>107788.38656</v>
      </c>
      <c r="N1751" s="372">
        <v>0.877</v>
      </c>
      <c r="O1751" s="703">
        <v>31.735366807931069</v>
      </c>
      <c r="P1751" s="375" t="s">
        <v>623</v>
      </c>
      <c r="Q1751" s="372" t="s">
        <v>623</v>
      </c>
      <c r="R1751" s="695">
        <v>20151118</v>
      </c>
      <c r="S1751" s="372" t="s">
        <v>11567</v>
      </c>
      <c r="T1751" s="696">
        <v>0.20900000000000002</v>
      </c>
      <c r="U1751" s="372" t="s">
        <v>11568</v>
      </c>
      <c r="V1751" s="722">
        <v>0</v>
      </c>
      <c r="W1751" s="722">
        <v>0.69</v>
      </c>
      <c r="X1751" s="722">
        <v>0</v>
      </c>
      <c r="Y1751" s="722">
        <v>0</v>
      </c>
      <c r="Z1751" s="382" t="s">
        <v>934</v>
      </c>
      <c r="AA1751" s="372">
        <v>1174.9943593</v>
      </c>
      <c r="AB1751" s="372">
        <v>1423.6025133999999</v>
      </c>
      <c r="AC1751" s="372">
        <v>1640.3408907999999</v>
      </c>
      <c r="AD1751" s="372">
        <v>1982.2786484000001</v>
      </c>
      <c r="AE1751" s="372">
        <v>0</v>
      </c>
      <c r="AF1751" s="372">
        <v>0</v>
      </c>
      <c r="AG1751" s="372">
        <v>0</v>
      </c>
      <c r="AH1751" s="372">
        <v>0</v>
      </c>
    </row>
    <row r="1752" spans="1:34">
      <c r="A1752" s="372" t="s">
        <v>11569</v>
      </c>
      <c r="B1752" s="373" t="s">
        <v>11570</v>
      </c>
      <c r="C1752" s="372" t="s">
        <v>11571</v>
      </c>
      <c r="D1752" s="374">
        <v>2341110120538</v>
      </c>
      <c r="E1752" s="372" t="s">
        <v>11572</v>
      </c>
      <c r="F1752" s="372" t="s">
        <v>1881</v>
      </c>
      <c r="G1752" s="375" t="s">
        <v>1882</v>
      </c>
      <c r="H1752" s="375" t="s">
        <v>797</v>
      </c>
      <c r="I1752" s="375" t="s">
        <v>755</v>
      </c>
      <c r="J1752" s="375">
        <v>680651.66494000005</v>
      </c>
      <c r="K1752" s="375">
        <v>31781.405220000001</v>
      </c>
      <c r="L1752" s="375">
        <v>31662.392319999999</v>
      </c>
      <c r="M1752" s="375">
        <v>112518.16809000001</v>
      </c>
      <c r="N1752" s="372">
        <v>0.89400000000000002</v>
      </c>
      <c r="O1752" s="703">
        <v>202.47950952864869</v>
      </c>
      <c r="P1752" s="375" t="s">
        <v>623</v>
      </c>
      <c r="Q1752" s="372" t="s">
        <v>623</v>
      </c>
      <c r="R1752" s="695">
        <v>20210315</v>
      </c>
      <c r="S1752" s="372" t="s">
        <v>11573</v>
      </c>
      <c r="T1752" s="696">
        <v>0.23100000000000001</v>
      </c>
      <c r="U1752" s="372" t="s">
        <v>9087</v>
      </c>
      <c r="V1752" s="722">
        <v>4.33</v>
      </c>
      <c r="W1752" s="722">
        <v>0.7</v>
      </c>
      <c r="X1752" s="722">
        <v>0.12</v>
      </c>
      <c r="Y1752" s="722">
        <v>3.25</v>
      </c>
      <c r="Z1752" s="382" t="s">
        <v>934</v>
      </c>
      <c r="AA1752" s="372">
        <v>0</v>
      </c>
      <c r="AB1752" s="372">
        <v>5057.5769314999998</v>
      </c>
      <c r="AC1752" s="372">
        <v>6579.2752350000001</v>
      </c>
      <c r="AD1752" s="372">
        <v>6806.5166493999996</v>
      </c>
      <c r="AE1752" s="372">
        <v>0</v>
      </c>
      <c r="AF1752" s="372">
        <v>0</v>
      </c>
      <c r="AG1752" s="372">
        <v>0</v>
      </c>
      <c r="AH1752" s="372">
        <v>0</v>
      </c>
    </row>
    <row r="1753" spans="1:34">
      <c r="A1753" s="372" t="s">
        <v>11574</v>
      </c>
      <c r="B1753" s="373" t="s">
        <v>11575</v>
      </c>
      <c r="C1753" s="372" t="s">
        <v>11576</v>
      </c>
      <c r="D1753" s="374">
        <v>1101117062716</v>
      </c>
      <c r="E1753" s="372" t="s">
        <v>11577</v>
      </c>
      <c r="F1753" s="375" t="s">
        <v>5655</v>
      </c>
      <c r="G1753" s="375" t="s">
        <v>5655</v>
      </c>
      <c r="H1753" s="375" t="s">
        <v>1547</v>
      </c>
      <c r="I1753" s="375" t="s">
        <v>869</v>
      </c>
      <c r="J1753" s="375">
        <v>44653.729850000003</v>
      </c>
      <c r="K1753" s="375">
        <v>1698.1594600000001</v>
      </c>
      <c r="L1753" s="375">
        <v>4331.9857000000002</v>
      </c>
      <c r="M1753" s="375">
        <v>56915.982750000003</v>
      </c>
      <c r="N1753" s="372">
        <v>1.024</v>
      </c>
      <c r="O1753" s="703">
        <v>92.360556106977256</v>
      </c>
      <c r="P1753" s="375" t="s">
        <v>623</v>
      </c>
      <c r="Q1753" s="375" t="s">
        <v>623</v>
      </c>
      <c r="R1753" s="695">
        <v>20190531</v>
      </c>
      <c r="S1753" s="375" t="s">
        <v>11578</v>
      </c>
      <c r="T1753" s="696">
        <v>0.20900000000000002</v>
      </c>
      <c r="U1753" s="372" t="s">
        <v>11579</v>
      </c>
      <c r="V1753" s="722">
        <v>3.82</v>
      </c>
      <c r="W1753" s="722">
        <v>1.25</v>
      </c>
      <c r="X1753" s="722">
        <v>1.65</v>
      </c>
      <c r="Y1753" s="722">
        <v>22.32</v>
      </c>
      <c r="Z1753" s="382" t="s">
        <v>934</v>
      </c>
      <c r="AA1753" s="372">
        <v>216.53561980000001</v>
      </c>
      <c r="AB1753" s="372">
        <v>338.59196909999997</v>
      </c>
      <c r="AC1753" s="372">
        <v>292.68713279999997</v>
      </c>
      <c r="AD1753" s="372">
        <v>446.53729850000002</v>
      </c>
      <c r="AE1753" s="372">
        <v>755</v>
      </c>
      <c r="AF1753" s="372">
        <v>903</v>
      </c>
      <c r="AG1753" s="372">
        <v>0</v>
      </c>
      <c r="AH1753" s="372">
        <v>0</v>
      </c>
    </row>
    <row r="1754" spans="1:34">
      <c r="A1754" s="372" t="s">
        <v>11580</v>
      </c>
      <c r="B1754" s="373" t="s">
        <v>11581</v>
      </c>
      <c r="C1754" s="372" t="s">
        <v>11582</v>
      </c>
      <c r="D1754" s="374">
        <v>1101117224647</v>
      </c>
      <c r="E1754" s="372" t="s">
        <v>11583</v>
      </c>
      <c r="F1754" s="375" t="s">
        <v>1381</v>
      </c>
      <c r="G1754" s="375" t="s">
        <v>1381</v>
      </c>
      <c r="H1754" s="375" t="s">
        <v>868</v>
      </c>
      <c r="I1754" s="375" t="s">
        <v>869</v>
      </c>
      <c r="J1754" s="375">
        <v>48755.717329999999</v>
      </c>
      <c r="K1754" s="375">
        <v>5059.9157299999997</v>
      </c>
      <c r="L1754" s="375">
        <v>7763.8826499999996</v>
      </c>
      <c r="M1754" s="375">
        <v>35253.3652</v>
      </c>
      <c r="N1754" s="372">
        <v>0.84799999999999998</v>
      </c>
      <c r="O1754" s="703">
        <v>0.52082304519838318</v>
      </c>
      <c r="P1754" s="375" t="s">
        <v>623</v>
      </c>
      <c r="Q1754" s="372" t="s">
        <v>623</v>
      </c>
      <c r="R1754" s="695">
        <v>20191128</v>
      </c>
      <c r="S1754" s="372" t="s">
        <v>11584</v>
      </c>
      <c r="T1754" s="696">
        <v>0.20900000000000002</v>
      </c>
      <c r="U1754" s="372" t="s">
        <v>11585</v>
      </c>
      <c r="V1754" s="722">
        <v>12.48</v>
      </c>
      <c r="W1754" s="722">
        <v>2.04</v>
      </c>
      <c r="X1754" s="722">
        <v>1.47</v>
      </c>
      <c r="Y1754" s="722">
        <v>10.15</v>
      </c>
      <c r="Z1754" s="382" t="s">
        <v>934</v>
      </c>
      <c r="AA1754" s="372">
        <v>412.10066460000002</v>
      </c>
      <c r="AB1754" s="372">
        <v>379.35232130000003</v>
      </c>
      <c r="AC1754" s="372">
        <v>405.46670549999999</v>
      </c>
      <c r="AD1754" s="372">
        <v>487.55717329999999</v>
      </c>
      <c r="AE1754" s="372">
        <v>0</v>
      </c>
      <c r="AF1754" s="372">
        <v>0</v>
      </c>
      <c r="AG1754" s="372">
        <v>0</v>
      </c>
      <c r="AH1754" s="372">
        <v>0</v>
      </c>
    </row>
    <row r="1755" spans="1:34">
      <c r="A1755" s="372" t="s">
        <v>11586</v>
      </c>
      <c r="B1755" s="373" t="s">
        <v>11587</v>
      </c>
      <c r="C1755" s="372" t="s">
        <v>11588</v>
      </c>
      <c r="D1755" s="374">
        <v>1801110054641</v>
      </c>
      <c r="E1755" s="372" t="s">
        <v>11589</v>
      </c>
      <c r="F1755" s="375" t="s">
        <v>3311</v>
      </c>
      <c r="G1755" s="375" t="s">
        <v>3312</v>
      </c>
      <c r="H1755" s="375" t="s">
        <v>1050</v>
      </c>
      <c r="I1755" s="375" t="s">
        <v>755</v>
      </c>
      <c r="J1755" s="375">
        <v>91535.244720000002</v>
      </c>
      <c r="K1755" s="375">
        <v>-1104.10961</v>
      </c>
      <c r="L1755" s="375">
        <v>63365.31265</v>
      </c>
      <c r="M1755" s="375">
        <v>184709.90526</v>
      </c>
      <c r="N1755" s="372">
        <v>0.94399999999999995</v>
      </c>
      <c r="O1755" s="703">
        <v>28.36714882469057</v>
      </c>
      <c r="P1755" s="375" t="s">
        <v>623</v>
      </c>
      <c r="Q1755" s="372" t="s">
        <v>623</v>
      </c>
      <c r="R1755" s="695">
        <v>20080124</v>
      </c>
      <c r="S1755" s="372" t="s">
        <v>11590</v>
      </c>
      <c r="T1755" s="696">
        <v>0.23100000000000001</v>
      </c>
      <c r="U1755" s="372" t="s">
        <v>11591</v>
      </c>
      <c r="V1755" s="722">
        <v>37.78</v>
      </c>
      <c r="W1755" s="722">
        <v>0.45</v>
      </c>
      <c r="X1755" s="722">
        <v>0.88</v>
      </c>
      <c r="Y1755" s="722">
        <v>1.35</v>
      </c>
      <c r="Z1755" s="382" t="s">
        <v>934</v>
      </c>
      <c r="AA1755" s="372">
        <v>693.64010169999995</v>
      </c>
      <c r="AB1755" s="372">
        <v>690.91619539999999</v>
      </c>
      <c r="AC1755" s="372">
        <v>766.87877830000002</v>
      </c>
      <c r="AD1755" s="372">
        <v>915.35244720000003</v>
      </c>
      <c r="AE1755" s="372">
        <v>0</v>
      </c>
      <c r="AF1755" s="372">
        <v>0</v>
      </c>
      <c r="AG1755" s="372">
        <v>0</v>
      </c>
      <c r="AH1755" s="372">
        <v>0</v>
      </c>
    </row>
    <row r="1756" spans="1:34">
      <c r="A1756" s="372" t="s">
        <v>11592</v>
      </c>
      <c r="B1756" s="373" t="s">
        <v>11593</v>
      </c>
      <c r="C1756" s="372" t="s">
        <v>11594</v>
      </c>
      <c r="D1756" s="374">
        <v>1244110006602</v>
      </c>
      <c r="E1756" s="372" t="s">
        <v>11595</v>
      </c>
      <c r="F1756" s="375" t="s">
        <v>1005</v>
      </c>
      <c r="G1756" s="375" t="s">
        <v>1006</v>
      </c>
      <c r="H1756" s="375" t="s">
        <v>1388</v>
      </c>
      <c r="I1756" s="375" t="s">
        <v>869</v>
      </c>
      <c r="J1756" s="375">
        <v>403492.01753000001</v>
      </c>
      <c r="K1756" s="375">
        <v>-13064.221799999999</v>
      </c>
      <c r="L1756" s="375">
        <v>-8793.8834100000004</v>
      </c>
      <c r="M1756" s="375">
        <v>96925.893110000005</v>
      </c>
      <c r="N1756" s="372">
        <v>0.92600000000000005</v>
      </c>
      <c r="O1756" s="703">
        <v>193.18618044443394</v>
      </c>
      <c r="P1756" s="375" t="s">
        <v>623</v>
      </c>
      <c r="Q1756" s="375" t="s">
        <v>623</v>
      </c>
      <c r="R1756" s="695">
        <v>20040512</v>
      </c>
      <c r="S1756" s="375" t="s">
        <v>11596</v>
      </c>
      <c r="T1756" s="696" t="s">
        <v>772</v>
      </c>
      <c r="U1756" s="372" t="s">
        <v>11597</v>
      </c>
      <c r="V1756" s="722">
        <v>29.52</v>
      </c>
      <c r="W1756" s="722">
        <v>0.55000000000000004</v>
      </c>
      <c r="X1756" s="722">
        <v>0.17</v>
      </c>
      <c r="Y1756" s="722" t="s">
        <v>774</v>
      </c>
      <c r="Z1756" s="382" t="s">
        <v>934</v>
      </c>
      <c r="AA1756" s="372">
        <v>3013.3970893000001</v>
      </c>
      <c r="AB1756" s="372">
        <v>3078.9691186</v>
      </c>
      <c r="AC1756" s="372">
        <v>3336.6000302000002</v>
      </c>
      <c r="AD1756" s="372">
        <v>4034.9201753000002</v>
      </c>
      <c r="AE1756" s="372">
        <v>0</v>
      </c>
      <c r="AF1756" s="372">
        <v>0</v>
      </c>
      <c r="AG1756" s="372">
        <v>0</v>
      </c>
      <c r="AH1756" s="372">
        <v>0</v>
      </c>
    </row>
    <row r="1757" spans="1:34">
      <c r="A1757" s="372" t="s">
        <v>11598</v>
      </c>
      <c r="B1757" s="373" t="s">
        <v>11599</v>
      </c>
      <c r="C1757" s="372" t="s">
        <v>11600</v>
      </c>
      <c r="D1757" s="374">
        <v>1101114445725</v>
      </c>
      <c r="E1757" s="372" t="s">
        <v>11601</v>
      </c>
      <c r="F1757" s="375" t="s">
        <v>2742</v>
      </c>
      <c r="G1757" s="375" t="s">
        <v>2742</v>
      </c>
      <c r="H1757" s="375" t="s">
        <v>1348</v>
      </c>
      <c r="I1757" s="375" t="s">
        <v>869</v>
      </c>
      <c r="J1757" s="375">
        <v>14842.60413</v>
      </c>
      <c r="K1757" s="375">
        <v>1378.8938599999999</v>
      </c>
      <c r="L1757" s="375">
        <v>5356.9203299999999</v>
      </c>
      <c r="M1757" s="375">
        <v>74239.464760000003</v>
      </c>
      <c r="N1757" s="372">
        <v>1.1319999999999999</v>
      </c>
      <c r="O1757" s="703">
        <v>0.78696916377397186</v>
      </c>
      <c r="P1757" s="375" t="s">
        <v>623</v>
      </c>
      <c r="Q1757" s="375" t="s">
        <v>623</v>
      </c>
      <c r="R1757" s="695">
        <v>20200909</v>
      </c>
      <c r="S1757" s="375" t="s">
        <v>11602</v>
      </c>
      <c r="T1757" s="696">
        <v>0.20900000000000002</v>
      </c>
      <c r="U1757" s="372" t="s">
        <v>11603</v>
      </c>
      <c r="V1757" s="722">
        <v>23.72</v>
      </c>
      <c r="W1757" s="722">
        <v>0.99</v>
      </c>
      <c r="X1757" s="722">
        <v>4.97</v>
      </c>
      <c r="Y1757" s="722">
        <v>15.34</v>
      </c>
      <c r="Z1757" s="382" t="s">
        <v>934</v>
      </c>
      <c r="AA1757" s="372">
        <v>146.76376870000001</v>
      </c>
      <c r="AB1757" s="372">
        <v>174.87132729999999</v>
      </c>
      <c r="AC1757" s="372">
        <v>179.57199420000001</v>
      </c>
      <c r="AD1757" s="372">
        <v>148.42604130000001</v>
      </c>
      <c r="AE1757" s="372">
        <v>0</v>
      </c>
      <c r="AF1757" s="372">
        <v>0</v>
      </c>
      <c r="AG1757" s="372">
        <v>0</v>
      </c>
      <c r="AH1757" s="372">
        <v>0</v>
      </c>
    </row>
    <row r="1758" spans="1:34">
      <c r="A1758" s="372" t="s">
        <v>11604</v>
      </c>
      <c r="B1758" s="373" t="s">
        <v>11605</v>
      </c>
      <c r="C1758" s="372" t="s">
        <v>11606</v>
      </c>
      <c r="D1758" s="374">
        <v>1101115879030</v>
      </c>
      <c r="E1758" s="372" t="s">
        <v>11607</v>
      </c>
      <c r="F1758" s="372" t="s">
        <v>1846</v>
      </c>
      <c r="G1758" s="375" t="s">
        <v>1847</v>
      </c>
      <c r="H1758" s="375" t="s">
        <v>3127</v>
      </c>
      <c r="I1758" s="375" t="s">
        <v>869</v>
      </c>
      <c r="J1758" s="375">
        <v>76914.485270000005</v>
      </c>
      <c r="K1758" s="375">
        <v>13072.19839</v>
      </c>
      <c r="L1758" s="375">
        <v>12830.061019999999</v>
      </c>
      <c r="M1758" s="375">
        <v>83900.597630000004</v>
      </c>
      <c r="N1758" s="372">
        <v>0.88400000000000001</v>
      </c>
      <c r="O1758" s="703">
        <v>13.493015583884779</v>
      </c>
      <c r="P1758" s="375" t="s">
        <v>623</v>
      </c>
      <c r="Q1758" s="375" t="s">
        <v>623</v>
      </c>
      <c r="R1758" s="695">
        <v>20170608</v>
      </c>
      <c r="S1758" s="375" t="s">
        <v>11608</v>
      </c>
      <c r="T1758" s="696">
        <v>0.20900000000000002</v>
      </c>
      <c r="U1758" s="372" t="s">
        <v>11609</v>
      </c>
      <c r="V1758" s="722">
        <v>5.23</v>
      </c>
      <c r="W1758" s="722">
        <v>0.87</v>
      </c>
      <c r="X1758" s="722">
        <v>0.97</v>
      </c>
      <c r="Y1758" s="722">
        <v>7.87</v>
      </c>
      <c r="Z1758" s="382" t="s">
        <v>934</v>
      </c>
      <c r="AA1758" s="372">
        <v>504.22858509999998</v>
      </c>
      <c r="AB1758" s="372">
        <v>608.71582620000004</v>
      </c>
      <c r="AC1758" s="372">
        <v>694.7227517</v>
      </c>
      <c r="AD1758" s="372">
        <v>769.1448527</v>
      </c>
      <c r="AE1758" s="372">
        <v>881.6</v>
      </c>
      <c r="AF1758" s="372">
        <v>0</v>
      </c>
      <c r="AG1758" s="372">
        <v>0</v>
      </c>
      <c r="AH1758" s="372">
        <v>0</v>
      </c>
    </row>
    <row r="1759" spans="1:34">
      <c r="A1759" s="372" t="s">
        <v>11610</v>
      </c>
      <c r="B1759" s="373" t="s">
        <v>11611</v>
      </c>
      <c r="C1759" s="372" t="s">
        <v>11612</v>
      </c>
      <c r="D1759" s="374">
        <v>1101111946601</v>
      </c>
      <c r="E1759" s="372" t="s">
        <v>11613</v>
      </c>
      <c r="F1759" s="375" t="s">
        <v>1714</v>
      </c>
      <c r="G1759" s="375" t="s">
        <v>1714</v>
      </c>
      <c r="H1759" s="375" t="s">
        <v>1348</v>
      </c>
      <c r="I1759" s="375" t="s">
        <v>869</v>
      </c>
      <c r="J1759" s="375">
        <v>35018.281179999998</v>
      </c>
      <c r="K1759" s="375">
        <v>3665.7731399999998</v>
      </c>
      <c r="L1759" s="375">
        <v>5060.79025</v>
      </c>
      <c r="M1759" s="375">
        <v>93763.769589999996</v>
      </c>
      <c r="N1759" s="372">
        <v>1.4079999999999999</v>
      </c>
      <c r="O1759" s="703">
        <v>1.1494306323197623</v>
      </c>
      <c r="P1759" s="375" t="s">
        <v>623</v>
      </c>
      <c r="Q1759" s="372" t="s">
        <v>623</v>
      </c>
      <c r="R1759" s="695">
        <v>20111125</v>
      </c>
      <c r="S1759" s="372" t="s">
        <v>11614</v>
      </c>
      <c r="T1759" s="696">
        <v>0.20900000000000002</v>
      </c>
      <c r="U1759" s="372" t="s">
        <v>11615</v>
      </c>
      <c r="V1759" s="722">
        <v>15.95</v>
      </c>
      <c r="W1759" s="722">
        <v>0.87</v>
      </c>
      <c r="X1759" s="722">
        <v>2.33</v>
      </c>
      <c r="Y1759" s="722">
        <v>20.22</v>
      </c>
      <c r="Z1759" s="382" t="s">
        <v>934</v>
      </c>
      <c r="AA1759" s="372">
        <v>254.13605129999999</v>
      </c>
      <c r="AB1759" s="372">
        <v>352.39063679999998</v>
      </c>
      <c r="AC1759" s="372">
        <v>442.11307829999998</v>
      </c>
      <c r="AD1759" s="372">
        <v>350.18281180000002</v>
      </c>
      <c r="AE1759" s="372">
        <v>0</v>
      </c>
      <c r="AF1759" s="372">
        <v>0</v>
      </c>
      <c r="AG1759" s="372">
        <v>0</v>
      </c>
      <c r="AH1759" s="372">
        <v>0</v>
      </c>
    </row>
    <row r="1760" spans="1:34">
      <c r="A1760" s="372" t="s">
        <v>11616</v>
      </c>
      <c r="B1760" s="373" t="s">
        <v>11617</v>
      </c>
      <c r="C1760" s="372" t="s">
        <v>11618</v>
      </c>
      <c r="D1760" s="374">
        <v>1101114255463</v>
      </c>
      <c r="E1760" s="372" t="s">
        <v>11619</v>
      </c>
      <c r="F1760" s="375" t="s">
        <v>2438</v>
      </c>
      <c r="G1760" s="375" t="s">
        <v>2438</v>
      </c>
      <c r="H1760" s="375" t="s">
        <v>1050</v>
      </c>
      <c r="I1760" s="375" t="s">
        <v>755</v>
      </c>
      <c r="J1760" s="375">
        <v>436615.28194999998</v>
      </c>
      <c r="K1760" s="375">
        <v>-21089.869640000001</v>
      </c>
      <c r="L1760" s="375">
        <v>-45331.05371</v>
      </c>
      <c r="M1760" s="375">
        <v>41449.077740000001</v>
      </c>
      <c r="N1760" s="372">
        <v>0.84699999999999998</v>
      </c>
      <c r="O1760" s="703">
        <v>196.11559536938071</v>
      </c>
      <c r="P1760" s="375" t="s">
        <v>623</v>
      </c>
      <c r="Q1760" s="372" t="s">
        <v>623</v>
      </c>
      <c r="R1760" s="695">
        <v>20100129</v>
      </c>
      <c r="S1760" s="372" t="s">
        <v>11620</v>
      </c>
      <c r="T1760" s="696" t="s">
        <v>772</v>
      </c>
      <c r="U1760" s="375" t="s">
        <v>11621</v>
      </c>
      <c r="V1760" s="722" t="s">
        <v>774</v>
      </c>
      <c r="W1760" s="722">
        <v>1.98</v>
      </c>
      <c r="X1760" s="722">
        <v>0.15</v>
      </c>
      <c r="Y1760" s="722" t="s">
        <v>774</v>
      </c>
      <c r="Z1760" s="382" t="s">
        <v>934</v>
      </c>
      <c r="AA1760" s="372">
        <v>3279.0870872999999</v>
      </c>
      <c r="AB1760" s="372">
        <v>3550.3476977</v>
      </c>
      <c r="AC1760" s="372">
        <v>4215.8374685999997</v>
      </c>
      <c r="AD1760" s="372">
        <v>4366.1528195000001</v>
      </c>
      <c r="AE1760" s="372">
        <v>0</v>
      </c>
      <c r="AF1760" s="372">
        <v>0</v>
      </c>
      <c r="AG1760" s="372">
        <v>0</v>
      </c>
      <c r="AH1760" s="372">
        <v>0</v>
      </c>
    </row>
    <row r="1761" spans="1:34">
      <c r="A1761" s="372" t="s">
        <v>11622</v>
      </c>
      <c r="B1761" s="373" t="s">
        <v>11623</v>
      </c>
      <c r="C1761" s="372" t="s">
        <v>11624</v>
      </c>
      <c r="D1761" s="374">
        <v>1348110003020</v>
      </c>
      <c r="E1761" s="372" t="s">
        <v>11625</v>
      </c>
      <c r="F1761" s="372" t="s">
        <v>9430</v>
      </c>
      <c r="G1761" s="375" t="s">
        <v>9430</v>
      </c>
      <c r="H1761" s="375" t="s">
        <v>868</v>
      </c>
      <c r="I1761" s="375" t="s">
        <v>869</v>
      </c>
      <c r="J1761" s="375">
        <v>164383.30056</v>
      </c>
      <c r="K1761" s="375">
        <v>21826.803769999999</v>
      </c>
      <c r="L1761" s="375">
        <v>24392.566050000001</v>
      </c>
      <c r="M1761" s="375">
        <v>262976.44958000001</v>
      </c>
      <c r="N1761" s="372">
        <v>0.76900000000000002</v>
      </c>
      <c r="O1761" s="703">
        <v>8.5031984240242782</v>
      </c>
      <c r="P1761" s="375" t="s">
        <v>623</v>
      </c>
      <c r="Q1761" s="372" t="s">
        <v>623</v>
      </c>
      <c r="R1761" s="695">
        <v>19941031</v>
      </c>
      <c r="S1761" s="372" t="s">
        <v>8346</v>
      </c>
      <c r="T1761" s="696">
        <v>0.23100000000000001</v>
      </c>
      <c r="U1761" s="372" t="s">
        <v>11626</v>
      </c>
      <c r="V1761" s="722">
        <v>2.37</v>
      </c>
      <c r="W1761" s="722">
        <v>0.27</v>
      </c>
      <c r="X1761" s="722">
        <v>0.44</v>
      </c>
      <c r="Y1761" s="722">
        <v>3.89</v>
      </c>
      <c r="Z1761" s="382" t="s">
        <v>934</v>
      </c>
      <c r="AA1761" s="372">
        <v>1287.3685003000001</v>
      </c>
      <c r="AB1761" s="372">
        <v>1812.5632871</v>
      </c>
      <c r="AC1761" s="372">
        <v>1873.5323453999999</v>
      </c>
      <c r="AD1761" s="372">
        <v>1643.8330056</v>
      </c>
      <c r="AE1761" s="372">
        <v>0</v>
      </c>
      <c r="AF1761" s="372">
        <v>0</v>
      </c>
      <c r="AG1761" s="372">
        <v>0</v>
      </c>
      <c r="AH1761" s="372">
        <v>0</v>
      </c>
    </row>
    <row r="1762" spans="1:34">
      <c r="A1762" s="372" t="s">
        <v>11627</v>
      </c>
      <c r="B1762" s="373" t="s">
        <v>11628</v>
      </c>
      <c r="C1762" s="372" t="s">
        <v>11629</v>
      </c>
      <c r="D1762" s="374">
        <v>2001110001407</v>
      </c>
      <c r="E1762" s="372" t="s">
        <v>11630</v>
      </c>
      <c r="F1762" s="375" t="s">
        <v>2509</v>
      </c>
      <c r="G1762" s="375" t="s">
        <v>2510</v>
      </c>
      <c r="H1762" s="375" t="s">
        <v>817</v>
      </c>
      <c r="I1762" s="375" t="s">
        <v>755</v>
      </c>
      <c r="J1762" s="375">
        <v>191434.53941999999</v>
      </c>
      <c r="K1762" s="375">
        <v>2416.38861</v>
      </c>
      <c r="L1762" s="375">
        <v>4888.9235500000004</v>
      </c>
      <c r="M1762" s="375">
        <v>132459.47542999999</v>
      </c>
      <c r="N1762" s="372">
        <v>0.999</v>
      </c>
      <c r="O1762" s="703">
        <v>0</v>
      </c>
      <c r="P1762" s="375" t="s">
        <v>623</v>
      </c>
      <c r="Q1762" s="375" t="s">
        <v>623</v>
      </c>
      <c r="R1762" s="695">
        <v>19950929</v>
      </c>
      <c r="S1762" s="375" t="s">
        <v>11631</v>
      </c>
      <c r="T1762" s="696">
        <v>0.20900000000000002</v>
      </c>
      <c r="U1762" s="372" t="s">
        <v>11632</v>
      </c>
      <c r="V1762" s="722">
        <v>0</v>
      </c>
      <c r="W1762" s="722">
        <v>0.64</v>
      </c>
      <c r="X1762" s="722">
        <v>0</v>
      </c>
      <c r="Y1762" s="722">
        <v>0</v>
      </c>
      <c r="Z1762" s="382" t="s">
        <v>934</v>
      </c>
      <c r="AA1762" s="372">
        <v>1389.2998302000001</v>
      </c>
      <c r="AB1762" s="372">
        <v>1957.3422267999999</v>
      </c>
      <c r="AC1762" s="372">
        <v>2097.2733585999999</v>
      </c>
      <c r="AD1762" s="372">
        <v>1914.3453942000001</v>
      </c>
      <c r="AE1762" s="372">
        <v>0</v>
      </c>
      <c r="AF1762" s="372">
        <v>0</v>
      </c>
      <c r="AG1762" s="372">
        <v>0</v>
      </c>
      <c r="AH1762" s="372">
        <v>0</v>
      </c>
    </row>
    <row r="1763" spans="1:34">
      <c r="A1763" s="372" t="s">
        <v>11633</v>
      </c>
      <c r="B1763" s="373" t="s">
        <v>11634</v>
      </c>
      <c r="C1763" s="372" t="s">
        <v>11635</v>
      </c>
      <c r="D1763" s="374">
        <v>1358110198797</v>
      </c>
      <c r="E1763" s="372" t="s">
        <v>11636</v>
      </c>
      <c r="F1763" s="375" t="s">
        <v>1062</v>
      </c>
      <c r="G1763" s="375" t="s">
        <v>1062</v>
      </c>
      <c r="H1763" s="375" t="s">
        <v>1348</v>
      </c>
      <c r="I1763" s="375" t="s">
        <v>869</v>
      </c>
      <c r="J1763" s="375">
        <v>11407.6733</v>
      </c>
      <c r="K1763" s="375">
        <v>-34587.921699999999</v>
      </c>
      <c r="L1763" s="375">
        <v>-42431.212370000001</v>
      </c>
      <c r="M1763" s="375">
        <v>38996.986010000001</v>
      </c>
      <c r="N1763" s="372">
        <v>1.262</v>
      </c>
      <c r="O1763" s="703">
        <v>40.629897188759287</v>
      </c>
      <c r="P1763" s="375" t="s">
        <v>623</v>
      </c>
      <c r="Q1763" s="372" t="s">
        <v>623</v>
      </c>
      <c r="R1763" s="695">
        <v>20201204</v>
      </c>
      <c r="S1763" s="372" t="s">
        <v>11637</v>
      </c>
      <c r="T1763" s="696" t="s">
        <v>772</v>
      </c>
      <c r="U1763" s="372" t="s">
        <v>11638</v>
      </c>
      <c r="V1763" s="722" t="s">
        <v>774</v>
      </c>
      <c r="W1763" s="722">
        <v>2.11</v>
      </c>
      <c r="X1763" s="722">
        <v>5.73</v>
      </c>
      <c r="Y1763" s="722" t="s">
        <v>774</v>
      </c>
      <c r="Z1763" s="382" t="s">
        <v>934</v>
      </c>
      <c r="AA1763" s="372">
        <v>98.200069600000006</v>
      </c>
      <c r="AB1763" s="372">
        <v>554.26003730000002</v>
      </c>
      <c r="AC1763" s="372">
        <v>230.83152240000001</v>
      </c>
      <c r="AD1763" s="372">
        <v>114.076733</v>
      </c>
      <c r="AE1763" s="372">
        <v>0</v>
      </c>
      <c r="AF1763" s="372">
        <v>0</v>
      </c>
      <c r="AG1763" s="372">
        <v>0</v>
      </c>
      <c r="AH1763" s="372">
        <v>0</v>
      </c>
    </row>
    <row r="1764" spans="1:34">
      <c r="A1764" s="372" t="s">
        <v>11639</v>
      </c>
      <c r="B1764" s="373" t="s">
        <v>11640</v>
      </c>
      <c r="C1764" s="372" t="s">
        <v>11641</v>
      </c>
      <c r="D1764" s="374">
        <v>1101110633556</v>
      </c>
      <c r="E1764" s="372" t="s">
        <v>11642</v>
      </c>
      <c r="F1764" s="375" t="s">
        <v>1292</v>
      </c>
      <c r="G1764" s="375" t="s">
        <v>11643</v>
      </c>
      <c r="H1764" s="375" t="s">
        <v>868</v>
      </c>
      <c r="I1764" s="375" t="s">
        <v>869</v>
      </c>
      <c r="J1764" s="375">
        <v>44410.624430000003</v>
      </c>
      <c r="K1764" s="375">
        <v>-378.4522</v>
      </c>
      <c r="L1764" s="375">
        <v>-222.95268999999999</v>
      </c>
      <c r="M1764" s="375">
        <v>46347.732880000003</v>
      </c>
      <c r="N1764" s="372">
        <v>1.0640000000000001</v>
      </c>
      <c r="O1764" s="703">
        <v>14.359299915758102</v>
      </c>
      <c r="P1764" s="375" t="s">
        <v>623</v>
      </c>
      <c r="Q1764" s="372" t="s">
        <v>623</v>
      </c>
      <c r="R1764" s="695">
        <v>20190724</v>
      </c>
      <c r="S1764" s="372" t="s">
        <v>11644</v>
      </c>
      <c r="T1764" s="696" t="s">
        <v>772</v>
      </c>
      <c r="U1764" s="372" t="s">
        <v>11645</v>
      </c>
      <c r="V1764" s="722">
        <v>63.11</v>
      </c>
      <c r="W1764" s="722">
        <v>1.67</v>
      </c>
      <c r="X1764" s="722">
        <v>1.75</v>
      </c>
      <c r="Y1764" s="722" t="s">
        <v>774</v>
      </c>
      <c r="Z1764" s="382" t="s">
        <v>934</v>
      </c>
      <c r="AA1764" s="372">
        <v>412.32906020000001</v>
      </c>
      <c r="AB1764" s="372">
        <v>495.39646759999999</v>
      </c>
      <c r="AC1764" s="372">
        <v>547.99709129999997</v>
      </c>
      <c r="AD1764" s="372">
        <v>444.10624430000001</v>
      </c>
      <c r="AE1764" s="372">
        <v>667</v>
      </c>
      <c r="AF1764" s="372">
        <v>0</v>
      </c>
      <c r="AG1764" s="372">
        <v>0</v>
      </c>
      <c r="AH1764" s="372">
        <v>0</v>
      </c>
    </row>
    <row r="1765" spans="1:34">
      <c r="A1765" s="372" t="s">
        <v>11646</v>
      </c>
      <c r="B1765" s="373" t="s">
        <v>11647</v>
      </c>
      <c r="C1765" s="372" t="s">
        <v>11648</v>
      </c>
      <c r="D1765" s="374">
        <v>1101112001842</v>
      </c>
      <c r="E1765" s="372" t="s">
        <v>11649</v>
      </c>
      <c r="F1765" s="375" t="s">
        <v>1814</v>
      </c>
      <c r="G1765" s="375" t="s">
        <v>1815</v>
      </c>
      <c r="H1765" s="375" t="s">
        <v>1693</v>
      </c>
      <c r="I1765" s="375" t="s">
        <v>869</v>
      </c>
      <c r="J1765" s="375">
        <v>12752.62341</v>
      </c>
      <c r="K1765" s="375">
        <v>-5272.1667100000004</v>
      </c>
      <c r="L1765" s="375">
        <v>-5463.0266199999996</v>
      </c>
      <c r="M1765" s="375">
        <v>10715.486730000001</v>
      </c>
      <c r="N1765" s="372">
        <v>0.47099999999999997</v>
      </c>
      <c r="O1765" s="703">
        <v>14.680206236109836</v>
      </c>
      <c r="P1765" s="375" t="s">
        <v>623</v>
      </c>
      <c r="Q1765" s="375" t="s">
        <v>623</v>
      </c>
      <c r="R1765" s="695">
        <v>20171110</v>
      </c>
      <c r="S1765" s="375" t="s">
        <v>11650</v>
      </c>
      <c r="T1765" s="696" t="s">
        <v>772</v>
      </c>
      <c r="U1765" s="372" t="s">
        <v>11651</v>
      </c>
      <c r="V1765" s="722">
        <v>0</v>
      </c>
      <c r="W1765" s="722">
        <v>7.73</v>
      </c>
      <c r="X1765" s="722">
        <v>0</v>
      </c>
      <c r="Y1765" s="722">
        <v>0</v>
      </c>
      <c r="Z1765" s="382" t="s">
        <v>934</v>
      </c>
      <c r="AA1765" s="372">
        <v>118.8023972</v>
      </c>
      <c r="AB1765" s="372">
        <v>149.9544908</v>
      </c>
      <c r="AC1765" s="372">
        <v>173.5590565</v>
      </c>
      <c r="AD1765" s="372">
        <v>127.5262341</v>
      </c>
      <c r="AE1765" s="372">
        <v>0</v>
      </c>
      <c r="AF1765" s="372">
        <v>0</v>
      </c>
      <c r="AG1765" s="372">
        <v>0</v>
      </c>
      <c r="AH1765" s="372">
        <v>0</v>
      </c>
    </row>
    <row r="1766" spans="1:34">
      <c r="A1766" s="372" t="s">
        <v>11652</v>
      </c>
      <c r="B1766" s="373" t="s">
        <v>11653</v>
      </c>
      <c r="C1766" s="372" t="s">
        <v>11654</v>
      </c>
      <c r="D1766" s="374">
        <v>1341110078407</v>
      </c>
      <c r="E1766" s="372" t="s">
        <v>11655</v>
      </c>
      <c r="F1766" s="375" t="s">
        <v>770</v>
      </c>
      <c r="G1766" s="375" t="s">
        <v>11656</v>
      </c>
      <c r="H1766" s="375" t="s">
        <v>1388</v>
      </c>
      <c r="I1766" s="375" t="s">
        <v>869</v>
      </c>
      <c r="J1766" s="375">
        <v>0</v>
      </c>
      <c r="K1766" s="375">
        <v>0</v>
      </c>
      <c r="L1766" s="375">
        <v>0</v>
      </c>
      <c r="M1766" s="375">
        <v>44277.656889999998</v>
      </c>
      <c r="N1766" s="372" t="s">
        <v>1033</v>
      </c>
      <c r="O1766" s="703">
        <v>16.040044861783066</v>
      </c>
      <c r="P1766" s="375" t="s">
        <v>623</v>
      </c>
      <c r="Q1766" s="375" t="s">
        <v>623</v>
      </c>
      <c r="R1766" s="695">
        <v>20231107</v>
      </c>
      <c r="S1766" s="375" t="s">
        <v>11657</v>
      </c>
      <c r="T1766" s="696" t="s">
        <v>772</v>
      </c>
      <c r="U1766" s="372" t="s">
        <v>11658</v>
      </c>
      <c r="V1766" s="722">
        <v>0</v>
      </c>
      <c r="W1766" s="722">
        <v>1.77</v>
      </c>
      <c r="X1766" s="722">
        <v>0</v>
      </c>
      <c r="Y1766" s="722">
        <v>0</v>
      </c>
      <c r="Z1766" s="382" t="s">
        <v>934</v>
      </c>
      <c r="AA1766" s="372">
        <v>160.71145999999999</v>
      </c>
      <c r="AB1766" s="372">
        <v>219.76760920000001</v>
      </c>
      <c r="AC1766" s="372">
        <v>158.3900496</v>
      </c>
      <c r="AD1766" s="372">
        <v>138.13256240000001</v>
      </c>
      <c r="AE1766" s="372">
        <v>0</v>
      </c>
      <c r="AF1766" s="372">
        <v>0</v>
      </c>
      <c r="AG1766" s="372">
        <v>0</v>
      </c>
      <c r="AH1766" s="372">
        <v>0</v>
      </c>
    </row>
    <row r="1767" spans="1:34">
      <c r="A1767" s="372" t="s">
        <v>11659</v>
      </c>
      <c r="B1767" s="373" t="s">
        <v>11660</v>
      </c>
      <c r="C1767" s="372" t="s">
        <v>11661</v>
      </c>
      <c r="D1767" s="374">
        <v>2001110093313</v>
      </c>
      <c r="E1767" s="372" t="s">
        <v>11662</v>
      </c>
      <c r="F1767" s="375" t="s">
        <v>852</v>
      </c>
      <c r="G1767" s="375" t="s">
        <v>852</v>
      </c>
      <c r="H1767" s="375" t="s">
        <v>3127</v>
      </c>
      <c r="I1767" s="375" t="s">
        <v>869</v>
      </c>
      <c r="J1767" s="375">
        <v>54609.819819999997</v>
      </c>
      <c r="K1767" s="375">
        <v>-3450.04592</v>
      </c>
      <c r="L1767" s="375">
        <v>-4785.0130900000004</v>
      </c>
      <c r="M1767" s="375">
        <v>45083.677779999998</v>
      </c>
      <c r="N1767" s="372">
        <v>1.121</v>
      </c>
      <c r="O1767" s="703">
        <v>15.51396901832052</v>
      </c>
      <c r="P1767" s="375" t="s">
        <v>623</v>
      </c>
      <c r="Q1767" s="372" t="s">
        <v>623</v>
      </c>
      <c r="R1767" s="695">
        <v>20121127</v>
      </c>
      <c r="S1767" s="372" t="s">
        <v>11663</v>
      </c>
      <c r="T1767" s="696" t="s">
        <v>772</v>
      </c>
      <c r="U1767" s="372" t="s">
        <v>11664</v>
      </c>
      <c r="V1767" s="722" t="s">
        <v>774</v>
      </c>
      <c r="W1767" s="722">
        <v>1.63</v>
      </c>
      <c r="X1767" s="722">
        <v>1.1299999999999999</v>
      </c>
      <c r="Y1767" s="722" t="s">
        <v>774</v>
      </c>
      <c r="Z1767" s="382" t="s">
        <v>934</v>
      </c>
      <c r="AA1767" s="372">
        <v>1068.8712399999999</v>
      </c>
      <c r="AB1767" s="372">
        <v>1073.7981987999999</v>
      </c>
      <c r="AC1767" s="372">
        <v>990.06594849999999</v>
      </c>
      <c r="AD1767" s="372">
        <v>546.09819819999996</v>
      </c>
      <c r="AE1767" s="372">
        <v>0</v>
      </c>
      <c r="AF1767" s="372">
        <v>0</v>
      </c>
      <c r="AG1767" s="372">
        <v>0</v>
      </c>
      <c r="AH1767" s="372">
        <v>0</v>
      </c>
    </row>
    <row r="1768" spans="1:34">
      <c r="A1768" s="372" t="s">
        <v>11665</v>
      </c>
      <c r="B1768" s="373" t="s">
        <v>11666</v>
      </c>
      <c r="C1768" s="372" t="s">
        <v>11667</v>
      </c>
      <c r="D1768" s="374">
        <v>1101110155378</v>
      </c>
      <c r="E1768" s="372" t="s">
        <v>11668</v>
      </c>
      <c r="F1768" s="372" t="s">
        <v>1585</v>
      </c>
      <c r="G1768" s="375" t="s">
        <v>1585</v>
      </c>
      <c r="H1768" s="375" t="s">
        <v>3127</v>
      </c>
      <c r="I1768" s="375" t="s">
        <v>869</v>
      </c>
      <c r="J1768" s="375">
        <v>57230.803240000001</v>
      </c>
      <c r="K1768" s="375">
        <v>2091.16482</v>
      </c>
      <c r="L1768" s="375">
        <v>2516.8244599999998</v>
      </c>
      <c r="M1768" s="375">
        <v>48019.054600000003</v>
      </c>
      <c r="N1768" s="372">
        <v>0.88200000000000001</v>
      </c>
      <c r="O1768" s="703">
        <v>2.1232412450078671E-2</v>
      </c>
      <c r="P1768" s="375" t="s">
        <v>623</v>
      </c>
      <c r="Q1768" s="372" t="s">
        <v>623</v>
      </c>
      <c r="R1768" s="695">
        <v>19941228</v>
      </c>
      <c r="S1768" s="372" t="s">
        <v>11669</v>
      </c>
      <c r="T1768" s="696">
        <v>0.20900000000000002</v>
      </c>
      <c r="U1768" s="372" t="s">
        <v>11670</v>
      </c>
      <c r="V1768" s="722">
        <v>25.07</v>
      </c>
      <c r="W1768" s="722">
        <v>1.83</v>
      </c>
      <c r="X1768" s="722">
        <v>1.55</v>
      </c>
      <c r="Y1768" s="722">
        <v>40.94</v>
      </c>
      <c r="Z1768" s="382" t="s">
        <v>934</v>
      </c>
      <c r="AA1768" s="372">
        <v>576.93667089999997</v>
      </c>
      <c r="AB1768" s="372">
        <v>584.103477</v>
      </c>
      <c r="AC1768" s="372">
        <v>576.39296609999997</v>
      </c>
      <c r="AD1768" s="372">
        <v>572.3080324</v>
      </c>
      <c r="AE1768" s="372">
        <v>0</v>
      </c>
      <c r="AF1768" s="372">
        <v>0</v>
      </c>
      <c r="AG1768" s="372">
        <v>0</v>
      </c>
      <c r="AH1768" s="372">
        <v>0</v>
      </c>
    </row>
    <row r="1769" spans="1:34">
      <c r="A1769" s="372" t="s">
        <v>11671</v>
      </c>
      <c r="B1769" s="373" t="s">
        <v>11672</v>
      </c>
      <c r="C1769" s="372" t="s">
        <v>11673</v>
      </c>
      <c r="D1769" s="374">
        <v>1101111444241</v>
      </c>
      <c r="E1769" s="372" t="s">
        <v>11674</v>
      </c>
      <c r="F1769" s="375" t="s">
        <v>4226</v>
      </c>
      <c r="G1769" s="375" t="s">
        <v>4226</v>
      </c>
      <c r="H1769" s="375" t="s">
        <v>1388</v>
      </c>
      <c r="I1769" s="375" t="s">
        <v>869</v>
      </c>
      <c r="J1769" s="375">
        <v>32289.72163</v>
      </c>
      <c r="K1769" s="375">
        <v>1851.9697699999999</v>
      </c>
      <c r="L1769" s="375">
        <v>2390.6009899999999</v>
      </c>
      <c r="M1769" s="375">
        <v>38313.83309</v>
      </c>
      <c r="N1769" s="372">
        <v>1.3280000000000001</v>
      </c>
      <c r="O1769" s="703">
        <v>5.7633348036194088</v>
      </c>
      <c r="P1769" s="375" t="s">
        <v>623</v>
      </c>
      <c r="Q1769" s="372" t="s">
        <v>623</v>
      </c>
      <c r="R1769" s="695">
        <v>20070914</v>
      </c>
      <c r="S1769" s="372" t="s">
        <v>11675</v>
      </c>
      <c r="T1769" s="696">
        <v>0.20900000000000002</v>
      </c>
      <c r="U1769" s="372" t="s">
        <v>11676</v>
      </c>
      <c r="V1769" s="722">
        <v>25.21</v>
      </c>
      <c r="W1769" s="722">
        <v>1.77</v>
      </c>
      <c r="X1769" s="722">
        <v>2.23</v>
      </c>
      <c r="Y1769" s="722">
        <v>27.78</v>
      </c>
      <c r="Z1769" s="382" t="s">
        <v>934</v>
      </c>
      <c r="AA1769" s="372">
        <v>236.62752269999999</v>
      </c>
      <c r="AB1769" s="372">
        <v>308.2978703</v>
      </c>
      <c r="AC1769" s="372">
        <v>340.8292452</v>
      </c>
      <c r="AD1769" s="372">
        <v>322.89721630000003</v>
      </c>
      <c r="AE1769" s="372">
        <v>0</v>
      </c>
      <c r="AF1769" s="372">
        <v>0</v>
      </c>
      <c r="AG1769" s="372">
        <v>0</v>
      </c>
      <c r="AH1769" s="372">
        <v>0</v>
      </c>
    </row>
    <row r="1770" spans="1:34">
      <c r="A1770" s="372" t="s">
        <v>11677</v>
      </c>
      <c r="B1770" s="373" t="s">
        <v>11678</v>
      </c>
      <c r="C1770" s="372" t="s">
        <v>11679</v>
      </c>
      <c r="D1770" s="374">
        <v>1201110007238</v>
      </c>
      <c r="E1770" s="372" t="s">
        <v>11680</v>
      </c>
      <c r="F1770" s="375" t="s">
        <v>2030</v>
      </c>
      <c r="G1770" s="375" t="s">
        <v>2030</v>
      </c>
      <c r="H1770" s="375" t="s">
        <v>868</v>
      </c>
      <c r="I1770" s="375" t="s">
        <v>869</v>
      </c>
      <c r="J1770" s="375">
        <v>31359.26021</v>
      </c>
      <c r="K1770" s="375">
        <v>787.37531999999999</v>
      </c>
      <c r="L1770" s="375">
        <v>-16628.48905</v>
      </c>
      <c r="M1770" s="375">
        <v>48011.396480000003</v>
      </c>
      <c r="N1770" s="372">
        <v>1.69</v>
      </c>
      <c r="O1770" s="703">
        <v>38.001679867945036</v>
      </c>
      <c r="P1770" s="375" t="s">
        <v>623</v>
      </c>
      <c r="Q1770" s="375" t="s">
        <v>623</v>
      </c>
      <c r="R1770" s="695">
        <v>19931222</v>
      </c>
      <c r="S1770" s="375" t="s">
        <v>11681</v>
      </c>
      <c r="T1770" s="696" t="s">
        <v>772</v>
      </c>
      <c r="U1770" s="372" t="s">
        <v>11682</v>
      </c>
      <c r="V1770" s="722">
        <v>38.619999999999997</v>
      </c>
      <c r="W1770" s="722">
        <v>1.83</v>
      </c>
      <c r="X1770" s="722">
        <v>2.69</v>
      </c>
      <c r="Y1770" s="722" t="s">
        <v>774</v>
      </c>
      <c r="Z1770" s="382" t="s">
        <v>934</v>
      </c>
      <c r="AA1770" s="372">
        <v>167.10124579999999</v>
      </c>
      <c r="AB1770" s="372">
        <v>247.7324764</v>
      </c>
      <c r="AC1770" s="372">
        <v>360.24332729999998</v>
      </c>
      <c r="AD1770" s="372">
        <v>313.59260210000002</v>
      </c>
      <c r="AE1770" s="372">
        <v>0</v>
      </c>
      <c r="AF1770" s="372">
        <v>0</v>
      </c>
      <c r="AG1770" s="372">
        <v>0</v>
      </c>
      <c r="AH1770" s="372">
        <v>0</v>
      </c>
    </row>
    <row r="1771" spans="1:34">
      <c r="A1771" s="372" t="s">
        <v>11683</v>
      </c>
      <c r="B1771" s="373" t="s">
        <v>11684</v>
      </c>
      <c r="C1771" s="372" t="s">
        <v>11685</v>
      </c>
      <c r="D1771" s="374">
        <v>1101118406781</v>
      </c>
      <c r="E1771" s="372" t="s">
        <v>11686</v>
      </c>
      <c r="F1771" s="375" t="s">
        <v>1151</v>
      </c>
      <c r="G1771" s="375" t="s">
        <v>1152</v>
      </c>
      <c r="H1771" s="375" t="s">
        <v>902</v>
      </c>
      <c r="I1771" s="375" t="s">
        <v>869</v>
      </c>
      <c r="J1771" s="375">
        <v>0</v>
      </c>
      <c r="K1771" s="375">
        <v>-66.543109999999999</v>
      </c>
      <c r="L1771" s="375">
        <v>1508.6822</v>
      </c>
      <c r="M1771" s="375">
        <v>75902.267500000002</v>
      </c>
      <c r="N1771" s="372" t="s">
        <v>1033</v>
      </c>
      <c r="O1771" s="703">
        <v>13.027918119404273</v>
      </c>
      <c r="P1771" s="375" t="s">
        <v>623</v>
      </c>
      <c r="Q1771" s="375" t="s">
        <v>623</v>
      </c>
      <c r="R1771" s="695">
        <v>20230315</v>
      </c>
      <c r="S1771" s="375" t="s">
        <v>9098</v>
      </c>
      <c r="T1771" s="696">
        <v>0.20900000000000002</v>
      </c>
      <c r="U1771" s="372">
        <v>0</v>
      </c>
      <c r="V1771" s="722">
        <v>0</v>
      </c>
      <c r="W1771" s="722">
        <v>0.95</v>
      </c>
      <c r="X1771" s="722">
        <v>0</v>
      </c>
      <c r="Y1771" s="722">
        <v>0</v>
      </c>
      <c r="Z1771" s="382" t="s">
        <v>774</v>
      </c>
      <c r="AA1771" s="372">
        <v>0</v>
      </c>
      <c r="AB1771" s="372">
        <v>0</v>
      </c>
      <c r="AC1771" s="372">
        <v>0</v>
      </c>
      <c r="AD1771" s="372">
        <v>0</v>
      </c>
      <c r="AE1771" s="372">
        <v>0</v>
      </c>
      <c r="AF1771" s="372">
        <v>0</v>
      </c>
      <c r="AG1771" s="372">
        <v>0</v>
      </c>
      <c r="AH1771" s="372">
        <v>0</v>
      </c>
    </row>
    <row r="1772" spans="1:34">
      <c r="A1772" s="372" t="s">
        <v>11687</v>
      </c>
      <c r="B1772" s="373" t="s">
        <v>11688</v>
      </c>
      <c r="C1772" s="372" t="s">
        <v>11689</v>
      </c>
      <c r="D1772" s="374">
        <v>1101117263174</v>
      </c>
      <c r="E1772" s="372" t="s">
        <v>11690</v>
      </c>
      <c r="F1772" s="375" t="s">
        <v>622</v>
      </c>
      <c r="G1772" s="375" t="s">
        <v>622</v>
      </c>
      <c r="H1772" s="375" t="s">
        <v>1388</v>
      </c>
      <c r="I1772" s="375" t="s">
        <v>869</v>
      </c>
      <c r="J1772" s="375">
        <v>75369.137409999996</v>
      </c>
      <c r="K1772" s="375">
        <v>-907.83065999999997</v>
      </c>
      <c r="L1772" s="375">
        <v>-1379.5749800000001</v>
      </c>
      <c r="M1772" s="375">
        <v>16809.680069999999</v>
      </c>
      <c r="N1772" s="372">
        <v>1.1879999999999999</v>
      </c>
      <c r="O1772" s="703">
        <v>12.926104397089649</v>
      </c>
      <c r="P1772" s="375" t="s">
        <v>623</v>
      </c>
      <c r="Q1772" s="375" t="s">
        <v>623</v>
      </c>
      <c r="R1772" s="695">
        <v>20191219</v>
      </c>
      <c r="S1772" s="375" t="s">
        <v>11691</v>
      </c>
      <c r="T1772" s="696" t="s">
        <v>772</v>
      </c>
      <c r="U1772" s="372" t="s">
        <v>11692</v>
      </c>
      <c r="V1772" s="722">
        <v>0</v>
      </c>
      <c r="W1772" s="722">
        <v>6.25</v>
      </c>
      <c r="X1772" s="722">
        <v>0</v>
      </c>
      <c r="Y1772" s="722">
        <v>0</v>
      </c>
      <c r="Z1772" s="382" t="s">
        <v>934</v>
      </c>
      <c r="AA1772" s="372">
        <v>634.61220779999996</v>
      </c>
      <c r="AB1772" s="372">
        <v>775.45506750000004</v>
      </c>
      <c r="AC1772" s="372">
        <v>648.59341700000004</v>
      </c>
      <c r="AD1772" s="372">
        <v>753.69137409999996</v>
      </c>
      <c r="AE1772" s="372">
        <v>0</v>
      </c>
      <c r="AF1772" s="372">
        <v>0</v>
      </c>
      <c r="AG1772" s="372">
        <v>0</v>
      </c>
      <c r="AH1772" s="372">
        <v>0</v>
      </c>
    </row>
    <row r="1773" spans="1:34">
      <c r="A1773" s="372" t="s">
        <v>11693</v>
      </c>
      <c r="B1773" s="373" t="s">
        <v>11694</v>
      </c>
      <c r="C1773" s="372" t="s">
        <v>11695</v>
      </c>
      <c r="D1773" s="374">
        <v>1101111953953</v>
      </c>
      <c r="E1773" s="372" t="s">
        <v>11696</v>
      </c>
      <c r="F1773" s="375" t="s">
        <v>1124</v>
      </c>
      <c r="G1773" s="375" t="s">
        <v>1347</v>
      </c>
      <c r="H1773" s="375" t="s">
        <v>1348</v>
      </c>
      <c r="I1773" s="375" t="s">
        <v>869</v>
      </c>
      <c r="J1773" s="375">
        <v>47844.017769999999</v>
      </c>
      <c r="K1773" s="375">
        <v>1587.789</v>
      </c>
      <c r="L1773" s="375">
        <v>4406.2968000000001</v>
      </c>
      <c r="M1773" s="375">
        <v>56931.043140000002</v>
      </c>
      <c r="N1773" s="372">
        <v>0.88300000000000001</v>
      </c>
      <c r="O1773" s="703">
        <v>6.0134454579070251</v>
      </c>
      <c r="P1773" s="375" t="s">
        <v>623</v>
      </c>
      <c r="Q1773" s="372" t="s">
        <v>623</v>
      </c>
      <c r="R1773" s="695">
        <v>20200522</v>
      </c>
      <c r="S1773" s="372" t="s">
        <v>11697</v>
      </c>
      <c r="T1773" s="696">
        <v>0.20900000000000002</v>
      </c>
      <c r="U1773" s="372" t="s">
        <v>11698</v>
      </c>
      <c r="V1773" s="722">
        <v>21.19</v>
      </c>
      <c r="W1773" s="722">
        <v>1.41</v>
      </c>
      <c r="X1773" s="722">
        <v>1.61</v>
      </c>
      <c r="Y1773" s="722">
        <v>20.64</v>
      </c>
      <c r="Z1773" s="382" t="s">
        <v>934</v>
      </c>
      <c r="AA1773" s="372">
        <v>234.8932178</v>
      </c>
      <c r="AB1773" s="372">
        <v>261.53499620000002</v>
      </c>
      <c r="AC1773" s="372">
        <v>388.73659880000002</v>
      </c>
      <c r="AD1773" s="372">
        <v>478.44017769999999</v>
      </c>
      <c r="AE1773" s="372">
        <v>0</v>
      </c>
      <c r="AF1773" s="372">
        <v>0</v>
      </c>
      <c r="AG1773" s="372">
        <v>0</v>
      </c>
      <c r="AH1773" s="372">
        <v>0</v>
      </c>
    </row>
    <row r="1774" spans="1:34">
      <c r="A1774" s="372" t="s">
        <v>11699</v>
      </c>
      <c r="B1774" s="373" t="s">
        <v>11700</v>
      </c>
      <c r="C1774" s="372" t="s">
        <v>11701</v>
      </c>
      <c r="D1774" s="374">
        <v>1101110243793</v>
      </c>
      <c r="E1774" s="372" t="s">
        <v>11702</v>
      </c>
      <c r="F1774" s="375" t="s">
        <v>4892</v>
      </c>
      <c r="G1774" s="375" t="s">
        <v>4893</v>
      </c>
      <c r="H1774" s="375" t="s">
        <v>1397</v>
      </c>
      <c r="I1774" s="375" t="s">
        <v>755</v>
      </c>
      <c r="J1774" s="375">
        <v>0</v>
      </c>
      <c r="K1774" s="375">
        <v>0</v>
      </c>
      <c r="L1774" s="375">
        <v>0</v>
      </c>
      <c r="M1774" s="375">
        <v>87295.24656</v>
      </c>
      <c r="N1774" s="372">
        <v>0.75900000000000001</v>
      </c>
      <c r="O1774" s="703">
        <v>103.41427578849782</v>
      </c>
      <c r="P1774" s="375" t="s">
        <v>623</v>
      </c>
      <c r="Q1774" s="372" t="s">
        <v>623</v>
      </c>
      <c r="R1774" s="695">
        <v>19891130</v>
      </c>
      <c r="S1774" s="375" t="s">
        <v>11703</v>
      </c>
      <c r="T1774" s="696" t="s">
        <v>772</v>
      </c>
      <c r="U1774" s="372" t="s">
        <v>11704</v>
      </c>
      <c r="V1774" s="722">
        <v>0</v>
      </c>
      <c r="W1774" s="722">
        <v>0.88</v>
      </c>
      <c r="X1774" s="722">
        <v>0</v>
      </c>
      <c r="Y1774" s="722">
        <v>0</v>
      </c>
      <c r="Z1774" s="382" t="s">
        <v>934</v>
      </c>
      <c r="AA1774" s="372">
        <v>1617.2891781999999</v>
      </c>
      <c r="AB1774" s="372">
        <v>1636.8660205000001</v>
      </c>
      <c r="AC1774" s="372">
        <v>1951.4048726000001</v>
      </c>
      <c r="AD1774" s="372">
        <v>2788.2795338000001</v>
      </c>
      <c r="AE1774" s="372">
        <v>0</v>
      </c>
      <c r="AF1774" s="372">
        <v>0</v>
      </c>
      <c r="AG1774" s="372">
        <v>0</v>
      </c>
      <c r="AH1774" s="372">
        <v>0</v>
      </c>
    </row>
    <row r="1775" spans="1:34">
      <c r="A1775" s="372" t="s">
        <v>11705</v>
      </c>
      <c r="B1775" s="373" t="s">
        <v>11706</v>
      </c>
      <c r="C1775" s="372" t="s">
        <v>11707</v>
      </c>
      <c r="D1775" s="374">
        <v>1101113977050</v>
      </c>
      <c r="E1775" s="372" t="s">
        <v>11708</v>
      </c>
      <c r="F1775" s="375" t="s">
        <v>786</v>
      </c>
      <c r="G1775" s="375" t="s">
        <v>786</v>
      </c>
      <c r="H1775" s="375" t="s">
        <v>868</v>
      </c>
      <c r="I1775" s="375" t="s">
        <v>869</v>
      </c>
      <c r="J1775" s="375">
        <v>0</v>
      </c>
      <c r="K1775" s="375">
        <v>0</v>
      </c>
      <c r="L1775" s="375">
        <v>0</v>
      </c>
      <c r="M1775" s="375">
        <v>18996.10557</v>
      </c>
      <c r="N1775" s="372" t="s">
        <v>1033</v>
      </c>
      <c r="O1775" s="703">
        <v>0.94377005098673938</v>
      </c>
      <c r="P1775" s="375" t="s">
        <v>623</v>
      </c>
      <c r="Q1775" s="375" t="s">
        <v>623</v>
      </c>
      <c r="R1775" s="695">
        <v>20221019</v>
      </c>
      <c r="S1775" s="375" t="s">
        <v>11709</v>
      </c>
      <c r="T1775" s="696" t="s">
        <v>772</v>
      </c>
      <c r="U1775" s="372" t="s">
        <v>11710</v>
      </c>
      <c r="V1775" s="722">
        <v>0</v>
      </c>
      <c r="W1775" s="722">
        <v>4.57</v>
      </c>
      <c r="X1775" s="722">
        <v>0</v>
      </c>
      <c r="Y1775" s="722">
        <v>0</v>
      </c>
      <c r="Z1775" s="382" t="s">
        <v>934</v>
      </c>
      <c r="AA1775" s="372">
        <v>0</v>
      </c>
      <c r="AB1775" s="372">
        <v>5.228402</v>
      </c>
      <c r="AC1775" s="372">
        <v>20</v>
      </c>
      <c r="AD1775" s="372">
        <v>2.1525126999999999</v>
      </c>
      <c r="AE1775" s="372">
        <v>0</v>
      </c>
      <c r="AF1775" s="372">
        <v>0</v>
      </c>
      <c r="AG1775" s="372">
        <v>0</v>
      </c>
      <c r="AH1775" s="372">
        <v>0</v>
      </c>
    </row>
    <row r="1776" spans="1:34">
      <c r="A1776" s="372" t="s">
        <v>11711</v>
      </c>
      <c r="B1776" s="373" t="s">
        <v>11712</v>
      </c>
      <c r="C1776" s="372" t="s">
        <v>11713</v>
      </c>
      <c r="D1776" s="374">
        <v>1243110000755</v>
      </c>
      <c r="E1776" s="372" t="s">
        <v>11714</v>
      </c>
      <c r="F1776" s="375" t="s">
        <v>2030</v>
      </c>
      <c r="G1776" s="375" t="s">
        <v>2030</v>
      </c>
      <c r="H1776" s="375" t="s">
        <v>797</v>
      </c>
      <c r="I1776" s="375" t="s">
        <v>755</v>
      </c>
      <c r="J1776" s="375">
        <v>311469.92069</v>
      </c>
      <c r="K1776" s="375">
        <v>8019.3900199999998</v>
      </c>
      <c r="L1776" s="375">
        <v>22083.111079999999</v>
      </c>
      <c r="M1776" s="375">
        <v>335105.44221000001</v>
      </c>
      <c r="N1776" s="372">
        <v>0.71699999999999997</v>
      </c>
      <c r="O1776" s="703">
        <v>23.693139987750104</v>
      </c>
      <c r="P1776" s="375" t="s">
        <v>623</v>
      </c>
      <c r="Q1776" s="372" t="s">
        <v>623</v>
      </c>
      <c r="R1776" s="695">
        <v>19881010</v>
      </c>
      <c r="S1776" s="372" t="s">
        <v>11715</v>
      </c>
      <c r="T1776" s="696">
        <v>0.23100000000000001</v>
      </c>
      <c r="U1776" s="372" t="s">
        <v>11716</v>
      </c>
      <c r="V1776" s="722">
        <v>4.79</v>
      </c>
      <c r="W1776" s="722">
        <v>0.25</v>
      </c>
      <c r="X1776" s="722">
        <v>0.24</v>
      </c>
      <c r="Y1776" s="722">
        <v>7.63</v>
      </c>
      <c r="Z1776" s="382" t="s">
        <v>934</v>
      </c>
      <c r="AA1776" s="372">
        <v>2415.4566924000001</v>
      </c>
      <c r="AB1776" s="372">
        <v>2763.9197438000001</v>
      </c>
      <c r="AC1776" s="372">
        <v>2967.5635397999999</v>
      </c>
      <c r="AD1776" s="372">
        <v>3114.6992068999998</v>
      </c>
      <c r="AE1776" s="372">
        <v>0</v>
      </c>
      <c r="AF1776" s="372">
        <v>0</v>
      </c>
      <c r="AG1776" s="372">
        <v>0</v>
      </c>
      <c r="AH1776" s="372">
        <v>0</v>
      </c>
    </row>
    <row r="1777" spans="1:34">
      <c r="A1777" s="372" t="s">
        <v>11717</v>
      </c>
      <c r="B1777" s="373" t="s">
        <v>11718</v>
      </c>
      <c r="C1777" s="372" t="s">
        <v>16087</v>
      </c>
      <c r="D1777" s="374">
        <v>1101110747414</v>
      </c>
      <c r="E1777" s="372" t="s">
        <v>11719</v>
      </c>
      <c r="F1777" s="375" t="s">
        <v>5824</v>
      </c>
      <c r="G1777" s="375" t="s">
        <v>5824</v>
      </c>
      <c r="H1777" s="375" t="s">
        <v>1693</v>
      </c>
      <c r="I1777" s="375" t="s">
        <v>869</v>
      </c>
      <c r="J1777" s="375">
        <v>59435.979919999998</v>
      </c>
      <c r="K1777" s="375">
        <v>1458.8607400000001</v>
      </c>
      <c r="L1777" s="375">
        <v>608.41407000000004</v>
      </c>
      <c r="M1777" s="375">
        <v>73402.149260000006</v>
      </c>
      <c r="N1777" s="372">
        <v>1.2969999999999999</v>
      </c>
      <c r="O1777" s="703">
        <v>5.4188500936743305</v>
      </c>
      <c r="P1777" s="375" t="s">
        <v>623</v>
      </c>
      <c r="Q1777" s="372" t="s">
        <v>623</v>
      </c>
      <c r="R1777" s="695">
        <v>20020809</v>
      </c>
      <c r="S1777" s="375" t="s">
        <v>11720</v>
      </c>
      <c r="T1777" s="696">
        <v>0.20900000000000002</v>
      </c>
      <c r="U1777" s="372" t="s">
        <v>16088</v>
      </c>
      <c r="V1777" s="722">
        <v>20.69</v>
      </c>
      <c r="W1777" s="722">
        <v>0.7</v>
      </c>
      <c r="X1777" s="722">
        <v>0.89</v>
      </c>
      <c r="Y1777" s="722">
        <v>57.62</v>
      </c>
      <c r="Z1777" s="382" t="s">
        <v>934</v>
      </c>
      <c r="AA1777" s="372">
        <v>858.42920719999995</v>
      </c>
      <c r="AB1777" s="372">
        <v>859.19851219999998</v>
      </c>
      <c r="AC1777" s="372">
        <v>808.53888089999998</v>
      </c>
      <c r="AD1777" s="372">
        <v>594.3597992</v>
      </c>
      <c r="AE1777" s="372">
        <v>0</v>
      </c>
      <c r="AF1777" s="372">
        <v>0</v>
      </c>
      <c r="AG1777" s="372">
        <v>0</v>
      </c>
      <c r="AH1777" s="372">
        <v>0</v>
      </c>
    </row>
    <row r="1778" spans="1:34">
      <c r="A1778" s="372" t="s">
        <v>11721</v>
      </c>
      <c r="B1778" s="373" t="s">
        <v>11722</v>
      </c>
      <c r="C1778" s="372" t="s">
        <v>11723</v>
      </c>
      <c r="D1778" s="374">
        <v>1101116728781</v>
      </c>
      <c r="E1778" s="372" t="s">
        <v>11724</v>
      </c>
      <c r="F1778" s="375" t="s">
        <v>1124</v>
      </c>
      <c r="G1778" s="375" t="s">
        <v>1347</v>
      </c>
      <c r="H1778" s="375" t="s">
        <v>1348</v>
      </c>
      <c r="I1778" s="375" t="s">
        <v>869</v>
      </c>
      <c r="J1778" s="375">
        <v>0</v>
      </c>
      <c r="K1778" s="375">
        <v>0</v>
      </c>
      <c r="L1778" s="375">
        <v>0</v>
      </c>
      <c r="M1778" s="375">
        <v>34485.425819999997</v>
      </c>
      <c r="N1778" s="372">
        <v>0.88700000000000001</v>
      </c>
      <c r="O1778" s="703">
        <v>3.086149372781966</v>
      </c>
      <c r="P1778" s="375" t="s">
        <v>623</v>
      </c>
      <c r="Q1778" s="372" t="s">
        <v>623</v>
      </c>
      <c r="R1778" s="695">
        <v>20211108</v>
      </c>
      <c r="S1778" s="372" t="s">
        <v>11725</v>
      </c>
      <c r="T1778" s="696" t="s">
        <v>772</v>
      </c>
      <c r="U1778" s="372" t="s">
        <v>11726</v>
      </c>
      <c r="V1778" s="722">
        <v>0</v>
      </c>
      <c r="W1778" s="722">
        <v>2.54</v>
      </c>
      <c r="X1778" s="722">
        <v>0</v>
      </c>
      <c r="Y1778" s="722">
        <v>0</v>
      </c>
      <c r="Z1778" s="382" t="s">
        <v>934</v>
      </c>
      <c r="AA1778" s="372">
        <v>37.944500900000001</v>
      </c>
      <c r="AB1778" s="372">
        <v>81.343002600000005</v>
      </c>
      <c r="AC1778" s="372">
        <v>100.8338735</v>
      </c>
      <c r="AD1778" s="372">
        <v>69.671915999999996</v>
      </c>
      <c r="AE1778" s="372">
        <v>0</v>
      </c>
      <c r="AF1778" s="372">
        <v>0</v>
      </c>
      <c r="AG1778" s="372">
        <v>0</v>
      </c>
      <c r="AH1778" s="372">
        <v>0</v>
      </c>
    </row>
    <row r="1779" spans="1:34">
      <c r="A1779" s="372" t="s">
        <v>11727</v>
      </c>
      <c r="B1779" s="373" t="s">
        <v>11728</v>
      </c>
      <c r="C1779" s="372" t="s">
        <v>11729</v>
      </c>
      <c r="D1779" s="374">
        <v>1511110009906</v>
      </c>
      <c r="E1779" s="372" t="s">
        <v>11730</v>
      </c>
      <c r="F1779" s="375" t="s">
        <v>4782</v>
      </c>
      <c r="G1779" s="375" t="s">
        <v>4783</v>
      </c>
      <c r="H1779" s="375" t="s">
        <v>1950</v>
      </c>
      <c r="I1779" s="375" t="s">
        <v>869</v>
      </c>
      <c r="J1779" s="375">
        <v>19211.399829999998</v>
      </c>
      <c r="K1779" s="375">
        <v>453.72735999999998</v>
      </c>
      <c r="L1779" s="375">
        <v>2534.1484799999998</v>
      </c>
      <c r="M1779" s="375">
        <v>27539.470089999999</v>
      </c>
      <c r="N1779" s="372">
        <v>1.0620000000000001</v>
      </c>
      <c r="O1779" s="703">
        <v>0.56099563159781773</v>
      </c>
      <c r="P1779" s="375" t="s">
        <v>623</v>
      </c>
      <c r="Q1779" s="375" t="s">
        <v>623</v>
      </c>
      <c r="R1779" s="695">
        <v>20030528</v>
      </c>
      <c r="S1779" s="375" t="s">
        <v>11731</v>
      </c>
      <c r="T1779" s="696">
        <v>0.20900000000000002</v>
      </c>
      <c r="U1779" s="372" t="s">
        <v>11732</v>
      </c>
      <c r="V1779" s="722">
        <v>30.02</v>
      </c>
      <c r="W1779" s="722">
        <v>3.58</v>
      </c>
      <c r="X1779" s="722">
        <v>5.79</v>
      </c>
      <c r="Y1779" s="722">
        <v>43.88</v>
      </c>
      <c r="Z1779" s="382" t="s">
        <v>934</v>
      </c>
      <c r="AA1779" s="372">
        <v>192.70324239999999</v>
      </c>
      <c r="AB1779" s="372">
        <v>185.35195419999999</v>
      </c>
      <c r="AC1779" s="372">
        <v>193.55942250000001</v>
      </c>
      <c r="AD1779" s="372">
        <v>192.11399829999999</v>
      </c>
      <c r="AE1779" s="372">
        <v>0</v>
      </c>
      <c r="AF1779" s="372">
        <v>0</v>
      </c>
      <c r="AG1779" s="372">
        <v>0</v>
      </c>
      <c r="AH1779" s="372">
        <v>0</v>
      </c>
    </row>
    <row r="1780" spans="1:34">
      <c r="A1780" s="372" t="s">
        <v>11733</v>
      </c>
      <c r="B1780" s="373" t="s">
        <v>11734</v>
      </c>
      <c r="C1780" s="372" t="s">
        <v>11735</v>
      </c>
      <c r="D1780" s="374">
        <v>1101116929959</v>
      </c>
      <c r="E1780" s="372" t="s">
        <v>11736</v>
      </c>
      <c r="F1780" s="375" t="s">
        <v>2126</v>
      </c>
      <c r="G1780" s="375" t="s">
        <v>2126</v>
      </c>
      <c r="H1780" s="375" t="s">
        <v>902</v>
      </c>
      <c r="I1780" s="375" t="s">
        <v>869</v>
      </c>
      <c r="J1780" s="375">
        <v>0</v>
      </c>
      <c r="K1780" s="375">
        <v>0</v>
      </c>
      <c r="L1780" s="375">
        <v>0</v>
      </c>
      <c r="M1780" s="375">
        <v>31025.12239</v>
      </c>
      <c r="N1780" s="372" t="s">
        <v>1033</v>
      </c>
      <c r="O1780" s="703">
        <v>4.8108186903033854</v>
      </c>
      <c r="P1780" s="375" t="s">
        <v>623</v>
      </c>
      <c r="Q1780" s="372" t="s">
        <v>623</v>
      </c>
      <c r="R1780" s="695">
        <v>20231115</v>
      </c>
      <c r="S1780" s="375" t="s">
        <v>9140</v>
      </c>
      <c r="T1780" s="696" t="s">
        <v>772</v>
      </c>
      <c r="U1780" s="372" t="s">
        <v>11737</v>
      </c>
      <c r="V1780" s="722">
        <v>0</v>
      </c>
      <c r="W1780" s="722">
        <v>2.35</v>
      </c>
      <c r="X1780" s="722">
        <v>0</v>
      </c>
      <c r="Y1780" s="722">
        <v>0</v>
      </c>
      <c r="Z1780" s="382" t="s">
        <v>934</v>
      </c>
      <c r="AA1780" s="372">
        <v>0</v>
      </c>
      <c r="AB1780" s="372">
        <v>143.87619369999999</v>
      </c>
      <c r="AC1780" s="372">
        <v>122.16491430000001</v>
      </c>
      <c r="AD1780" s="372">
        <v>95.089273700000007</v>
      </c>
      <c r="AE1780" s="372">
        <v>0</v>
      </c>
      <c r="AF1780" s="372">
        <v>0</v>
      </c>
      <c r="AG1780" s="372">
        <v>0</v>
      </c>
      <c r="AH1780" s="372">
        <v>0</v>
      </c>
    </row>
    <row r="1781" spans="1:34">
      <c r="A1781" s="372" t="s">
        <v>11738</v>
      </c>
      <c r="B1781" s="373" t="s">
        <v>11739</v>
      </c>
      <c r="C1781" s="372" t="s">
        <v>11740</v>
      </c>
      <c r="D1781" s="374">
        <v>1311110243912</v>
      </c>
      <c r="E1781" s="372" t="s">
        <v>11741</v>
      </c>
      <c r="F1781" s="375" t="s">
        <v>1814</v>
      </c>
      <c r="G1781" s="375" t="s">
        <v>1815</v>
      </c>
      <c r="H1781" s="375" t="s">
        <v>1693</v>
      </c>
      <c r="I1781" s="375" t="s">
        <v>869</v>
      </c>
      <c r="J1781" s="375">
        <v>26120.903050000001</v>
      </c>
      <c r="K1781" s="375">
        <v>-967.38523999999995</v>
      </c>
      <c r="L1781" s="375">
        <v>1177.8895600000001</v>
      </c>
      <c r="M1781" s="375">
        <v>67982.313649999996</v>
      </c>
      <c r="N1781" s="372">
        <v>0.63</v>
      </c>
      <c r="O1781" s="703">
        <v>0.70709315173582488</v>
      </c>
      <c r="P1781" s="375" t="s">
        <v>623</v>
      </c>
      <c r="Q1781" s="375" t="s">
        <v>623</v>
      </c>
      <c r="R1781" s="695">
        <v>20150629</v>
      </c>
      <c r="S1781" s="375" t="s">
        <v>11742</v>
      </c>
      <c r="T1781" s="696">
        <v>0.20900000000000002</v>
      </c>
      <c r="U1781" s="372" t="s">
        <v>11743</v>
      </c>
      <c r="V1781" s="722">
        <v>393.21</v>
      </c>
      <c r="W1781" s="722">
        <v>0.91</v>
      </c>
      <c r="X1781" s="722">
        <v>2.35</v>
      </c>
      <c r="Y1781" s="722">
        <v>29.71</v>
      </c>
      <c r="Z1781" s="382" t="s">
        <v>934</v>
      </c>
      <c r="AA1781" s="372">
        <v>176.74133230000001</v>
      </c>
      <c r="AB1781" s="372">
        <v>170.44884239999999</v>
      </c>
      <c r="AC1781" s="372">
        <v>331.14803760000001</v>
      </c>
      <c r="AD1781" s="372">
        <v>261.20903049999998</v>
      </c>
      <c r="AE1781" s="372">
        <v>0</v>
      </c>
      <c r="AF1781" s="372">
        <v>0</v>
      </c>
      <c r="AG1781" s="372">
        <v>0</v>
      </c>
      <c r="AH1781" s="372">
        <v>0</v>
      </c>
    </row>
    <row r="1782" spans="1:34">
      <c r="A1782" s="372" t="s">
        <v>11744</v>
      </c>
      <c r="B1782" s="373" t="s">
        <v>11745</v>
      </c>
      <c r="C1782" s="372" t="s">
        <v>11746</v>
      </c>
      <c r="D1782" s="374">
        <v>1101111903643</v>
      </c>
      <c r="E1782" s="372" t="s">
        <v>11747</v>
      </c>
      <c r="F1782" s="375" t="s">
        <v>2542</v>
      </c>
      <c r="G1782" s="375" t="s">
        <v>2542</v>
      </c>
      <c r="H1782" s="375" t="s">
        <v>1693</v>
      </c>
      <c r="I1782" s="375" t="s">
        <v>869</v>
      </c>
      <c r="J1782" s="375">
        <v>46303.655120000003</v>
      </c>
      <c r="K1782" s="375">
        <v>1156.8661099999999</v>
      </c>
      <c r="L1782" s="375">
        <v>2564.97316</v>
      </c>
      <c r="M1782" s="375">
        <v>60397.488579999997</v>
      </c>
      <c r="N1782" s="372">
        <v>0.72599999999999998</v>
      </c>
      <c r="O1782" s="703">
        <v>3.2587355060757184</v>
      </c>
      <c r="P1782" s="375" t="s">
        <v>623</v>
      </c>
      <c r="Q1782" s="372" t="s">
        <v>623</v>
      </c>
      <c r="R1782" s="695">
        <v>20050119</v>
      </c>
      <c r="S1782" s="372" t="s">
        <v>11748</v>
      </c>
      <c r="T1782" s="696">
        <v>0.20900000000000002</v>
      </c>
      <c r="U1782" s="372" t="s">
        <v>11749</v>
      </c>
      <c r="V1782" s="722">
        <v>18.829999999999998</v>
      </c>
      <c r="W1782" s="722">
        <v>1.24</v>
      </c>
      <c r="X1782" s="722">
        <v>1.56</v>
      </c>
      <c r="Y1782" s="722">
        <v>34.799999999999997</v>
      </c>
      <c r="Z1782" s="382" t="s">
        <v>934</v>
      </c>
      <c r="AA1782" s="372">
        <v>437.3179126</v>
      </c>
      <c r="AB1782" s="372">
        <v>468.32866819999998</v>
      </c>
      <c r="AC1782" s="372">
        <v>474.60159199999998</v>
      </c>
      <c r="AD1782" s="372">
        <v>463.03655120000002</v>
      </c>
      <c r="AE1782" s="372">
        <v>0</v>
      </c>
      <c r="AF1782" s="372">
        <v>0</v>
      </c>
      <c r="AG1782" s="372">
        <v>0</v>
      </c>
      <c r="AH1782" s="372">
        <v>0</v>
      </c>
    </row>
    <row r="1783" spans="1:34">
      <c r="A1783" s="372" t="s">
        <v>11750</v>
      </c>
      <c r="B1783" s="373" t="s">
        <v>11751</v>
      </c>
      <c r="C1783" s="372" t="s">
        <v>11752</v>
      </c>
      <c r="D1783" s="374">
        <v>1101110342181</v>
      </c>
      <c r="E1783" s="372" t="s">
        <v>11753</v>
      </c>
      <c r="F1783" s="372" t="s">
        <v>1889</v>
      </c>
      <c r="G1783" s="375" t="s">
        <v>7595</v>
      </c>
      <c r="H1783" s="375" t="s">
        <v>1050</v>
      </c>
      <c r="I1783" s="375" t="s">
        <v>755</v>
      </c>
      <c r="J1783" s="375">
        <v>161884.34654999999</v>
      </c>
      <c r="K1783" s="375">
        <v>-3037.6897800000002</v>
      </c>
      <c r="L1783" s="375">
        <v>664.93329000000006</v>
      </c>
      <c r="M1783" s="375">
        <v>137561.68742</v>
      </c>
      <c r="N1783" s="372">
        <v>0.85199999999999998</v>
      </c>
      <c r="O1783" s="703">
        <v>0.3782561360577511</v>
      </c>
      <c r="P1783" s="375" t="s">
        <v>623</v>
      </c>
      <c r="Q1783" s="372" t="s">
        <v>623</v>
      </c>
      <c r="R1783" s="695">
        <v>19881212</v>
      </c>
      <c r="S1783" s="372" t="s">
        <v>11754</v>
      </c>
      <c r="T1783" s="696">
        <v>0.20900000000000002</v>
      </c>
      <c r="U1783" s="372" t="s">
        <v>11755</v>
      </c>
      <c r="V1783" s="722">
        <v>0</v>
      </c>
      <c r="W1783" s="722">
        <v>0.62</v>
      </c>
      <c r="X1783" s="722">
        <v>0</v>
      </c>
      <c r="Y1783" s="722">
        <v>0</v>
      </c>
      <c r="Z1783" s="382" t="s">
        <v>934</v>
      </c>
      <c r="AA1783" s="372">
        <v>1368.1003545000001</v>
      </c>
      <c r="AB1783" s="372">
        <v>1759.1106983</v>
      </c>
      <c r="AC1783" s="372">
        <v>1897.4794936000001</v>
      </c>
      <c r="AD1783" s="372">
        <v>1618.8434655000001</v>
      </c>
      <c r="AE1783" s="372">
        <v>0</v>
      </c>
      <c r="AF1783" s="372">
        <v>0</v>
      </c>
      <c r="AG1783" s="372">
        <v>0</v>
      </c>
      <c r="AH1783" s="372">
        <v>0</v>
      </c>
    </row>
    <row r="1784" spans="1:34">
      <c r="A1784" s="372" t="s">
        <v>11756</v>
      </c>
      <c r="B1784" s="373" t="s">
        <v>11757</v>
      </c>
      <c r="C1784" s="372" t="s">
        <v>11758</v>
      </c>
      <c r="D1784" s="374">
        <v>1348110011677</v>
      </c>
      <c r="E1784" s="372" t="s">
        <v>11759</v>
      </c>
      <c r="F1784" s="375" t="s">
        <v>3758</v>
      </c>
      <c r="G1784" s="375" t="s">
        <v>3759</v>
      </c>
      <c r="H1784" s="375" t="s">
        <v>1388</v>
      </c>
      <c r="I1784" s="375" t="s">
        <v>869</v>
      </c>
      <c r="J1784" s="375">
        <v>177452.86181</v>
      </c>
      <c r="K1784" s="375">
        <v>-15543.220649999999</v>
      </c>
      <c r="L1784" s="375">
        <v>-20366.517489999998</v>
      </c>
      <c r="M1784" s="375">
        <v>91497.445179999995</v>
      </c>
      <c r="N1784" s="372">
        <v>0.78600000000000003</v>
      </c>
      <c r="O1784" s="703">
        <v>90.679312153377097</v>
      </c>
      <c r="P1784" s="375" t="s">
        <v>623</v>
      </c>
      <c r="Q1784" s="372" t="s">
        <v>623</v>
      </c>
      <c r="R1784" s="695">
        <v>20011211</v>
      </c>
      <c r="S1784" s="372" t="s">
        <v>11760</v>
      </c>
      <c r="T1784" s="696" t="s">
        <v>772</v>
      </c>
      <c r="U1784" s="372" t="s">
        <v>11761</v>
      </c>
      <c r="V1784" s="722" t="s">
        <v>774</v>
      </c>
      <c r="W1784" s="722">
        <v>0.68</v>
      </c>
      <c r="X1784" s="722">
        <v>0.36</v>
      </c>
      <c r="Y1784" s="722" t="s">
        <v>774</v>
      </c>
      <c r="Z1784" s="382" t="s">
        <v>934</v>
      </c>
      <c r="AA1784" s="372">
        <v>2553.3630026999999</v>
      </c>
      <c r="AB1784" s="372">
        <v>2464.129101</v>
      </c>
      <c r="AC1784" s="372">
        <v>2012.4603708</v>
      </c>
      <c r="AD1784" s="372">
        <v>1774.5286180999999</v>
      </c>
      <c r="AE1784" s="372">
        <v>0</v>
      </c>
      <c r="AF1784" s="372">
        <v>0</v>
      </c>
      <c r="AG1784" s="372">
        <v>0</v>
      </c>
      <c r="AH1784" s="372">
        <v>0</v>
      </c>
    </row>
    <row r="1785" spans="1:34">
      <c r="A1785" s="372" t="s">
        <v>11762</v>
      </c>
      <c r="B1785" s="373" t="s">
        <v>11763</v>
      </c>
      <c r="C1785" s="372" t="s">
        <v>11764</v>
      </c>
      <c r="D1785" s="374">
        <v>1351110069710</v>
      </c>
      <c r="E1785" s="372" t="s">
        <v>11765</v>
      </c>
      <c r="F1785" s="375" t="s">
        <v>2207</v>
      </c>
      <c r="G1785" s="375" t="s">
        <v>3559</v>
      </c>
      <c r="H1785" s="375" t="s">
        <v>868</v>
      </c>
      <c r="I1785" s="375" t="s">
        <v>869</v>
      </c>
      <c r="J1785" s="375">
        <v>33042.724099999999</v>
      </c>
      <c r="K1785" s="375">
        <v>-5266.4084499999999</v>
      </c>
      <c r="L1785" s="375">
        <v>-5472.1153400000003</v>
      </c>
      <c r="M1785" s="375">
        <v>45342.451480000003</v>
      </c>
      <c r="N1785" s="372">
        <v>1.204</v>
      </c>
      <c r="O1785" s="703">
        <v>22.348224632254752</v>
      </c>
      <c r="P1785" s="375" t="s">
        <v>623</v>
      </c>
      <c r="Q1785" s="372" t="s">
        <v>623</v>
      </c>
      <c r="R1785" s="695">
        <v>20161212</v>
      </c>
      <c r="S1785" s="372" t="s">
        <v>11766</v>
      </c>
      <c r="T1785" s="696" t="s">
        <v>772</v>
      </c>
      <c r="U1785" s="372" t="s">
        <v>11767</v>
      </c>
      <c r="V1785" s="722">
        <v>0</v>
      </c>
      <c r="W1785" s="722">
        <v>1.23</v>
      </c>
      <c r="X1785" s="722">
        <v>0</v>
      </c>
      <c r="Y1785" s="722">
        <v>0</v>
      </c>
      <c r="Z1785" s="382" t="s">
        <v>934</v>
      </c>
      <c r="AA1785" s="372">
        <v>510.25386689999999</v>
      </c>
      <c r="AB1785" s="372">
        <v>605.01218900000003</v>
      </c>
      <c r="AC1785" s="372">
        <v>382.44471099999998</v>
      </c>
      <c r="AD1785" s="372">
        <v>330.42724099999998</v>
      </c>
      <c r="AE1785" s="372">
        <v>0</v>
      </c>
      <c r="AF1785" s="372">
        <v>0</v>
      </c>
      <c r="AG1785" s="372">
        <v>0</v>
      </c>
      <c r="AH1785" s="372">
        <v>0</v>
      </c>
    </row>
    <row r="1786" spans="1:34">
      <c r="A1786" s="372" t="s">
        <v>11768</v>
      </c>
      <c r="B1786" s="373" t="s">
        <v>11769</v>
      </c>
      <c r="C1786" s="372" t="s">
        <v>11770</v>
      </c>
      <c r="D1786" s="374">
        <v>1101110234776</v>
      </c>
      <c r="E1786" s="372" t="s">
        <v>11771</v>
      </c>
      <c r="F1786" s="375" t="s">
        <v>1395</v>
      </c>
      <c r="G1786" s="375" t="s">
        <v>1396</v>
      </c>
      <c r="H1786" s="375" t="s">
        <v>1397</v>
      </c>
      <c r="I1786" s="375" t="s">
        <v>755</v>
      </c>
      <c r="J1786" s="375">
        <v>607714.57843999995</v>
      </c>
      <c r="K1786" s="375">
        <v>7265.9824099999996</v>
      </c>
      <c r="L1786" s="375">
        <v>5497.1370100000004</v>
      </c>
      <c r="M1786" s="375">
        <v>125046.64765</v>
      </c>
      <c r="N1786" s="372">
        <v>1.198</v>
      </c>
      <c r="O1786" s="703">
        <v>157.92312703175364</v>
      </c>
      <c r="P1786" s="375" t="s">
        <v>623</v>
      </c>
      <c r="Q1786" s="372" t="s">
        <v>623</v>
      </c>
      <c r="R1786" s="695">
        <v>19891202</v>
      </c>
      <c r="S1786" s="372" t="s">
        <v>11772</v>
      </c>
      <c r="T1786" s="696">
        <v>0.20900000000000002</v>
      </c>
      <c r="U1786" s="372" t="s">
        <v>11773</v>
      </c>
      <c r="V1786" s="722">
        <v>11.16</v>
      </c>
      <c r="W1786" s="722">
        <v>0.62</v>
      </c>
      <c r="X1786" s="722">
        <v>0.13</v>
      </c>
      <c r="Y1786" s="722">
        <v>19.09</v>
      </c>
      <c r="Z1786" s="382" t="s">
        <v>934</v>
      </c>
      <c r="AA1786" s="372">
        <v>3409.6187771</v>
      </c>
      <c r="AB1786" s="372">
        <v>4161.8192838000004</v>
      </c>
      <c r="AC1786" s="372">
        <v>4626.0161458000002</v>
      </c>
      <c r="AD1786" s="372">
        <v>6077.1457843999997</v>
      </c>
      <c r="AE1786" s="372">
        <v>0</v>
      </c>
      <c r="AF1786" s="372">
        <v>0</v>
      </c>
      <c r="AG1786" s="372">
        <v>0</v>
      </c>
      <c r="AH1786" s="372">
        <v>0</v>
      </c>
    </row>
    <row r="1787" spans="1:34">
      <c r="A1787" s="372" t="s">
        <v>11774</v>
      </c>
      <c r="B1787" s="373" t="s">
        <v>11775</v>
      </c>
      <c r="C1787" s="372" t="s">
        <v>11776</v>
      </c>
      <c r="D1787" s="374">
        <v>1311110043271</v>
      </c>
      <c r="E1787" s="372" t="s">
        <v>11777</v>
      </c>
      <c r="F1787" s="375" t="s">
        <v>3151</v>
      </c>
      <c r="G1787" s="375" t="s">
        <v>3151</v>
      </c>
      <c r="H1787" s="375" t="s">
        <v>1388</v>
      </c>
      <c r="I1787" s="375" t="s">
        <v>869</v>
      </c>
      <c r="J1787" s="375">
        <v>77983.771829999998</v>
      </c>
      <c r="K1787" s="375">
        <v>2351.6811299999999</v>
      </c>
      <c r="L1787" s="375">
        <v>658.77089999999998</v>
      </c>
      <c r="M1787" s="375">
        <v>57392.006869999997</v>
      </c>
      <c r="N1787" s="372">
        <v>0.745</v>
      </c>
      <c r="O1787" s="703">
        <v>9.6557105749884755</v>
      </c>
      <c r="P1787" s="375" t="s">
        <v>623</v>
      </c>
      <c r="Q1787" s="372" t="s">
        <v>623</v>
      </c>
      <c r="R1787" s="695">
        <v>20070912</v>
      </c>
      <c r="S1787" s="372" t="s">
        <v>11778</v>
      </c>
      <c r="T1787" s="696">
        <v>0.20900000000000002</v>
      </c>
      <c r="U1787" s="372" t="s">
        <v>11779</v>
      </c>
      <c r="V1787" s="722">
        <v>16.66</v>
      </c>
      <c r="W1787" s="722">
        <v>1.08</v>
      </c>
      <c r="X1787" s="722">
        <v>0.98</v>
      </c>
      <c r="Y1787" s="722">
        <v>114.7</v>
      </c>
      <c r="Z1787" s="382" t="s">
        <v>934</v>
      </c>
      <c r="AA1787" s="372">
        <v>394.17241999999999</v>
      </c>
      <c r="AB1787" s="372">
        <v>474.683449</v>
      </c>
      <c r="AC1787" s="372">
        <v>591.76828809999995</v>
      </c>
      <c r="AD1787" s="372">
        <v>779.83771830000001</v>
      </c>
      <c r="AE1787" s="372">
        <v>0</v>
      </c>
      <c r="AF1787" s="372">
        <v>0</v>
      </c>
      <c r="AG1787" s="372">
        <v>0</v>
      </c>
      <c r="AH1787" s="372">
        <v>0</v>
      </c>
    </row>
    <row r="1788" spans="1:34">
      <c r="A1788" s="372" t="s">
        <v>11780</v>
      </c>
      <c r="B1788" s="373" t="s">
        <v>11781</v>
      </c>
      <c r="C1788" s="372" t="s">
        <v>11782</v>
      </c>
      <c r="D1788" s="374">
        <v>1101110233629</v>
      </c>
      <c r="E1788" s="372" t="s">
        <v>11783</v>
      </c>
      <c r="F1788" s="372" t="s">
        <v>1334</v>
      </c>
      <c r="G1788" s="375" t="s">
        <v>1334</v>
      </c>
      <c r="H1788" s="375" t="s">
        <v>868</v>
      </c>
      <c r="I1788" s="375" t="s">
        <v>869</v>
      </c>
      <c r="J1788" s="375">
        <v>94111.137950000004</v>
      </c>
      <c r="K1788" s="375">
        <v>9085.1040300000004</v>
      </c>
      <c r="L1788" s="375">
        <v>12583.376770000001</v>
      </c>
      <c r="M1788" s="375">
        <v>89583.431479999999</v>
      </c>
      <c r="N1788" s="372">
        <v>0.70499999999999996</v>
      </c>
      <c r="O1788" s="703">
        <v>13.265504319639684</v>
      </c>
      <c r="P1788" s="375" t="s">
        <v>623</v>
      </c>
      <c r="Q1788" s="372" t="s">
        <v>623</v>
      </c>
      <c r="R1788" s="695">
        <v>20000725</v>
      </c>
      <c r="S1788" s="375" t="s">
        <v>11784</v>
      </c>
      <c r="T1788" s="696">
        <v>0.20900000000000002</v>
      </c>
      <c r="U1788" s="372" t="s">
        <v>11785</v>
      </c>
      <c r="V1788" s="722">
        <v>0</v>
      </c>
      <c r="W1788" s="722">
        <v>0.78</v>
      </c>
      <c r="X1788" s="722">
        <v>0</v>
      </c>
      <c r="Y1788" s="722">
        <v>0</v>
      </c>
      <c r="Z1788" s="382" t="s">
        <v>934</v>
      </c>
      <c r="AA1788" s="372">
        <v>495.24777180000001</v>
      </c>
      <c r="AB1788" s="372">
        <v>628.39163129999997</v>
      </c>
      <c r="AC1788" s="372">
        <v>762.64203329999998</v>
      </c>
      <c r="AD1788" s="372">
        <v>941.1113795</v>
      </c>
      <c r="AE1788" s="372">
        <v>0</v>
      </c>
      <c r="AF1788" s="372">
        <v>0</v>
      </c>
      <c r="AG1788" s="372">
        <v>0</v>
      </c>
      <c r="AH1788" s="372">
        <v>0</v>
      </c>
    </row>
    <row r="1789" spans="1:34">
      <c r="A1789" s="372" t="s">
        <v>11786</v>
      </c>
      <c r="B1789" s="373" t="s">
        <v>11787</v>
      </c>
      <c r="C1789" s="372" t="s">
        <v>11788</v>
      </c>
      <c r="D1789" s="374">
        <v>1243110030413</v>
      </c>
      <c r="E1789" s="372" t="s">
        <v>11789</v>
      </c>
      <c r="F1789" s="375" t="s">
        <v>2207</v>
      </c>
      <c r="G1789" s="375" t="s">
        <v>2208</v>
      </c>
      <c r="H1789" s="375" t="s">
        <v>2079</v>
      </c>
      <c r="I1789" s="375" t="s">
        <v>755</v>
      </c>
      <c r="J1789" s="375">
        <v>21739.463479999999</v>
      </c>
      <c r="K1789" s="375">
        <v>-17510.369930000001</v>
      </c>
      <c r="L1789" s="375">
        <v>-29835.670630000001</v>
      </c>
      <c r="M1789" s="375">
        <v>74906.883319999994</v>
      </c>
      <c r="N1789" s="372">
        <v>0.80200000000000005</v>
      </c>
      <c r="O1789" s="703">
        <v>22.697829779610071</v>
      </c>
      <c r="P1789" s="375" t="s">
        <v>623</v>
      </c>
      <c r="Q1789" s="375" t="s">
        <v>623</v>
      </c>
      <c r="R1789" s="695">
        <v>19961122</v>
      </c>
      <c r="S1789" s="375" t="s">
        <v>11790</v>
      </c>
      <c r="T1789" s="696" t="s">
        <v>772</v>
      </c>
      <c r="U1789" s="372" t="s">
        <v>11791</v>
      </c>
      <c r="V1789" s="722" t="s">
        <v>774</v>
      </c>
      <c r="W1789" s="722">
        <v>1</v>
      </c>
      <c r="X1789" s="722">
        <v>3.56</v>
      </c>
      <c r="Y1789" s="722" t="s">
        <v>774</v>
      </c>
      <c r="Z1789" s="382" t="s">
        <v>934</v>
      </c>
      <c r="AA1789" s="372">
        <v>415.6038173</v>
      </c>
      <c r="AB1789" s="372">
        <v>483.38413639999999</v>
      </c>
      <c r="AC1789" s="372">
        <v>561.71983499999999</v>
      </c>
      <c r="AD1789" s="372">
        <v>217.39463480000001</v>
      </c>
      <c r="AE1789" s="372">
        <v>0</v>
      </c>
      <c r="AF1789" s="372">
        <v>0</v>
      </c>
      <c r="AG1789" s="372">
        <v>0</v>
      </c>
      <c r="AH1789" s="372">
        <v>0</v>
      </c>
    </row>
    <row r="1790" spans="1:34">
      <c r="A1790" s="372" t="s">
        <v>11792</v>
      </c>
      <c r="B1790" s="373" t="s">
        <v>11793</v>
      </c>
      <c r="C1790" s="372" t="s">
        <v>11794</v>
      </c>
      <c r="D1790" s="374">
        <v>1101116178564</v>
      </c>
      <c r="E1790" s="372" t="s">
        <v>11795</v>
      </c>
      <c r="F1790" s="375" t="s">
        <v>1985</v>
      </c>
      <c r="G1790" s="375" t="s">
        <v>1985</v>
      </c>
      <c r="H1790" s="375" t="s">
        <v>868</v>
      </c>
      <c r="I1790" s="375" t="s">
        <v>869</v>
      </c>
      <c r="J1790" s="375">
        <v>28708.31077</v>
      </c>
      <c r="K1790" s="375">
        <v>840.61030000000005</v>
      </c>
      <c r="L1790" s="375">
        <v>-3958.0441300000002</v>
      </c>
      <c r="M1790" s="375">
        <v>27498.479480000002</v>
      </c>
      <c r="N1790" s="372">
        <v>1.1100000000000001</v>
      </c>
      <c r="O1790" s="703">
        <v>10.860465438602779</v>
      </c>
      <c r="P1790" s="375" t="s">
        <v>623</v>
      </c>
      <c r="Q1790" s="372" t="s">
        <v>623</v>
      </c>
      <c r="R1790" s="695">
        <v>20161202</v>
      </c>
      <c r="S1790" s="375" t="s">
        <v>11796</v>
      </c>
      <c r="T1790" s="696" t="s">
        <v>772</v>
      </c>
      <c r="U1790" s="372" t="s">
        <v>11797</v>
      </c>
      <c r="V1790" s="722">
        <v>37.090000000000003</v>
      </c>
      <c r="W1790" s="722">
        <v>2.48</v>
      </c>
      <c r="X1790" s="722">
        <v>2.16</v>
      </c>
      <c r="Y1790" s="722" t="s">
        <v>774</v>
      </c>
      <c r="Z1790" s="382" t="s">
        <v>934</v>
      </c>
      <c r="AA1790" s="372">
        <v>122.75481739999999</v>
      </c>
      <c r="AB1790" s="372">
        <v>160.7404324</v>
      </c>
      <c r="AC1790" s="372">
        <v>223.22811530000001</v>
      </c>
      <c r="AD1790" s="372">
        <v>287.08310770000003</v>
      </c>
      <c r="AE1790" s="372">
        <v>0</v>
      </c>
      <c r="AF1790" s="372">
        <v>0</v>
      </c>
      <c r="AG1790" s="372">
        <v>0</v>
      </c>
      <c r="AH1790" s="372">
        <v>0</v>
      </c>
    </row>
    <row r="1791" spans="1:34">
      <c r="A1791" s="372" t="s">
        <v>11798</v>
      </c>
      <c r="B1791" s="373" t="s">
        <v>11799</v>
      </c>
      <c r="C1791" s="372" t="s">
        <v>11800</v>
      </c>
      <c r="D1791" s="374">
        <v>1101111927958</v>
      </c>
      <c r="E1791" s="372" t="s">
        <v>11801</v>
      </c>
      <c r="F1791" s="372" t="s">
        <v>982</v>
      </c>
      <c r="G1791" s="375" t="s">
        <v>983</v>
      </c>
      <c r="H1791" s="375" t="s">
        <v>1693</v>
      </c>
      <c r="I1791" s="375" t="s">
        <v>869</v>
      </c>
      <c r="J1791" s="375">
        <v>217699.38243999999</v>
      </c>
      <c r="K1791" s="375">
        <v>16347.71961</v>
      </c>
      <c r="L1791" s="375">
        <v>16068.391799999999</v>
      </c>
      <c r="M1791" s="375">
        <v>96119.462830000004</v>
      </c>
      <c r="N1791" s="372">
        <v>0.84</v>
      </c>
      <c r="O1791" s="703">
        <v>0.72079403332463277</v>
      </c>
      <c r="P1791" s="375" t="s">
        <v>623</v>
      </c>
      <c r="Q1791" s="372" t="s">
        <v>623</v>
      </c>
      <c r="R1791" s="695">
        <v>20020108</v>
      </c>
      <c r="S1791" s="372" t="s">
        <v>11802</v>
      </c>
      <c r="T1791" s="696">
        <v>0.20900000000000002</v>
      </c>
      <c r="U1791" s="372" t="s">
        <v>11803</v>
      </c>
      <c r="V1791" s="722">
        <v>3.89</v>
      </c>
      <c r="W1791" s="722">
        <v>0.61</v>
      </c>
      <c r="X1791" s="722">
        <v>0.3</v>
      </c>
      <c r="Y1791" s="722">
        <v>5.16</v>
      </c>
      <c r="Z1791" s="382" t="s">
        <v>934</v>
      </c>
      <c r="AA1791" s="372">
        <v>1494.6091606</v>
      </c>
      <c r="AB1791" s="372">
        <v>2147.8384483</v>
      </c>
      <c r="AC1791" s="372">
        <v>2040.0374824</v>
      </c>
      <c r="AD1791" s="372">
        <v>2176.9938244</v>
      </c>
      <c r="AE1791" s="372">
        <v>3050</v>
      </c>
      <c r="AF1791" s="372">
        <v>3813</v>
      </c>
      <c r="AG1791" s="372">
        <v>0</v>
      </c>
      <c r="AH1791" s="372">
        <v>0</v>
      </c>
    </row>
    <row r="1792" spans="1:34">
      <c r="A1792" s="372" t="s">
        <v>11804</v>
      </c>
      <c r="B1792" s="373" t="s">
        <v>11805</v>
      </c>
      <c r="C1792" s="372" t="s">
        <v>11806</v>
      </c>
      <c r="D1792" s="374">
        <v>1101113891169</v>
      </c>
      <c r="E1792" s="372" t="s">
        <v>11807</v>
      </c>
      <c r="F1792" s="375" t="s">
        <v>5328</v>
      </c>
      <c r="G1792" s="375" t="s">
        <v>5328</v>
      </c>
      <c r="H1792" s="375" t="s">
        <v>1555</v>
      </c>
      <c r="I1792" s="375" t="s">
        <v>755</v>
      </c>
      <c r="J1792" s="375">
        <v>94737.53095</v>
      </c>
      <c r="K1792" s="375">
        <v>367.21078</v>
      </c>
      <c r="L1792" s="375">
        <v>-27875.512340000001</v>
      </c>
      <c r="M1792" s="375">
        <v>113556.35533000001</v>
      </c>
      <c r="N1792" s="372">
        <v>0.85399999999999998</v>
      </c>
      <c r="O1792" s="703">
        <v>28.44647262667462</v>
      </c>
      <c r="P1792" s="375" t="s">
        <v>16142</v>
      </c>
      <c r="Q1792" s="372" t="s">
        <v>623</v>
      </c>
      <c r="R1792" s="695">
        <v>20080610</v>
      </c>
      <c r="S1792" s="372">
        <v>0</v>
      </c>
      <c r="T1792" s="696" t="s">
        <v>772</v>
      </c>
      <c r="U1792" s="372" t="s">
        <v>11808</v>
      </c>
      <c r="V1792" s="722">
        <v>51.37</v>
      </c>
      <c r="W1792" s="722">
        <v>0.62</v>
      </c>
      <c r="X1792" s="722">
        <v>0.75</v>
      </c>
      <c r="Y1792" s="722" t="s">
        <v>774</v>
      </c>
      <c r="Z1792" s="382" t="s">
        <v>934</v>
      </c>
      <c r="AA1792" s="372">
        <v>972.35967089999997</v>
      </c>
      <c r="AB1792" s="372">
        <v>970.09199390000003</v>
      </c>
      <c r="AC1792" s="372">
        <v>1032.7497191</v>
      </c>
      <c r="AD1792" s="372">
        <v>947.37530949999996</v>
      </c>
      <c r="AE1792" s="372">
        <v>0</v>
      </c>
      <c r="AF1792" s="372">
        <v>0</v>
      </c>
      <c r="AG1792" s="372">
        <v>0</v>
      </c>
      <c r="AH1792" s="372">
        <v>0</v>
      </c>
    </row>
    <row r="1793" spans="1:34">
      <c r="A1793" s="372" t="s">
        <v>11809</v>
      </c>
      <c r="B1793" s="373" t="s">
        <v>11810</v>
      </c>
      <c r="C1793" s="372" t="s">
        <v>11811</v>
      </c>
      <c r="D1793" s="374">
        <v>1101111877103</v>
      </c>
      <c r="E1793" s="372" t="s">
        <v>11812</v>
      </c>
      <c r="F1793" s="372" t="s">
        <v>4308</v>
      </c>
      <c r="G1793" s="375" t="s">
        <v>4309</v>
      </c>
      <c r="H1793" s="375" t="s">
        <v>1950</v>
      </c>
      <c r="I1793" s="375" t="s">
        <v>869</v>
      </c>
      <c r="J1793" s="375">
        <v>22791.114590000001</v>
      </c>
      <c r="K1793" s="375">
        <v>7757.2512299999999</v>
      </c>
      <c r="L1793" s="375">
        <v>8539.4308799999999</v>
      </c>
      <c r="M1793" s="375">
        <v>106242.17705</v>
      </c>
      <c r="N1793" s="372">
        <v>1.01</v>
      </c>
      <c r="O1793" s="703">
        <v>2.0479728398176618</v>
      </c>
      <c r="P1793" s="375" t="s">
        <v>623</v>
      </c>
      <c r="Q1793" s="372" t="s">
        <v>623</v>
      </c>
      <c r="R1793" s="695">
        <v>20100209</v>
      </c>
      <c r="S1793" s="372" t="s">
        <v>11813</v>
      </c>
      <c r="T1793" s="696">
        <v>0.20900000000000002</v>
      </c>
      <c r="U1793" s="372" t="s">
        <v>11814</v>
      </c>
      <c r="V1793" s="722">
        <v>7.72</v>
      </c>
      <c r="W1793" s="722">
        <v>0.51</v>
      </c>
      <c r="X1793" s="722">
        <v>2.98</v>
      </c>
      <c r="Y1793" s="722">
        <v>9.48</v>
      </c>
      <c r="Z1793" s="382" t="s">
        <v>934</v>
      </c>
      <c r="AA1793" s="372">
        <v>191.600854</v>
      </c>
      <c r="AB1793" s="372">
        <v>194.8573633</v>
      </c>
      <c r="AC1793" s="372">
        <v>209.0570913</v>
      </c>
      <c r="AD1793" s="372">
        <v>227.91114590000001</v>
      </c>
      <c r="AE1793" s="372">
        <v>0</v>
      </c>
      <c r="AF1793" s="372">
        <v>0</v>
      </c>
      <c r="AG1793" s="372">
        <v>0</v>
      </c>
      <c r="AH1793" s="372">
        <v>0</v>
      </c>
    </row>
    <row r="1794" spans="1:34">
      <c r="A1794" s="372" t="s">
        <v>11815</v>
      </c>
      <c r="B1794" s="373" t="s">
        <v>11816</v>
      </c>
      <c r="C1794" s="372" t="s">
        <v>11817</v>
      </c>
      <c r="D1794" s="374">
        <v>1615110028766</v>
      </c>
      <c r="E1794" s="372" t="s">
        <v>11818</v>
      </c>
      <c r="F1794" s="375" t="s">
        <v>1915</v>
      </c>
      <c r="G1794" s="375" t="s">
        <v>1916</v>
      </c>
      <c r="H1794" s="375" t="s">
        <v>868</v>
      </c>
      <c r="I1794" s="375" t="s">
        <v>869</v>
      </c>
      <c r="J1794" s="375">
        <v>88275.911460000003</v>
      </c>
      <c r="K1794" s="375">
        <v>12879.02037</v>
      </c>
      <c r="L1794" s="375">
        <v>15147.50258</v>
      </c>
      <c r="M1794" s="375">
        <v>88617.361699999994</v>
      </c>
      <c r="N1794" s="372">
        <v>0.76500000000000001</v>
      </c>
      <c r="O1794" s="703">
        <v>0.19758753087913866</v>
      </c>
      <c r="P1794" s="375" t="s">
        <v>623</v>
      </c>
      <c r="Q1794" s="375" t="s">
        <v>623</v>
      </c>
      <c r="R1794" s="695">
        <v>20161229</v>
      </c>
      <c r="S1794" s="375" t="s">
        <v>11819</v>
      </c>
      <c r="T1794" s="696">
        <v>0.20900000000000002</v>
      </c>
      <c r="U1794" s="372" t="s">
        <v>11820</v>
      </c>
      <c r="V1794" s="722">
        <v>0</v>
      </c>
      <c r="W1794" s="722">
        <v>0.8</v>
      </c>
      <c r="X1794" s="722">
        <v>0</v>
      </c>
      <c r="Y1794" s="722">
        <v>0</v>
      </c>
      <c r="Z1794" s="382" t="s">
        <v>934</v>
      </c>
      <c r="AA1794" s="372">
        <v>565.37326849999999</v>
      </c>
      <c r="AB1794" s="372">
        <v>614.01611130000003</v>
      </c>
      <c r="AC1794" s="372">
        <v>733.17425400000002</v>
      </c>
      <c r="AD1794" s="372">
        <v>882.75911459999998</v>
      </c>
      <c r="AE1794" s="372">
        <v>0</v>
      </c>
      <c r="AF1794" s="372">
        <v>0</v>
      </c>
      <c r="AG1794" s="372">
        <v>0</v>
      </c>
      <c r="AH1794" s="372">
        <v>0</v>
      </c>
    </row>
    <row r="1795" spans="1:34">
      <c r="A1795" s="372" t="s">
        <v>11821</v>
      </c>
      <c r="B1795" s="373" t="s">
        <v>11822</v>
      </c>
      <c r="C1795" s="372" t="s">
        <v>11823</v>
      </c>
      <c r="D1795" s="374">
        <v>1301110010932</v>
      </c>
      <c r="E1795" s="372" t="s">
        <v>11824</v>
      </c>
      <c r="F1795" s="375" t="s">
        <v>852</v>
      </c>
      <c r="G1795" s="375" t="s">
        <v>852</v>
      </c>
      <c r="H1795" s="375" t="s">
        <v>3127</v>
      </c>
      <c r="I1795" s="375" t="s">
        <v>869</v>
      </c>
      <c r="J1795" s="375">
        <v>45501.203390000002</v>
      </c>
      <c r="K1795" s="375">
        <v>-14460.08374</v>
      </c>
      <c r="L1795" s="375">
        <v>-8762.3799099999997</v>
      </c>
      <c r="M1795" s="375">
        <v>125390.56628</v>
      </c>
      <c r="N1795" s="372">
        <v>1.4650000000000001</v>
      </c>
      <c r="O1795" s="703">
        <v>53.224883323779729</v>
      </c>
      <c r="P1795" s="375" t="s">
        <v>623</v>
      </c>
      <c r="Q1795" s="372" t="s">
        <v>623</v>
      </c>
      <c r="R1795" s="695">
        <v>20030103</v>
      </c>
      <c r="S1795" s="372" t="s">
        <v>11825</v>
      </c>
      <c r="T1795" s="696" t="s">
        <v>772</v>
      </c>
      <c r="U1795" s="372" t="s">
        <v>11826</v>
      </c>
      <c r="V1795" s="722" t="s">
        <v>774</v>
      </c>
      <c r="W1795" s="722">
        <v>0.64</v>
      </c>
      <c r="X1795" s="722">
        <v>1.51</v>
      </c>
      <c r="Y1795" s="722">
        <v>13.65</v>
      </c>
      <c r="Z1795" s="382" t="s">
        <v>934</v>
      </c>
      <c r="AA1795" s="372">
        <v>231.425915</v>
      </c>
      <c r="AB1795" s="372">
        <v>359.15264719999999</v>
      </c>
      <c r="AC1795" s="372">
        <v>412.85686229999999</v>
      </c>
      <c r="AD1795" s="372">
        <v>455.01203390000001</v>
      </c>
      <c r="AE1795" s="372">
        <v>0</v>
      </c>
      <c r="AF1795" s="372">
        <v>0</v>
      </c>
      <c r="AG1795" s="372">
        <v>0</v>
      </c>
      <c r="AH1795" s="372">
        <v>0</v>
      </c>
    </row>
    <row r="1796" spans="1:34">
      <c r="A1796" s="372" t="s">
        <v>11827</v>
      </c>
      <c r="B1796" s="373" t="s">
        <v>11828</v>
      </c>
      <c r="C1796" s="372" t="s">
        <v>11829</v>
      </c>
      <c r="D1796" s="374">
        <v>1801110028042</v>
      </c>
      <c r="E1796" s="372" t="s">
        <v>11830</v>
      </c>
      <c r="F1796" s="375" t="s">
        <v>10698</v>
      </c>
      <c r="G1796" s="375" t="s">
        <v>10698</v>
      </c>
      <c r="H1796" s="375" t="s">
        <v>868</v>
      </c>
      <c r="I1796" s="375" t="s">
        <v>869</v>
      </c>
      <c r="J1796" s="375">
        <v>71715.10282</v>
      </c>
      <c r="K1796" s="375">
        <v>5596.4893499999998</v>
      </c>
      <c r="L1796" s="375">
        <v>2800.8929199999998</v>
      </c>
      <c r="M1796" s="375">
        <v>35762.3243</v>
      </c>
      <c r="N1796" s="372">
        <v>1.391</v>
      </c>
      <c r="O1796" s="703">
        <v>79.621123923819127</v>
      </c>
      <c r="P1796" s="375" t="s">
        <v>623</v>
      </c>
      <c r="Q1796" s="372" t="s">
        <v>623</v>
      </c>
      <c r="R1796" s="695">
        <v>20071217</v>
      </c>
      <c r="S1796" s="372" t="s">
        <v>11831</v>
      </c>
      <c r="T1796" s="696">
        <v>0.20900000000000002</v>
      </c>
      <c r="U1796" s="372" t="s">
        <v>11832</v>
      </c>
      <c r="V1796" s="722">
        <v>19.23</v>
      </c>
      <c r="W1796" s="722">
        <v>2.16</v>
      </c>
      <c r="X1796" s="722">
        <v>1</v>
      </c>
      <c r="Y1796" s="722">
        <v>30.56</v>
      </c>
      <c r="Z1796" s="382" t="s">
        <v>934</v>
      </c>
      <c r="AA1796" s="372">
        <v>475.392763</v>
      </c>
      <c r="AB1796" s="372">
        <v>492.34175329999999</v>
      </c>
      <c r="AC1796" s="372">
        <v>527.56099359999996</v>
      </c>
      <c r="AD1796" s="372">
        <v>717.15102820000004</v>
      </c>
      <c r="AE1796" s="372">
        <v>0</v>
      </c>
      <c r="AF1796" s="372">
        <v>0</v>
      </c>
      <c r="AG1796" s="372">
        <v>0</v>
      </c>
      <c r="AH1796" s="372">
        <v>0</v>
      </c>
    </row>
    <row r="1797" spans="1:34">
      <c r="A1797" s="372" t="s">
        <v>11833</v>
      </c>
      <c r="B1797" s="373" t="s">
        <v>11834</v>
      </c>
      <c r="C1797" s="372" t="s">
        <v>11835</v>
      </c>
      <c r="D1797" s="374">
        <v>1101110570442</v>
      </c>
      <c r="E1797" s="372" t="s">
        <v>11836</v>
      </c>
      <c r="F1797" s="375" t="s">
        <v>3584</v>
      </c>
      <c r="G1797" s="375" t="s">
        <v>3584</v>
      </c>
      <c r="H1797" s="375" t="s">
        <v>1693</v>
      </c>
      <c r="I1797" s="375" t="s">
        <v>869</v>
      </c>
      <c r="J1797" s="375">
        <v>61085.04507</v>
      </c>
      <c r="K1797" s="375">
        <v>-1418.7855300000001</v>
      </c>
      <c r="L1797" s="375">
        <v>-10605.83921</v>
      </c>
      <c r="M1797" s="375">
        <v>65396.418299999998</v>
      </c>
      <c r="N1797" s="372">
        <v>1.2589999999999999</v>
      </c>
      <c r="O1797" s="703">
        <v>36.728680096464927</v>
      </c>
      <c r="P1797" s="375" t="s">
        <v>623</v>
      </c>
      <c r="Q1797" s="372" t="s">
        <v>623</v>
      </c>
      <c r="R1797" s="695">
        <v>19970718</v>
      </c>
      <c r="S1797" s="372" t="s">
        <v>11837</v>
      </c>
      <c r="T1797" s="696" t="s">
        <v>772</v>
      </c>
      <c r="U1797" s="372" t="s">
        <v>11838</v>
      </c>
      <c r="V1797" s="722">
        <v>172.52</v>
      </c>
      <c r="W1797" s="722">
        <v>1.1499999999999999</v>
      </c>
      <c r="X1797" s="722">
        <v>1.02</v>
      </c>
      <c r="Y1797" s="722" t="s">
        <v>774</v>
      </c>
      <c r="Z1797" s="382" t="s">
        <v>934</v>
      </c>
      <c r="AA1797" s="372">
        <v>713.05107659999999</v>
      </c>
      <c r="AB1797" s="372">
        <v>925.00127099999997</v>
      </c>
      <c r="AC1797" s="372">
        <v>733.73050120000005</v>
      </c>
      <c r="AD1797" s="372">
        <v>610.85045070000001</v>
      </c>
      <c r="AE1797" s="372">
        <v>0</v>
      </c>
      <c r="AF1797" s="372">
        <v>0</v>
      </c>
      <c r="AG1797" s="372">
        <v>0</v>
      </c>
      <c r="AH1797" s="372">
        <v>0</v>
      </c>
    </row>
    <row r="1798" spans="1:34">
      <c r="A1798" s="372" t="s">
        <v>11839</v>
      </c>
      <c r="B1798" s="373" t="s">
        <v>11840</v>
      </c>
      <c r="C1798" s="372" t="s">
        <v>11841</v>
      </c>
      <c r="D1798" s="374">
        <v>1101110030116</v>
      </c>
      <c r="E1798" s="372" t="s">
        <v>11842</v>
      </c>
      <c r="F1798" s="375" t="s">
        <v>1259</v>
      </c>
      <c r="G1798" s="375" t="s">
        <v>1259</v>
      </c>
      <c r="H1798" s="375" t="s">
        <v>788</v>
      </c>
      <c r="I1798" s="375" t="s">
        <v>755</v>
      </c>
      <c r="J1798" s="375">
        <v>0</v>
      </c>
      <c r="K1798" s="375">
        <v>0</v>
      </c>
      <c r="L1798" s="375">
        <v>0</v>
      </c>
      <c r="M1798" s="375">
        <v>0</v>
      </c>
      <c r="N1798" s="372">
        <v>0.84199999999999997</v>
      </c>
      <c r="O1798" s="703">
        <v>0</v>
      </c>
      <c r="P1798" s="375" t="s">
        <v>623</v>
      </c>
      <c r="Q1798" s="375" t="s">
        <v>623</v>
      </c>
      <c r="R1798" s="695">
        <v>19761228</v>
      </c>
      <c r="S1798" s="375" t="s">
        <v>11843</v>
      </c>
      <c r="T1798" s="696" t="s">
        <v>772</v>
      </c>
      <c r="U1798" s="372" t="s">
        <v>11844</v>
      </c>
      <c r="V1798" s="722">
        <v>0</v>
      </c>
      <c r="W1798" s="722">
        <v>0</v>
      </c>
      <c r="X1798" s="722">
        <v>0</v>
      </c>
      <c r="Y1798" s="722">
        <v>0</v>
      </c>
      <c r="Z1798" s="382" t="s">
        <v>774</v>
      </c>
      <c r="AA1798" s="372">
        <v>520.20405170000004</v>
      </c>
      <c r="AB1798" s="372">
        <v>262.76462470000001</v>
      </c>
      <c r="AC1798" s="372">
        <v>288.1902814</v>
      </c>
      <c r="AD1798" s="372">
        <v>0</v>
      </c>
      <c r="AE1798" s="372">
        <v>0</v>
      </c>
      <c r="AF1798" s="372">
        <v>0</v>
      </c>
      <c r="AG1798" s="372">
        <v>0</v>
      </c>
      <c r="AH1798" s="372">
        <v>0</v>
      </c>
    </row>
    <row r="1799" spans="1:34">
      <c r="A1799" s="372" t="s">
        <v>11845</v>
      </c>
      <c r="B1799" s="373" t="s">
        <v>11846</v>
      </c>
      <c r="C1799" s="372" t="s">
        <v>11847</v>
      </c>
      <c r="D1799" s="374">
        <v>1615110041619</v>
      </c>
      <c r="E1799" s="372" t="s">
        <v>11848</v>
      </c>
      <c r="F1799" s="375" t="s">
        <v>2305</v>
      </c>
      <c r="G1799" s="375" t="s">
        <v>5144</v>
      </c>
      <c r="H1799" s="375" t="s">
        <v>868</v>
      </c>
      <c r="I1799" s="375" t="s">
        <v>869</v>
      </c>
      <c r="J1799" s="375">
        <v>21589.233479999999</v>
      </c>
      <c r="K1799" s="375">
        <v>4309.9416199999996</v>
      </c>
      <c r="L1799" s="375">
        <v>5590.77423</v>
      </c>
      <c r="M1799" s="375">
        <v>42053.86477</v>
      </c>
      <c r="N1799" s="372">
        <v>0.56299999999999994</v>
      </c>
      <c r="O1799" s="703">
        <v>0.12986024974167415</v>
      </c>
      <c r="P1799" s="375" t="s">
        <v>623</v>
      </c>
      <c r="Q1799" s="375" t="s">
        <v>623</v>
      </c>
      <c r="R1799" s="695">
        <v>20190801</v>
      </c>
      <c r="S1799" s="375" t="s">
        <v>11849</v>
      </c>
      <c r="T1799" s="696">
        <v>0.20900000000000002</v>
      </c>
      <c r="U1799" s="372" t="s">
        <v>11850</v>
      </c>
      <c r="V1799" s="722">
        <v>0</v>
      </c>
      <c r="W1799" s="722">
        <v>1.69</v>
      </c>
      <c r="X1799" s="722">
        <v>0</v>
      </c>
      <c r="Y1799" s="722">
        <v>0</v>
      </c>
      <c r="Z1799" s="382" t="s">
        <v>934</v>
      </c>
      <c r="AA1799" s="372">
        <v>197.87710799999999</v>
      </c>
      <c r="AB1799" s="372">
        <v>272.01365650000002</v>
      </c>
      <c r="AC1799" s="372">
        <v>243.46169029999999</v>
      </c>
      <c r="AD1799" s="372">
        <v>215.89233479999999</v>
      </c>
      <c r="AE1799" s="372">
        <v>0</v>
      </c>
      <c r="AF1799" s="372">
        <v>0</v>
      </c>
      <c r="AG1799" s="372">
        <v>0</v>
      </c>
      <c r="AH1799" s="372">
        <v>0</v>
      </c>
    </row>
    <row r="1800" spans="1:34">
      <c r="A1800" s="372" t="s">
        <v>11851</v>
      </c>
      <c r="B1800" s="373" t="s">
        <v>11852</v>
      </c>
      <c r="C1800" s="372" t="s">
        <v>11853</v>
      </c>
      <c r="D1800" s="374">
        <v>1101112427098</v>
      </c>
      <c r="E1800" s="372" t="s">
        <v>11854</v>
      </c>
      <c r="F1800" s="372" t="s">
        <v>6425</v>
      </c>
      <c r="G1800" s="375" t="s">
        <v>6425</v>
      </c>
      <c r="H1800" s="375" t="s">
        <v>823</v>
      </c>
      <c r="I1800" s="375" t="s">
        <v>755</v>
      </c>
      <c r="J1800" s="375">
        <v>252371.39167000001</v>
      </c>
      <c r="K1800" s="375">
        <v>-5810.9628000000002</v>
      </c>
      <c r="L1800" s="375">
        <v>-13537.074720000001</v>
      </c>
      <c r="M1800" s="375">
        <v>181188.70522999999</v>
      </c>
      <c r="N1800" s="372">
        <v>0.69399999999999995</v>
      </c>
      <c r="O1800" s="703">
        <v>197.72877451018732</v>
      </c>
      <c r="P1800" s="375" t="s">
        <v>623</v>
      </c>
      <c r="Q1800" s="372" t="s">
        <v>623</v>
      </c>
      <c r="R1800" s="695">
        <v>20080630</v>
      </c>
      <c r="S1800" s="372" t="s">
        <v>11855</v>
      </c>
      <c r="T1800" s="696" t="s">
        <v>772</v>
      </c>
      <c r="U1800" s="372" t="s">
        <v>11856</v>
      </c>
      <c r="V1800" s="722">
        <v>22.48</v>
      </c>
      <c r="W1800" s="722">
        <v>0.36</v>
      </c>
      <c r="X1800" s="722">
        <v>0.28000000000000003</v>
      </c>
      <c r="Y1800" s="722" t="s">
        <v>774</v>
      </c>
      <c r="Z1800" s="382" t="s">
        <v>934</v>
      </c>
      <c r="AA1800" s="372">
        <v>1723.1376964999999</v>
      </c>
      <c r="AB1800" s="372">
        <v>2155.7381389000002</v>
      </c>
      <c r="AC1800" s="372">
        <v>2530.2863929</v>
      </c>
      <c r="AD1800" s="372">
        <v>2523.7139167</v>
      </c>
      <c r="AE1800" s="372">
        <v>0</v>
      </c>
      <c r="AF1800" s="372">
        <v>0</v>
      </c>
      <c r="AG1800" s="372">
        <v>0</v>
      </c>
      <c r="AH1800" s="372">
        <v>0</v>
      </c>
    </row>
    <row r="1801" spans="1:34">
      <c r="A1801" s="372" t="s">
        <v>11857</v>
      </c>
      <c r="B1801" s="373" t="s">
        <v>11858</v>
      </c>
      <c r="C1801" s="372" t="s">
        <v>11859</v>
      </c>
      <c r="D1801" s="374">
        <v>1101110414302</v>
      </c>
      <c r="E1801" s="372" t="s">
        <v>11860</v>
      </c>
      <c r="F1801" s="375" t="s">
        <v>1286</v>
      </c>
      <c r="G1801" s="375" t="s">
        <v>11861</v>
      </c>
      <c r="H1801" s="375" t="s">
        <v>1388</v>
      </c>
      <c r="I1801" s="375" t="s">
        <v>869</v>
      </c>
      <c r="J1801" s="375">
        <v>456164.44053000002</v>
      </c>
      <c r="K1801" s="375">
        <v>10085.4241</v>
      </c>
      <c r="L1801" s="375">
        <v>21177.565269999999</v>
      </c>
      <c r="M1801" s="375">
        <v>121632.08372</v>
      </c>
      <c r="N1801" s="372">
        <v>0.83399999999999996</v>
      </c>
      <c r="O1801" s="703">
        <v>75.148481008838857</v>
      </c>
      <c r="P1801" s="375" t="s">
        <v>623</v>
      </c>
      <c r="Q1801" s="372" t="s">
        <v>623</v>
      </c>
      <c r="R1801" s="695">
        <v>20000620</v>
      </c>
      <c r="S1801" s="372" t="s">
        <v>11862</v>
      </c>
      <c r="T1801" s="696">
        <v>0.23100000000000001</v>
      </c>
      <c r="U1801" s="372" t="s">
        <v>11863</v>
      </c>
      <c r="V1801" s="722">
        <v>7.55</v>
      </c>
      <c r="W1801" s="722">
        <v>0.64</v>
      </c>
      <c r="X1801" s="722">
        <v>0.16</v>
      </c>
      <c r="Y1801" s="722">
        <v>4.07</v>
      </c>
      <c r="Z1801" s="382" t="s">
        <v>934</v>
      </c>
      <c r="AA1801" s="372">
        <v>1664.2878444</v>
      </c>
      <c r="AB1801" s="372">
        <v>1891.8302504999999</v>
      </c>
      <c r="AC1801" s="372">
        <v>3918.2177003000002</v>
      </c>
      <c r="AD1801" s="372">
        <v>4561.6444052999996</v>
      </c>
      <c r="AE1801" s="372">
        <v>0</v>
      </c>
      <c r="AF1801" s="372">
        <v>0</v>
      </c>
      <c r="AG1801" s="372">
        <v>0</v>
      </c>
      <c r="AH1801" s="372">
        <v>0</v>
      </c>
    </row>
    <row r="1802" spans="1:34">
      <c r="A1802" s="372" t="s">
        <v>11864</v>
      </c>
      <c r="B1802" s="373" t="s">
        <v>11865</v>
      </c>
      <c r="C1802" s="372" t="s">
        <v>11866</v>
      </c>
      <c r="D1802" s="374">
        <v>1801110157643</v>
      </c>
      <c r="E1802" s="372" t="s">
        <v>11867</v>
      </c>
      <c r="F1802" s="375" t="s">
        <v>7108</v>
      </c>
      <c r="G1802" s="375" t="s">
        <v>8338</v>
      </c>
      <c r="H1802" s="375" t="s">
        <v>868</v>
      </c>
      <c r="I1802" s="375" t="s">
        <v>869</v>
      </c>
      <c r="J1802" s="375">
        <v>29708.323390000001</v>
      </c>
      <c r="K1802" s="375">
        <v>-2536.9718600000001</v>
      </c>
      <c r="L1802" s="375">
        <v>-35511.991000000002</v>
      </c>
      <c r="M1802" s="375">
        <v>57588.997810000001</v>
      </c>
      <c r="N1802" s="372">
        <v>1.4E-2</v>
      </c>
      <c r="O1802" s="703">
        <v>35.038103608855195</v>
      </c>
      <c r="P1802" s="375" t="s">
        <v>16142</v>
      </c>
      <c r="Q1802" s="372" t="s">
        <v>16145</v>
      </c>
      <c r="R1802" s="695">
        <v>20010116</v>
      </c>
      <c r="S1802" s="372" t="s">
        <v>11868</v>
      </c>
      <c r="T1802" s="696" t="s">
        <v>772</v>
      </c>
      <c r="U1802" s="372" t="s">
        <v>11869</v>
      </c>
      <c r="V1802" s="722" t="s">
        <v>774</v>
      </c>
      <c r="W1802" s="722">
        <v>1.22</v>
      </c>
      <c r="X1802" s="722">
        <v>2.36</v>
      </c>
      <c r="Y1802" s="722" t="s">
        <v>774</v>
      </c>
      <c r="Z1802" s="382" t="s">
        <v>934</v>
      </c>
      <c r="AA1802" s="372">
        <v>344.50302060000001</v>
      </c>
      <c r="AB1802" s="372">
        <v>314.62800110000001</v>
      </c>
      <c r="AC1802" s="372">
        <v>307.21020809999999</v>
      </c>
      <c r="AD1802" s="372">
        <v>297.08323389999998</v>
      </c>
      <c r="AE1802" s="372">
        <v>0</v>
      </c>
      <c r="AF1802" s="372">
        <v>0</v>
      </c>
      <c r="AG1802" s="372">
        <v>0</v>
      </c>
      <c r="AH1802" s="372">
        <v>0</v>
      </c>
    </row>
    <row r="1803" spans="1:34">
      <c r="A1803" s="372" t="s">
        <v>11870</v>
      </c>
      <c r="B1803" s="373" t="s">
        <v>11871</v>
      </c>
      <c r="C1803" s="372" t="s">
        <v>11872</v>
      </c>
      <c r="D1803" s="374">
        <v>1348110000563</v>
      </c>
      <c r="E1803" s="372" t="s">
        <v>11873</v>
      </c>
      <c r="F1803" s="375" t="s">
        <v>5680</v>
      </c>
      <c r="G1803" s="375" t="s">
        <v>5680</v>
      </c>
      <c r="H1803" s="375" t="s">
        <v>754</v>
      </c>
      <c r="I1803" s="375" t="s">
        <v>755</v>
      </c>
      <c r="J1803" s="375">
        <v>41906.999629999998</v>
      </c>
      <c r="K1803" s="375">
        <v>-5003.29025</v>
      </c>
      <c r="L1803" s="375">
        <v>-6423.5472</v>
      </c>
      <c r="M1803" s="375">
        <v>28615.42611</v>
      </c>
      <c r="N1803" s="372">
        <v>0.58299999999999996</v>
      </c>
      <c r="O1803" s="703">
        <v>27.359496635948183</v>
      </c>
      <c r="P1803" s="375" t="s">
        <v>623</v>
      </c>
      <c r="Q1803" s="372" t="s">
        <v>623</v>
      </c>
      <c r="R1803" s="695">
        <v>19870525</v>
      </c>
      <c r="S1803" s="372" t="s">
        <v>11874</v>
      </c>
      <c r="T1803" s="696" t="s">
        <v>772</v>
      </c>
      <c r="U1803" s="372" t="s">
        <v>11875</v>
      </c>
      <c r="V1803" s="722" t="s">
        <v>774</v>
      </c>
      <c r="W1803" s="722">
        <v>2.96</v>
      </c>
      <c r="X1803" s="722">
        <v>1.32</v>
      </c>
      <c r="Y1803" s="722" t="s">
        <v>774</v>
      </c>
      <c r="Z1803" s="382" t="s">
        <v>934</v>
      </c>
      <c r="AA1803" s="372">
        <v>401.16152080000001</v>
      </c>
      <c r="AB1803" s="372">
        <v>443.42176389999997</v>
      </c>
      <c r="AC1803" s="372">
        <v>483.26219520000001</v>
      </c>
      <c r="AD1803" s="372">
        <v>419.06999630000001</v>
      </c>
      <c r="AE1803" s="372">
        <v>0</v>
      </c>
      <c r="AF1803" s="372">
        <v>0</v>
      </c>
      <c r="AG1803" s="372">
        <v>0</v>
      </c>
      <c r="AH1803" s="372">
        <v>0</v>
      </c>
    </row>
    <row r="1804" spans="1:34">
      <c r="A1804" s="372" t="s">
        <v>11876</v>
      </c>
      <c r="B1804" s="373" t="s">
        <v>11877</v>
      </c>
      <c r="C1804" s="372" t="s">
        <v>11878</v>
      </c>
      <c r="D1804" s="374">
        <v>1101110017411</v>
      </c>
      <c r="E1804" s="372" t="s">
        <v>11879</v>
      </c>
      <c r="F1804" s="375" t="s">
        <v>1395</v>
      </c>
      <c r="G1804" s="375" t="s">
        <v>1396</v>
      </c>
      <c r="H1804" s="375" t="s">
        <v>1397</v>
      </c>
      <c r="I1804" s="375" t="s">
        <v>755</v>
      </c>
      <c r="J1804" s="375">
        <v>547683.54721999995</v>
      </c>
      <c r="K1804" s="375">
        <v>4346.98308</v>
      </c>
      <c r="L1804" s="375">
        <v>4683.5288200000005</v>
      </c>
      <c r="M1804" s="375">
        <v>113032.137</v>
      </c>
      <c r="N1804" s="372">
        <v>1.0229999999999999</v>
      </c>
      <c r="O1804" s="703">
        <v>64.043588434486452</v>
      </c>
      <c r="P1804" s="375" t="s">
        <v>623</v>
      </c>
      <c r="Q1804" s="372" t="s">
        <v>623</v>
      </c>
      <c r="R1804" s="695">
        <v>19761228</v>
      </c>
      <c r="S1804" s="375" t="s">
        <v>11880</v>
      </c>
      <c r="T1804" s="696">
        <v>0.20900000000000002</v>
      </c>
      <c r="U1804" s="375" t="s">
        <v>11881</v>
      </c>
      <c r="V1804" s="722">
        <v>8.56</v>
      </c>
      <c r="W1804" s="722">
        <v>0.67</v>
      </c>
      <c r="X1804" s="722">
        <v>0.14000000000000001</v>
      </c>
      <c r="Y1804" s="722">
        <v>12.58</v>
      </c>
      <c r="Z1804" s="382" t="s">
        <v>934</v>
      </c>
      <c r="AA1804" s="372">
        <v>2379.6150014</v>
      </c>
      <c r="AB1804" s="372">
        <v>3567.4001969000001</v>
      </c>
      <c r="AC1804" s="372">
        <v>4503.7945233</v>
      </c>
      <c r="AD1804" s="372">
        <v>5476.8354722000004</v>
      </c>
      <c r="AE1804" s="372">
        <v>0</v>
      </c>
      <c r="AF1804" s="372">
        <v>0</v>
      </c>
      <c r="AG1804" s="372">
        <v>0</v>
      </c>
      <c r="AH1804" s="372">
        <v>0</v>
      </c>
    </row>
    <row r="1805" spans="1:34">
      <c r="A1805" s="372" t="s">
        <v>11882</v>
      </c>
      <c r="B1805" s="373" t="s">
        <v>11883</v>
      </c>
      <c r="C1805" s="372" t="s">
        <v>16194</v>
      </c>
      <c r="D1805" s="374">
        <v>1101111511834</v>
      </c>
      <c r="E1805" s="372" t="s">
        <v>16089</v>
      </c>
      <c r="F1805" s="375" t="s">
        <v>852</v>
      </c>
      <c r="G1805" s="375" t="s">
        <v>852</v>
      </c>
      <c r="H1805" s="375" t="s">
        <v>3127</v>
      </c>
      <c r="I1805" s="375" t="s">
        <v>869</v>
      </c>
      <c r="J1805" s="375">
        <v>16006.60052</v>
      </c>
      <c r="K1805" s="375">
        <v>188.59415999999999</v>
      </c>
      <c r="L1805" s="375">
        <v>5577.6760199999999</v>
      </c>
      <c r="M1805" s="375">
        <v>287264.87027000001</v>
      </c>
      <c r="N1805" s="372">
        <v>0.76700000000000002</v>
      </c>
      <c r="O1805" s="703">
        <v>19.10073601890825</v>
      </c>
      <c r="P1805" s="375" t="s">
        <v>623</v>
      </c>
      <c r="Q1805" s="372" t="s">
        <v>623</v>
      </c>
      <c r="R1805" s="695">
        <v>20091113</v>
      </c>
      <c r="S1805" s="372" t="s">
        <v>11884</v>
      </c>
      <c r="T1805" s="696">
        <v>0.20900000000000002</v>
      </c>
      <c r="U1805" s="372" t="s">
        <v>11885</v>
      </c>
      <c r="V1805" s="722">
        <v>71.95</v>
      </c>
      <c r="W1805" s="722">
        <v>0.31</v>
      </c>
      <c r="X1805" s="722">
        <v>2.6</v>
      </c>
      <c r="Y1805" s="722">
        <v>9.66</v>
      </c>
      <c r="Z1805" s="382" t="s">
        <v>934</v>
      </c>
      <c r="AA1805" s="372">
        <v>103.1878347</v>
      </c>
      <c r="AB1805" s="372">
        <v>84.163132899999994</v>
      </c>
      <c r="AC1805" s="372">
        <v>95.979951600000007</v>
      </c>
      <c r="AD1805" s="372">
        <v>160.06600520000001</v>
      </c>
      <c r="AE1805" s="372">
        <v>0</v>
      </c>
      <c r="AF1805" s="372">
        <v>0</v>
      </c>
      <c r="AG1805" s="372">
        <v>0</v>
      </c>
      <c r="AH1805" s="372">
        <v>0</v>
      </c>
    </row>
    <row r="1806" spans="1:34">
      <c r="A1806" s="372" t="s">
        <v>11886</v>
      </c>
      <c r="B1806" s="373" t="s">
        <v>11887</v>
      </c>
      <c r="C1806" s="372" t="s">
        <v>11888</v>
      </c>
      <c r="D1806" s="374">
        <v>1311110251048</v>
      </c>
      <c r="E1806" s="372" t="s">
        <v>11889</v>
      </c>
      <c r="F1806" s="375" t="s">
        <v>1714</v>
      </c>
      <c r="G1806" s="375" t="s">
        <v>1714</v>
      </c>
      <c r="H1806" s="375" t="s">
        <v>1348</v>
      </c>
      <c r="I1806" s="375" t="s">
        <v>869</v>
      </c>
      <c r="J1806" s="375">
        <v>37255.650159999997</v>
      </c>
      <c r="K1806" s="375">
        <v>2531.1217099999999</v>
      </c>
      <c r="L1806" s="375">
        <v>3471.3811000000001</v>
      </c>
      <c r="M1806" s="375">
        <v>81295.800329999998</v>
      </c>
      <c r="N1806" s="372">
        <v>1.381</v>
      </c>
      <c r="O1806" s="703">
        <v>3.7757226823283889</v>
      </c>
      <c r="P1806" s="375" t="s">
        <v>623</v>
      </c>
      <c r="Q1806" s="375" t="s">
        <v>623</v>
      </c>
      <c r="R1806" s="695">
        <v>20200312</v>
      </c>
      <c r="S1806" s="375" t="s">
        <v>11890</v>
      </c>
      <c r="T1806" s="696">
        <v>0.20900000000000002</v>
      </c>
      <c r="U1806" s="372" t="s">
        <v>11891</v>
      </c>
      <c r="V1806" s="722">
        <v>0</v>
      </c>
      <c r="W1806" s="722">
        <v>1.03</v>
      </c>
      <c r="X1806" s="722">
        <v>0</v>
      </c>
      <c r="Y1806" s="722">
        <v>0</v>
      </c>
      <c r="Z1806" s="382" t="s">
        <v>934</v>
      </c>
      <c r="AA1806" s="372">
        <v>293.06229209999998</v>
      </c>
      <c r="AB1806" s="372">
        <v>346.80497539999999</v>
      </c>
      <c r="AC1806" s="372">
        <v>439.52147280000003</v>
      </c>
      <c r="AD1806" s="372">
        <v>372.55650159999999</v>
      </c>
      <c r="AE1806" s="372">
        <v>0</v>
      </c>
      <c r="AF1806" s="372">
        <v>0</v>
      </c>
      <c r="AG1806" s="372">
        <v>0</v>
      </c>
      <c r="AH1806" s="372">
        <v>0</v>
      </c>
    </row>
    <row r="1807" spans="1:34">
      <c r="A1807" s="372" t="s">
        <v>11892</v>
      </c>
      <c r="B1807" s="373" t="s">
        <v>11893</v>
      </c>
      <c r="C1807" s="372" t="s">
        <v>11894</v>
      </c>
      <c r="D1807" s="374">
        <v>1101115478626</v>
      </c>
      <c r="E1807" s="372" t="s">
        <v>11895</v>
      </c>
      <c r="F1807" s="372" t="s">
        <v>1585</v>
      </c>
      <c r="G1807" s="375" t="s">
        <v>1585</v>
      </c>
      <c r="H1807" s="375" t="s">
        <v>3127</v>
      </c>
      <c r="I1807" s="375" t="s">
        <v>869</v>
      </c>
      <c r="J1807" s="375">
        <v>26033.02536</v>
      </c>
      <c r="K1807" s="375">
        <v>-3228.0121100000001</v>
      </c>
      <c r="L1807" s="375">
        <v>-3944.2903700000002</v>
      </c>
      <c r="M1807" s="375">
        <v>12282.29953</v>
      </c>
      <c r="N1807" s="372">
        <v>0.85499999999999998</v>
      </c>
      <c r="O1807" s="703">
        <v>17.892254011079224</v>
      </c>
      <c r="P1807" s="375" t="s">
        <v>623</v>
      </c>
      <c r="Q1807" s="372" t="s">
        <v>623</v>
      </c>
      <c r="R1807" s="695">
        <v>20141120</v>
      </c>
      <c r="S1807" s="372" t="s">
        <v>11896</v>
      </c>
      <c r="T1807" s="696" t="s">
        <v>772</v>
      </c>
      <c r="U1807" s="372" t="s">
        <v>11897</v>
      </c>
      <c r="V1807" s="722" t="s">
        <v>774</v>
      </c>
      <c r="W1807" s="722">
        <v>5.77</v>
      </c>
      <c r="X1807" s="722">
        <v>2.72</v>
      </c>
      <c r="Y1807" s="722" t="s">
        <v>774</v>
      </c>
      <c r="Z1807" s="382" t="s">
        <v>934</v>
      </c>
      <c r="AA1807" s="372">
        <v>119.8820789</v>
      </c>
      <c r="AB1807" s="372">
        <v>124.25741410000001</v>
      </c>
      <c r="AC1807" s="372">
        <v>167.2850297</v>
      </c>
      <c r="AD1807" s="372">
        <v>260.33025359999999</v>
      </c>
      <c r="AE1807" s="372">
        <v>0</v>
      </c>
      <c r="AF1807" s="372">
        <v>0</v>
      </c>
      <c r="AG1807" s="372">
        <v>0</v>
      </c>
      <c r="AH1807" s="372">
        <v>0</v>
      </c>
    </row>
    <row r="1808" spans="1:34">
      <c r="A1808" s="372" t="s">
        <v>11898</v>
      </c>
      <c r="B1808" s="373" t="s">
        <v>11899</v>
      </c>
      <c r="C1808" s="372" t="s">
        <v>11900</v>
      </c>
      <c r="D1808" s="374">
        <v>1341110003462</v>
      </c>
      <c r="E1808" s="372" t="s">
        <v>11901</v>
      </c>
      <c r="F1808" s="375" t="s">
        <v>8745</v>
      </c>
      <c r="G1808" s="375" t="s">
        <v>8907</v>
      </c>
      <c r="H1808" s="375" t="s">
        <v>1050</v>
      </c>
      <c r="I1808" s="375" t="s">
        <v>755</v>
      </c>
      <c r="J1808" s="375">
        <v>157903.56607999999</v>
      </c>
      <c r="K1808" s="375">
        <v>6945.2552800000003</v>
      </c>
      <c r="L1808" s="375">
        <v>-6471.95813</v>
      </c>
      <c r="M1808" s="375">
        <v>105851.36821</v>
      </c>
      <c r="N1808" s="372">
        <v>0.84099999999999997</v>
      </c>
      <c r="O1808" s="703">
        <v>118.84523098364022</v>
      </c>
      <c r="P1808" s="375" t="s">
        <v>623</v>
      </c>
      <c r="Q1808" s="372" t="s">
        <v>623</v>
      </c>
      <c r="R1808" s="695">
        <v>19760528</v>
      </c>
      <c r="S1808" s="372" t="s">
        <v>11902</v>
      </c>
      <c r="T1808" s="696" t="s">
        <v>772</v>
      </c>
      <c r="U1808" s="372" t="s">
        <v>11903</v>
      </c>
      <c r="V1808" s="722">
        <v>7.01</v>
      </c>
      <c r="W1808" s="722">
        <v>0.6</v>
      </c>
      <c r="X1808" s="722">
        <v>0.44</v>
      </c>
      <c r="Y1808" s="722" t="s">
        <v>774</v>
      </c>
      <c r="Z1808" s="382" t="s">
        <v>934</v>
      </c>
      <c r="AA1808" s="372">
        <v>1402.6904952</v>
      </c>
      <c r="AB1808" s="372">
        <v>1499.4517228</v>
      </c>
      <c r="AC1808" s="372">
        <v>1544.4784628</v>
      </c>
      <c r="AD1808" s="372">
        <v>1579.0356608</v>
      </c>
      <c r="AE1808" s="372">
        <v>0</v>
      </c>
      <c r="AF1808" s="372">
        <v>0</v>
      </c>
      <c r="AG1808" s="372">
        <v>0</v>
      </c>
      <c r="AH1808" s="372">
        <v>0</v>
      </c>
    </row>
    <row r="1809" spans="1:34">
      <c r="A1809" s="372" t="s">
        <v>11904</v>
      </c>
      <c r="B1809" s="373" t="s">
        <v>11905</v>
      </c>
      <c r="C1809" s="372" t="s">
        <v>11906</v>
      </c>
      <c r="D1809" s="374">
        <v>1101112539322</v>
      </c>
      <c r="E1809" s="372" t="s">
        <v>11907</v>
      </c>
      <c r="F1809" s="375" t="s">
        <v>1381</v>
      </c>
      <c r="G1809" s="375" t="s">
        <v>1381</v>
      </c>
      <c r="H1809" s="375" t="s">
        <v>1693</v>
      </c>
      <c r="I1809" s="375" t="s">
        <v>869</v>
      </c>
      <c r="J1809" s="375">
        <v>56843.26326</v>
      </c>
      <c r="K1809" s="375">
        <v>803.51355000000001</v>
      </c>
      <c r="L1809" s="375">
        <v>-4822.4430000000002</v>
      </c>
      <c r="M1809" s="375">
        <v>68985.905840000007</v>
      </c>
      <c r="N1809" s="372">
        <v>1.22</v>
      </c>
      <c r="O1809" s="703">
        <v>9.7250355284242076</v>
      </c>
      <c r="P1809" s="375" t="s">
        <v>623</v>
      </c>
      <c r="Q1809" s="372" t="s">
        <v>623</v>
      </c>
      <c r="R1809" s="695">
        <v>20091006</v>
      </c>
      <c r="S1809" s="372" t="s">
        <v>11908</v>
      </c>
      <c r="T1809" s="696" t="s">
        <v>772</v>
      </c>
      <c r="U1809" s="372" t="s">
        <v>11909</v>
      </c>
      <c r="V1809" s="722">
        <v>0</v>
      </c>
      <c r="W1809" s="722">
        <v>0.86</v>
      </c>
      <c r="X1809" s="722">
        <v>0</v>
      </c>
      <c r="Y1809" s="722">
        <v>0</v>
      </c>
      <c r="Z1809" s="382" t="s">
        <v>934</v>
      </c>
      <c r="AA1809" s="372">
        <v>687.20426010000006</v>
      </c>
      <c r="AB1809" s="372">
        <v>649.54327969999997</v>
      </c>
      <c r="AC1809" s="372">
        <v>658.45522200000005</v>
      </c>
      <c r="AD1809" s="372">
        <v>568.43263260000003</v>
      </c>
      <c r="AE1809" s="372">
        <v>0</v>
      </c>
      <c r="AF1809" s="372">
        <v>0</v>
      </c>
      <c r="AG1809" s="372">
        <v>0</v>
      </c>
      <c r="AH1809" s="372">
        <v>0</v>
      </c>
    </row>
    <row r="1810" spans="1:34">
      <c r="A1810" s="372" t="s">
        <v>11910</v>
      </c>
      <c r="B1810" s="373" t="s">
        <v>11911</v>
      </c>
      <c r="C1810" s="372" t="s">
        <v>11912</v>
      </c>
      <c r="D1810" s="374">
        <v>1601110012742</v>
      </c>
      <c r="E1810" s="372" t="s">
        <v>11913</v>
      </c>
      <c r="F1810" s="375" t="s">
        <v>11070</v>
      </c>
      <c r="G1810" s="375" t="s">
        <v>11070</v>
      </c>
      <c r="H1810" s="375" t="s">
        <v>832</v>
      </c>
      <c r="I1810" s="375" t="s">
        <v>755</v>
      </c>
      <c r="J1810" s="375">
        <v>90279.029899999994</v>
      </c>
      <c r="K1810" s="375">
        <v>6950.5406000000003</v>
      </c>
      <c r="L1810" s="375">
        <v>6994.3551600000001</v>
      </c>
      <c r="M1810" s="375">
        <v>163864.00466999999</v>
      </c>
      <c r="N1810" s="372">
        <v>0.94199999999999995</v>
      </c>
      <c r="O1810" s="703">
        <v>3.2857645714285719</v>
      </c>
      <c r="P1810" s="375" t="s">
        <v>623</v>
      </c>
      <c r="Q1810" s="372" t="s">
        <v>623</v>
      </c>
      <c r="R1810" s="695">
        <v>19970827</v>
      </c>
      <c r="S1810" s="372" t="s">
        <v>11914</v>
      </c>
      <c r="T1810" s="696">
        <v>0.20900000000000002</v>
      </c>
      <c r="U1810" s="372" t="s">
        <v>11915</v>
      </c>
      <c r="V1810" s="722">
        <v>4.93</v>
      </c>
      <c r="W1810" s="722">
        <v>0.46</v>
      </c>
      <c r="X1810" s="722">
        <v>0.83</v>
      </c>
      <c r="Y1810" s="722">
        <v>12.62</v>
      </c>
      <c r="Z1810" s="382" t="s">
        <v>934</v>
      </c>
      <c r="AA1810" s="372">
        <v>1073.6855347999999</v>
      </c>
      <c r="AB1810" s="372">
        <v>768.03020289999995</v>
      </c>
      <c r="AC1810" s="372">
        <v>829.88929789999997</v>
      </c>
      <c r="AD1810" s="372">
        <v>902.790299</v>
      </c>
      <c r="AE1810" s="372">
        <v>0</v>
      </c>
      <c r="AF1810" s="372">
        <v>0</v>
      </c>
      <c r="AG1810" s="372">
        <v>0</v>
      </c>
      <c r="AH1810" s="372">
        <v>0</v>
      </c>
    </row>
    <row r="1811" spans="1:34">
      <c r="A1811" s="372" t="s">
        <v>11916</v>
      </c>
      <c r="B1811" s="373" t="s">
        <v>11917</v>
      </c>
      <c r="C1811" s="372" t="s">
        <v>11918</v>
      </c>
      <c r="D1811" s="374">
        <v>1942110000034</v>
      </c>
      <c r="E1811" s="372" t="s">
        <v>11919</v>
      </c>
      <c r="F1811" s="375" t="s">
        <v>1881</v>
      </c>
      <c r="G1811" s="375" t="s">
        <v>1882</v>
      </c>
      <c r="H1811" s="375" t="s">
        <v>797</v>
      </c>
      <c r="I1811" s="375" t="s">
        <v>755</v>
      </c>
      <c r="J1811" s="375">
        <v>125890.83695</v>
      </c>
      <c r="K1811" s="375">
        <v>5439.3307800000002</v>
      </c>
      <c r="L1811" s="375">
        <v>15666.49656</v>
      </c>
      <c r="M1811" s="375">
        <v>271167.49521000002</v>
      </c>
      <c r="N1811" s="372">
        <v>0.751</v>
      </c>
      <c r="O1811" s="703">
        <v>5.4216186710411822</v>
      </c>
      <c r="P1811" s="375" t="s">
        <v>623</v>
      </c>
      <c r="Q1811" s="372" t="s">
        <v>623</v>
      </c>
      <c r="R1811" s="695">
        <v>19871128</v>
      </c>
      <c r="S1811" s="372" t="s">
        <v>11920</v>
      </c>
      <c r="T1811" s="696">
        <v>0.20900000000000002</v>
      </c>
      <c r="U1811" s="372" t="s">
        <v>11921</v>
      </c>
      <c r="V1811" s="722">
        <v>8.2799999999999994</v>
      </c>
      <c r="W1811" s="722">
        <v>0.26</v>
      </c>
      <c r="X1811" s="722">
        <v>0.56000000000000005</v>
      </c>
      <c r="Y1811" s="722">
        <v>5.14</v>
      </c>
      <c r="Z1811" s="382" t="s">
        <v>934</v>
      </c>
      <c r="AA1811" s="372">
        <v>637.68468959999996</v>
      </c>
      <c r="AB1811" s="372">
        <v>795.78435149999996</v>
      </c>
      <c r="AC1811" s="372">
        <v>957.45353969999996</v>
      </c>
      <c r="AD1811" s="372">
        <v>1258.9083694999999</v>
      </c>
      <c r="AE1811" s="372">
        <v>0</v>
      </c>
      <c r="AF1811" s="372">
        <v>0</v>
      </c>
      <c r="AG1811" s="372">
        <v>0</v>
      </c>
      <c r="AH1811" s="372">
        <v>0</v>
      </c>
    </row>
    <row r="1812" spans="1:34">
      <c r="A1812" s="372" t="s">
        <v>11922</v>
      </c>
      <c r="B1812" s="373" t="s">
        <v>11923</v>
      </c>
      <c r="C1812" s="372" t="s">
        <v>11924</v>
      </c>
      <c r="D1812" s="374">
        <v>1101114401438</v>
      </c>
      <c r="E1812" s="372" t="s">
        <v>11925</v>
      </c>
      <c r="F1812" s="372" t="s">
        <v>1381</v>
      </c>
      <c r="G1812" s="375" t="s">
        <v>1381</v>
      </c>
      <c r="H1812" s="375" t="s">
        <v>1693</v>
      </c>
      <c r="I1812" s="375" t="s">
        <v>869</v>
      </c>
      <c r="J1812" s="375">
        <v>3663.4384500000001</v>
      </c>
      <c r="K1812" s="375">
        <v>-6910.77628</v>
      </c>
      <c r="L1812" s="375">
        <v>-6459.1283100000001</v>
      </c>
      <c r="M1812" s="375">
        <v>14814.32321</v>
      </c>
      <c r="N1812" s="372">
        <v>1.2769999999999999</v>
      </c>
      <c r="O1812" s="703">
        <v>2.3452574750077213</v>
      </c>
      <c r="P1812" s="375" t="s">
        <v>623</v>
      </c>
      <c r="Q1812" s="372" t="s">
        <v>623</v>
      </c>
      <c r="R1812" s="695">
        <v>20131224</v>
      </c>
      <c r="S1812" s="372" t="s">
        <v>11926</v>
      </c>
      <c r="T1812" s="696" t="s">
        <v>772</v>
      </c>
      <c r="U1812" s="372" t="s">
        <v>11927</v>
      </c>
      <c r="V1812" s="722" t="s">
        <v>774</v>
      </c>
      <c r="W1812" s="722">
        <v>4.3099999999999996</v>
      </c>
      <c r="X1812" s="722">
        <v>17.36</v>
      </c>
      <c r="Y1812" s="722" t="s">
        <v>774</v>
      </c>
      <c r="Z1812" s="382" t="s">
        <v>934</v>
      </c>
      <c r="AA1812" s="372">
        <v>111.6220938</v>
      </c>
      <c r="AB1812" s="372">
        <v>57.778757400000003</v>
      </c>
      <c r="AC1812" s="372">
        <v>98.969263900000001</v>
      </c>
      <c r="AD1812" s="372">
        <v>36.634384500000003</v>
      </c>
      <c r="AE1812" s="372">
        <v>0</v>
      </c>
      <c r="AF1812" s="372">
        <v>0</v>
      </c>
      <c r="AG1812" s="372">
        <v>0</v>
      </c>
      <c r="AH1812" s="372">
        <v>0</v>
      </c>
    </row>
    <row r="1813" spans="1:34">
      <c r="A1813" s="372" t="s">
        <v>11928</v>
      </c>
      <c r="B1813" s="373" t="s">
        <v>11929</v>
      </c>
      <c r="C1813" s="372" t="s">
        <v>11930</v>
      </c>
      <c r="D1813" s="374">
        <v>1746110001179</v>
      </c>
      <c r="E1813" s="372" t="s">
        <v>11931</v>
      </c>
      <c r="F1813" s="375" t="s">
        <v>1592</v>
      </c>
      <c r="G1813" s="375" t="s">
        <v>1593</v>
      </c>
      <c r="H1813" s="375" t="s">
        <v>868</v>
      </c>
      <c r="I1813" s="375" t="s">
        <v>869</v>
      </c>
      <c r="J1813" s="375">
        <v>267641.19627000001</v>
      </c>
      <c r="K1813" s="375">
        <v>36225.506690000002</v>
      </c>
      <c r="L1813" s="375">
        <v>34171.514560000003</v>
      </c>
      <c r="M1813" s="375">
        <v>113749.62333</v>
      </c>
      <c r="N1813" s="372">
        <v>1.19</v>
      </c>
      <c r="O1813" s="703">
        <v>28.345967809396981</v>
      </c>
      <c r="P1813" s="375" t="s">
        <v>623</v>
      </c>
      <c r="Q1813" s="372" t="s">
        <v>623</v>
      </c>
      <c r="R1813" s="695">
        <v>20000107</v>
      </c>
      <c r="S1813" s="372" t="s">
        <v>11932</v>
      </c>
      <c r="T1813" s="696">
        <v>0.23100000000000001</v>
      </c>
      <c r="U1813" s="372" t="s">
        <v>11933</v>
      </c>
      <c r="V1813" s="722">
        <v>1.89</v>
      </c>
      <c r="W1813" s="722">
        <v>0.66</v>
      </c>
      <c r="X1813" s="722">
        <v>0.28000000000000003</v>
      </c>
      <c r="Y1813" s="722">
        <v>2.94</v>
      </c>
      <c r="Z1813" s="382" t="s">
        <v>934</v>
      </c>
      <c r="AA1813" s="372">
        <v>1360.5245672000001</v>
      </c>
      <c r="AB1813" s="372">
        <v>1793.2775999999999</v>
      </c>
      <c r="AC1813" s="372">
        <v>2156.3795200999998</v>
      </c>
      <c r="AD1813" s="372">
        <v>2676.4119627</v>
      </c>
      <c r="AE1813" s="372">
        <v>0</v>
      </c>
      <c r="AF1813" s="372">
        <v>0</v>
      </c>
      <c r="AG1813" s="372">
        <v>0</v>
      </c>
      <c r="AH1813" s="372">
        <v>0</v>
      </c>
    </row>
    <row r="1814" spans="1:34">
      <c r="A1814" s="372" t="s">
        <v>11934</v>
      </c>
      <c r="B1814" s="373" t="s">
        <v>11935</v>
      </c>
      <c r="C1814" s="372" t="s">
        <v>11936</v>
      </c>
      <c r="D1814" s="374">
        <v>2001110002843</v>
      </c>
      <c r="E1814" s="372" t="s">
        <v>11937</v>
      </c>
      <c r="F1814" s="372" t="s">
        <v>2282</v>
      </c>
      <c r="G1814" s="375" t="s">
        <v>2282</v>
      </c>
      <c r="H1814" s="375" t="s">
        <v>4894</v>
      </c>
      <c r="I1814" s="375" t="s">
        <v>869</v>
      </c>
      <c r="J1814" s="375">
        <v>71796.42297</v>
      </c>
      <c r="K1814" s="375">
        <v>-4374.62583</v>
      </c>
      <c r="L1814" s="375">
        <v>-21222.740030000001</v>
      </c>
      <c r="M1814" s="375">
        <v>159988.33965000001</v>
      </c>
      <c r="N1814" s="372">
        <v>0.73299999999999998</v>
      </c>
      <c r="O1814" s="703">
        <v>0</v>
      </c>
      <c r="P1814" s="375" t="s">
        <v>623</v>
      </c>
      <c r="Q1814" s="375" t="s">
        <v>623</v>
      </c>
      <c r="R1814" s="695">
        <v>20120131</v>
      </c>
      <c r="S1814" s="375" t="s">
        <v>11938</v>
      </c>
      <c r="T1814" s="696" t="s">
        <v>772</v>
      </c>
      <c r="U1814" s="372" t="s">
        <v>11939</v>
      </c>
      <c r="V1814" s="722" t="s">
        <v>774</v>
      </c>
      <c r="W1814" s="722">
        <v>0.52</v>
      </c>
      <c r="X1814" s="722">
        <v>1.1100000000000001</v>
      </c>
      <c r="Y1814" s="722" t="s">
        <v>774</v>
      </c>
      <c r="Z1814" s="382" t="s">
        <v>934</v>
      </c>
      <c r="AA1814" s="372">
        <v>753.63631339999995</v>
      </c>
      <c r="AB1814" s="372">
        <v>1091.3961853999999</v>
      </c>
      <c r="AC1814" s="372">
        <v>907.91512379999995</v>
      </c>
      <c r="AD1814" s="372">
        <v>717.96422970000003</v>
      </c>
      <c r="AE1814" s="372">
        <v>0</v>
      </c>
      <c r="AF1814" s="372">
        <v>0</v>
      </c>
      <c r="AG1814" s="372">
        <v>0</v>
      </c>
      <c r="AH1814" s="372">
        <v>0</v>
      </c>
    </row>
    <row r="1815" spans="1:34">
      <c r="A1815" s="372" t="s">
        <v>11940</v>
      </c>
      <c r="B1815" s="373" t="s">
        <v>11941</v>
      </c>
      <c r="C1815" s="372" t="s">
        <v>11942</v>
      </c>
      <c r="D1815" s="374">
        <v>1101110795455</v>
      </c>
      <c r="E1815" s="372" t="s">
        <v>11943</v>
      </c>
      <c r="F1815" s="375" t="s">
        <v>11944</v>
      </c>
      <c r="G1815" s="375" t="s">
        <v>11944</v>
      </c>
      <c r="H1815" s="375" t="s">
        <v>868</v>
      </c>
      <c r="I1815" s="375" t="s">
        <v>869</v>
      </c>
      <c r="J1815" s="375">
        <v>959746.78576999996</v>
      </c>
      <c r="K1815" s="375">
        <v>-9765.0276699999995</v>
      </c>
      <c r="L1815" s="375">
        <v>-23782.616600000001</v>
      </c>
      <c r="M1815" s="375">
        <v>162727.13153000001</v>
      </c>
      <c r="N1815" s="372">
        <v>0.88</v>
      </c>
      <c r="O1815" s="703">
        <v>409.83127970102407</v>
      </c>
      <c r="P1815" s="375" t="s">
        <v>623</v>
      </c>
      <c r="Q1815" s="372" t="s">
        <v>623</v>
      </c>
      <c r="R1815" s="695">
        <v>20031112</v>
      </c>
      <c r="S1815" s="372" t="s">
        <v>11945</v>
      </c>
      <c r="T1815" s="696" t="s">
        <v>772</v>
      </c>
      <c r="U1815" s="372" t="s">
        <v>11946</v>
      </c>
      <c r="V1815" s="722">
        <v>319.82</v>
      </c>
      <c r="W1815" s="722">
        <v>0.51</v>
      </c>
      <c r="X1815" s="722">
        <v>7.0000000000000007E-2</v>
      </c>
      <c r="Y1815" s="722" t="s">
        <v>774</v>
      </c>
      <c r="Z1815" s="382" t="s">
        <v>934</v>
      </c>
      <c r="AA1815" s="372">
        <v>9256.9799896000004</v>
      </c>
      <c r="AB1815" s="372">
        <v>10176.1417592</v>
      </c>
      <c r="AC1815" s="372">
        <v>10194.698372299999</v>
      </c>
      <c r="AD1815" s="372">
        <v>9597.4678576999995</v>
      </c>
      <c r="AE1815" s="372">
        <v>0</v>
      </c>
      <c r="AF1815" s="372">
        <v>0</v>
      </c>
      <c r="AG1815" s="372">
        <v>0</v>
      </c>
      <c r="AH1815" s="372">
        <v>0</v>
      </c>
    </row>
    <row r="1816" spans="1:34">
      <c r="A1816" s="372" t="s">
        <v>11947</v>
      </c>
      <c r="B1816" s="373" t="s">
        <v>11948</v>
      </c>
      <c r="C1816" s="372" t="s">
        <v>11949</v>
      </c>
      <c r="D1816" s="374">
        <v>1101110059702</v>
      </c>
      <c r="E1816" s="372" t="s">
        <v>11950</v>
      </c>
      <c r="F1816" s="375" t="s">
        <v>1418</v>
      </c>
      <c r="G1816" s="375" t="s">
        <v>3469</v>
      </c>
      <c r="H1816" s="375" t="s">
        <v>1327</v>
      </c>
      <c r="I1816" s="375" t="s">
        <v>755</v>
      </c>
      <c r="J1816" s="375">
        <v>64784.789660000002</v>
      </c>
      <c r="K1816" s="375">
        <v>586.53368</v>
      </c>
      <c r="L1816" s="375">
        <v>-570.95276000000001</v>
      </c>
      <c r="M1816" s="375">
        <v>26724.774160000001</v>
      </c>
      <c r="N1816" s="372">
        <v>0.84099999999999997</v>
      </c>
      <c r="O1816" s="703">
        <v>44.966967910707467</v>
      </c>
      <c r="P1816" s="375" t="s">
        <v>623</v>
      </c>
      <c r="Q1816" s="375" t="s">
        <v>623</v>
      </c>
      <c r="R1816" s="695">
        <v>19731228</v>
      </c>
      <c r="S1816" s="375" t="s">
        <v>11951</v>
      </c>
      <c r="T1816" s="696" t="s">
        <v>772</v>
      </c>
      <c r="U1816" s="372" t="s">
        <v>11952</v>
      </c>
      <c r="V1816" s="722">
        <v>0</v>
      </c>
      <c r="W1816" s="722">
        <v>2.71</v>
      </c>
      <c r="X1816" s="722">
        <v>0</v>
      </c>
      <c r="Y1816" s="722">
        <v>0</v>
      </c>
      <c r="Z1816" s="382" t="s">
        <v>934</v>
      </c>
      <c r="AA1816" s="372">
        <v>615.66333169999996</v>
      </c>
      <c r="AB1816" s="372">
        <v>552.97650650000003</v>
      </c>
      <c r="AC1816" s="372">
        <v>643.49405690000003</v>
      </c>
      <c r="AD1816" s="372">
        <v>647.84789660000001</v>
      </c>
      <c r="AE1816" s="372">
        <v>0</v>
      </c>
      <c r="AF1816" s="372">
        <v>0</v>
      </c>
      <c r="AG1816" s="372">
        <v>0</v>
      </c>
      <c r="AH1816" s="372">
        <v>0</v>
      </c>
    </row>
    <row r="1817" spans="1:34">
      <c r="A1817" s="372" t="s">
        <v>11953</v>
      </c>
      <c r="B1817" s="373" t="s">
        <v>11954</v>
      </c>
      <c r="C1817" s="372" t="s">
        <v>11955</v>
      </c>
      <c r="D1817" s="374">
        <v>1101110030413</v>
      </c>
      <c r="E1817" s="372" t="s">
        <v>11956</v>
      </c>
      <c r="F1817" s="375" t="s">
        <v>7880</v>
      </c>
      <c r="G1817" s="375" t="s">
        <v>11957</v>
      </c>
      <c r="H1817" s="375" t="s">
        <v>853</v>
      </c>
      <c r="I1817" s="375" t="s">
        <v>755</v>
      </c>
      <c r="J1817" s="375">
        <v>276080.69889</v>
      </c>
      <c r="K1817" s="375">
        <v>9142.1026899999997</v>
      </c>
      <c r="L1817" s="375">
        <v>10342.39373</v>
      </c>
      <c r="M1817" s="375">
        <v>114811.45233</v>
      </c>
      <c r="N1817" s="372">
        <v>1.3440000000000001</v>
      </c>
      <c r="O1817" s="703">
        <v>83.370437497636829</v>
      </c>
      <c r="P1817" s="375" t="s">
        <v>623</v>
      </c>
      <c r="Q1817" s="372" t="s">
        <v>623</v>
      </c>
      <c r="R1817" s="695">
        <v>19880920</v>
      </c>
      <c r="S1817" s="372" t="s">
        <v>11958</v>
      </c>
      <c r="T1817" s="696">
        <v>0.20900000000000002</v>
      </c>
      <c r="U1817" s="372" t="s">
        <v>11959</v>
      </c>
      <c r="V1817" s="722">
        <v>0</v>
      </c>
      <c r="W1817" s="722">
        <v>0.59</v>
      </c>
      <c r="X1817" s="722">
        <v>0</v>
      </c>
      <c r="Y1817" s="722">
        <v>0</v>
      </c>
      <c r="Z1817" s="382" t="s">
        <v>934</v>
      </c>
      <c r="AA1817" s="372">
        <v>2175.4094989</v>
      </c>
      <c r="AB1817" s="372">
        <v>2063.5570509999998</v>
      </c>
      <c r="AC1817" s="372">
        <v>1780.2952068</v>
      </c>
      <c r="AD1817" s="372">
        <v>2760.8069888999999</v>
      </c>
      <c r="AE1817" s="372">
        <v>0</v>
      </c>
      <c r="AF1817" s="372">
        <v>0</v>
      </c>
      <c r="AG1817" s="372">
        <v>0</v>
      </c>
      <c r="AH1817" s="372">
        <v>0</v>
      </c>
    </row>
    <row r="1818" spans="1:34">
      <c r="A1818" s="372" t="s">
        <v>11960</v>
      </c>
      <c r="B1818" s="373" t="s">
        <v>11961</v>
      </c>
      <c r="C1818" s="372" t="s">
        <v>11962</v>
      </c>
      <c r="D1818" s="374">
        <v>1101117525110</v>
      </c>
      <c r="E1818" s="372" t="s">
        <v>11963</v>
      </c>
      <c r="F1818" s="372" t="s">
        <v>2742</v>
      </c>
      <c r="G1818" s="375" t="s">
        <v>2742</v>
      </c>
      <c r="H1818" s="375" t="s">
        <v>1348</v>
      </c>
      <c r="I1818" s="375" t="s">
        <v>869</v>
      </c>
      <c r="J1818" s="375">
        <v>55102.00432</v>
      </c>
      <c r="K1818" s="375">
        <v>6232.5246699999998</v>
      </c>
      <c r="L1818" s="375">
        <v>5790.5864899999997</v>
      </c>
      <c r="M1818" s="375">
        <v>42493.55401</v>
      </c>
      <c r="N1818" s="372">
        <v>0.42399999999999999</v>
      </c>
      <c r="O1818" s="703">
        <v>6.2894630686269037</v>
      </c>
      <c r="P1818" s="375" t="s">
        <v>623</v>
      </c>
      <c r="Q1818" s="375" t="s">
        <v>623</v>
      </c>
      <c r="R1818" s="695">
        <v>20200923</v>
      </c>
      <c r="S1818" s="375" t="s">
        <v>11584</v>
      </c>
      <c r="T1818" s="696">
        <v>0.20900000000000002</v>
      </c>
      <c r="U1818" s="372" t="s">
        <v>11964</v>
      </c>
      <c r="V1818" s="722">
        <v>8.8800000000000008</v>
      </c>
      <c r="W1818" s="722">
        <v>1.55</v>
      </c>
      <c r="X1818" s="722">
        <v>1.18</v>
      </c>
      <c r="Y1818" s="722">
        <v>11.68</v>
      </c>
      <c r="Z1818" s="382" t="s">
        <v>934</v>
      </c>
      <c r="AA1818" s="372">
        <v>341.23503699999998</v>
      </c>
      <c r="AB1818" s="372">
        <v>431.71233219999999</v>
      </c>
      <c r="AC1818" s="372">
        <v>484.7317357</v>
      </c>
      <c r="AD1818" s="372">
        <v>551.02004320000003</v>
      </c>
      <c r="AE1818" s="372">
        <v>0</v>
      </c>
      <c r="AF1818" s="372">
        <v>0</v>
      </c>
      <c r="AG1818" s="372">
        <v>0</v>
      </c>
      <c r="AH1818" s="372">
        <v>0</v>
      </c>
    </row>
    <row r="1819" spans="1:34">
      <c r="A1819" s="372" t="s">
        <v>11965</v>
      </c>
      <c r="B1819" s="373" t="s">
        <v>11966</v>
      </c>
      <c r="C1819" s="372" t="s">
        <v>11967</v>
      </c>
      <c r="D1819" s="374">
        <v>2001110001704</v>
      </c>
      <c r="E1819" s="372" t="s">
        <v>11968</v>
      </c>
      <c r="F1819" s="375" t="s">
        <v>1889</v>
      </c>
      <c r="G1819" s="375" t="s">
        <v>7595</v>
      </c>
      <c r="H1819" s="375" t="s">
        <v>1050</v>
      </c>
      <c r="I1819" s="375" t="s">
        <v>755</v>
      </c>
      <c r="J1819" s="375">
        <v>225720.42942999999</v>
      </c>
      <c r="K1819" s="375">
        <v>4560.0575099999996</v>
      </c>
      <c r="L1819" s="375">
        <v>12579.080970000001</v>
      </c>
      <c r="M1819" s="375">
        <v>345546.63780000003</v>
      </c>
      <c r="N1819" s="372">
        <v>0.92900000000000005</v>
      </c>
      <c r="O1819" s="703">
        <v>75.138269992609025</v>
      </c>
      <c r="P1819" s="375" t="s">
        <v>623</v>
      </c>
      <c r="Q1819" s="372" t="s">
        <v>623</v>
      </c>
      <c r="R1819" s="695">
        <v>19991118</v>
      </c>
      <c r="S1819" s="372" t="s">
        <v>11969</v>
      </c>
      <c r="T1819" s="696">
        <v>0.20900000000000002</v>
      </c>
      <c r="U1819" s="372" t="s">
        <v>11755</v>
      </c>
      <c r="V1819" s="722">
        <v>6.93</v>
      </c>
      <c r="W1819" s="722">
        <v>0.2</v>
      </c>
      <c r="X1819" s="722">
        <v>0.31</v>
      </c>
      <c r="Y1819" s="722">
        <v>6.59</v>
      </c>
      <c r="Z1819" s="382" t="s">
        <v>934</v>
      </c>
      <c r="AA1819" s="372">
        <v>1617.4598386</v>
      </c>
      <c r="AB1819" s="372">
        <v>2039.7228949</v>
      </c>
      <c r="AC1819" s="372">
        <v>2440.9371077999999</v>
      </c>
      <c r="AD1819" s="372">
        <v>2257.2042943000001</v>
      </c>
      <c r="AE1819" s="372">
        <v>0</v>
      </c>
      <c r="AF1819" s="372">
        <v>0</v>
      </c>
      <c r="AG1819" s="372">
        <v>0</v>
      </c>
      <c r="AH1819" s="372">
        <v>0</v>
      </c>
    </row>
    <row r="1820" spans="1:34">
      <c r="A1820" s="372" t="s">
        <v>11970</v>
      </c>
      <c r="B1820" s="373" t="s">
        <v>11971</v>
      </c>
      <c r="C1820" s="372" t="s">
        <v>11972</v>
      </c>
      <c r="D1820" s="374">
        <v>1101110033623</v>
      </c>
      <c r="E1820" s="372" t="s">
        <v>11973</v>
      </c>
      <c r="F1820" s="372" t="s">
        <v>2207</v>
      </c>
      <c r="G1820" s="375" t="s">
        <v>11974</v>
      </c>
      <c r="H1820" s="375" t="s">
        <v>868</v>
      </c>
      <c r="I1820" s="375" t="s">
        <v>869</v>
      </c>
      <c r="J1820" s="375">
        <v>69629.912609999999</v>
      </c>
      <c r="K1820" s="375">
        <v>851.49379999999996</v>
      </c>
      <c r="L1820" s="375">
        <v>4379.69434</v>
      </c>
      <c r="M1820" s="375">
        <v>129918.23231000001</v>
      </c>
      <c r="N1820" s="372">
        <v>0.68100000000000005</v>
      </c>
      <c r="O1820" s="703">
        <v>18.380675603177647</v>
      </c>
      <c r="P1820" s="375" t="s">
        <v>623</v>
      </c>
      <c r="Q1820" s="372" t="s">
        <v>623</v>
      </c>
      <c r="R1820" s="695">
        <v>19901228</v>
      </c>
      <c r="S1820" s="372" t="s">
        <v>11975</v>
      </c>
      <c r="T1820" s="696">
        <v>0.20900000000000002</v>
      </c>
      <c r="U1820" s="372" t="s">
        <v>11976</v>
      </c>
      <c r="V1820" s="722">
        <v>28.71</v>
      </c>
      <c r="W1820" s="722">
        <v>0.54</v>
      </c>
      <c r="X1820" s="722">
        <v>1.1000000000000001</v>
      </c>
      <c r="Y1820" s="722">
        <v>19.7</v>
      </c>
      <c r="Z1820" s="382" t="s">
        <v>934</v>
      </c>
      <c r="AA1820" s="372">
        <v>532.23265070000002</v>
      </c>
      <c r="AB1820" s="372">
        <v>576.39776340000003</v>
      </c>
      <c r="AC1820" s="372">
        <v>709.76492929999995</v>
      </c>
      <c r="AD1820" s="372">
        <v>696.29912609999997</v>
      </c>
      <c r="AE1820" s="372">
        <v>0</v>
      </c>
      <c r="AF1820" s="372">
        <v>0</v>
      </c>
      <c r="AG1820" s="372">
        <v>0</v>
      </c>
      <c r="AH1820" s="372">
        <v>0</v>
      </c>
    </row>
    <row r="1821" spans="1:34">
      <c r="A1821" s="372" t="s">
        <v>11977</v>
      </c>
      <c r="B1821" s="373" t="s">
        <v>11978</v>
      </c>
      <c r="C1821" s="372" t="s">
        <v>11979</v>
      </c>
      <c r="D1821" s="374">
        <v>1101114264828</v>
      </c>
      <c r="E1821" s="372" t="s">
        <v>11980</v>
      </c>
      <c r="F1821" s="375" t="s">
        <v>1881</v>
      </c>
      <c r="G1821" s="375" t="s">
        <v>3905</v>
      </c>
      <c r="H1821" s="375" t="s">
        <v>868</v>
      </c>
      <c r="I1821" s="375" t="s">
        <v>869</v>
      </c>
      <c r="J1821" s="375">
        <v>2451930.5835699998</v>
      </c>
      <c r="K1821" s="375">
        <v>73758.58743</v>
      </c>
      <c r="L1821" s="375">
        <v>53939.738960000002</v>
      </c>
      <c r="M1821" s="375">
        <v>260623.79947</v>
      </c>
      <c r="N1821" s="372">
        <v>0.76400000000000001</v>
      </c>
      <c r="O1821" s="703">
        <v>694.569005660112</v>
      </c>
      <c r="P1821" s="375" t="s">
        <v>623</v>
      </c>
      <c r="Q1821" s="372" t="s">
        <v>623</v>
      </c>
      <c r="R1821" s="695">
        <v>20100525</v>
      </c>
      <c r="S1821" s="372" t="s">
        <v>11981</v>
      </c>
      <c r="T1821" s="696">
        <v>0.23100000000000001</v>
      </c>
      <c r="U1821" s="372" t="s">
        <v>11982</v>
      </c>
      <c r="V1821" s="722">
        <v>4.66</v>
      </c>
      <c r="W1821" s="722">
        <v>0.79</v>
      </c>
      <c r="X1821" s="722">
        <v>0.03</v>
      </c>
      <c r="Y1821" s="722">
        <v>8.48</v>
      </c>
      <c r="Z1821" s="382" t="s">
        <v>934</v>
      </c>
      <c r="AA1821" s="372">
        <v>15059.8178424</v>
      </c>
      <c r="AB1821" s="372">
        <v>17615.848708599999</v>
      </c>
      <c r="AC1821" s="372">
        <v>20936.6783621</v>
      </c>
      <c r="AD1821" s="372">
        <v>24519.305835700001</v>
      </c>
      <c r="AE1821" s="372">
        <v>0</v>
      </c>
      <c r="AF1821" s="372">
        <v>0</v>
      </c>
      <c r="AG1821" s="372">
        <v>0</v>
      </c>
      <c r="AH1821" s="372">
        <v>0</v>
      </c>
    </row>
    <row r="1822" spans="1:34">
      <c r="A1822" s="372" t="s">
        <v>11983</v>
      </c>
      <c r="B1822" s="373" t="s">
        <v>11984</v>
      </c>
      <c r="C1822" s="372" t="s">
        <v>11985</v>
      </c>
      <c r="D1822" s="374">
        <v>1101111518830</v>
      </c>
      <c r="E1822" s="372" t="s">
        <v>11986</v>
      </c>
      <c r="F1822" s="375" t="s">
        <v>1381</v>
      </c>
      <c r="G1822" s="375" t="s">
        <v>1381</v>
      </c>
      <c r="H1822" s="375" t="s">
        <v>868</v>
      </c>
      <c r="I1822" s="375" t="s">
        <v>869</v>
      </c>
      <c r="J1822" s="375">
        <v>23886.469819999998</v>
      </c>
      <c r="K1822" s="375">
        <v>6465.6213699999998</v>
      </c>
      <c r="L1822" s="375">
        <v>6208.9282000000003</v>
      </c>
      <c r="M1822" s="375">
        <v>85016.979449999999</v>
      </c>
      <c r="N1822" s="372">
        <v>1.0920000000000001</v>
      </c>
      <c r="O1822" s="703">
        <v>0.19870051752752943</v>
      </c>
      <c r="P1822" s="375" t="s">
        <v>623</v>
      </c>
      <c r="Q1822" s="372" t="s">
        <v>623</v>
      </c>
      <c r="R1822" s="695">
        <v>20161011</v>
      </c>
      <c r="S1822" s="372" t="s">
        <v>11987</v>
      </c>
      <c r="T1822" s="696">
        <v>0.20900000000000002</v>
      </c>
      <c r="U1822" s="372" t="s">
        <v>11988</v>
      </c>
      <c r="V1822" s="722">
        <v>7.71</v>
      </c>
      <c r="W1822" s="722">
        <v>0.82</v>
      </c>
      <c r="X1822" s="722">
        <v>2.9</v>
      </c>
      <c r="Y1822" s="722">
        <v>12.44</v>
      </c>
      <c r="Z1822" s="382" t="s">
        <v>934</v>
      </c>
      <c r="AA1822" s="372">
        <v>229.5664452</v>
      </c>
      <c r="AB1822" s="372">
        <v>250.18478590000001</v>
      </c>
      <c r="AC1822" s="372">
        <v>218.1592186</v>
      </c>
      <c r="AD1822" s="372">
        <v>238.86469819999999</v>
      </c>
      <c r="AE1822" s="372">
        <v>0</v>
      </c>
      <c r="AF1822" s="372">
        <v>0</v>
      </c>
      <c r="AG1822" s="372">
        <v>0</v>
      </c>
      <c r="AH1822" s="372">
        <v>0</v>
      </c>
    </row>
    <row r="1823" spans="1:34">
      <c r="A1823" s="372" t="s">
        <v>11989</v>
      </c>
      <c r="B1823" s="373" t="s">
        <v>11990</v>
      </c>
      <c r="C1823" s="372" t="s">
        <v>11991</v>
      </c>
      <c r="D1823" s="374">
        <v>1201110001959</v>
      </c>
      <c r="E1823" s="372" t="s">
        <v>11992</v>
      </c>
      <c r="F1823" s="372" t="s">
        <v>2268</v>
      </c>
      <c r="G1823" s="375" t="s">
        <v>11993</v>
      </c>
      <c r="H1823" s="375" t="s">
        <v>3998</v>
      </c>
      <c r="I1823" s="375" t="s">
        <v>755</v>
      </c>
      <c r="J1823" s="375">
        <v>311559.7476</v>
      </c>
      <c r="K1823" s="375">
        <v>9115.7849200000001</v>
      </c>
      <c r="L1823" s="375">
        <v>-1453.2231099999999</v>
      </c>
      <c r="M1823" s="375">
        <v>192247.66318999999</v>
      </c>
      <c r="N1823" s="372">
        <v>1.0169999999999999</v>
      </c>
      <c r="O1823" s="703">
        <v>271.03849109866917</v>
      </c>
      <c r="P1823" s="375" t="s">
        <v>623</v>
      </c>
      <c r="Q1823" s="372" t="s">
        <v>623</v>
      </c>
      <c r="R1823" s="695">
        <v>19881021</v>
      </c>
      <c r="S1823" s="372" t="s">
        <v>11994</v>
      </c>
      <c r="T1823" s="696" t="s">
        <v>772</v>
      </c>
      <c r="U1823" s="372" t="s">
        <v>11995</v>
      </c>
      <c r="V1823" s="722">
        <v>7.55</v>
      </c>
      <c r="W1823" s="722">
        <v>0.36</v>
      </c>
      <c r="X1823" s="722">
        <v>0.23</v>
      </c>
      <c r="Y1823" s="722" t="s">
        <v>774</v>
      </c>
      <c r="Z1823" s="382" t="s">
        <v>934</v>
      </c>
      <c r="AA1823" s="372">
        <v>2569.3591643</v>
      </c>
      <c r="AB1823" s="372">
        <v>2768.3015320999998</v>
      </c>
      <c r="AC1823" s="372">
        <v>3293.3025097</v>
      </c>
      <c r="AD1823" s="372">
        <v>3115.5974759999999</v>
      </c>
      <c r="AE1823" s="372">
        <v>0</v>
      </c>
      <c r="AF1823" s="372">
        <v>0</v>
      </c>
      <c r="AG1823" s="372">
        <v>0</v>
      </c>
      <c r="AH1823" s="372">
        <v>0</v>
      </c>
    </row>
    <row r="1824" spans="1:34">
      <c r="A1824" s="372" t="s">
        <v>11996</v>
      </c>
      <c r="B1824" s="373" t="s">
        <v>11997</v>
      </c>
      <c r="C1824" s="372" t="s">
        <v>11998</v>
      </c>
      <c r="D1824" s="374">
        <v>1101113364372</v>
      </c>
      <c r="E1824" s="372" t="s">
        <v>11999</v>
      </c>
      <c r="F1824" s="372" t="s">
        <v>10547</v>
      </c>
      <c r="G1824" s="375" t="s">
        <v>12000</v>
      </c>
      <c r="H1824" s="375" t="s">
        <v>1388</v>
      </c>
      <c r="I1824" s="375" t="s">
        <v>869</v>
      </c>
      <c r="J1824" s="375">
        <v>40628.539629999999</v>
      </c>
      <c r="K1824" s="375">
        <v>3567.6400199999998</v>
      </c>
      <c r="L1824" s="375">
        <v>5535.0684300000003</v>
      </c>
      <c r="M1824" s="375">
        <v>60056.353130000003</v>
      </c>
      <c r="N1824" s="372" t="s">
        <v>1033</v>
      </c>
      <c r="O1824" s="703">
        <v>12.250283795214632</v>
      </c>
      <c r="P1824" s="375" t="s">
        <v>623</v>
      </c>
      <c r="Q1824" s="372" t="s">
        <v>623</v>
      </c>
      <c r="R1824" s="695">
        <v>20220809</v>
      </c>
      <c r="S1824" s="372" t="s">
        <v>12001</v>
      </c>
      <c r="T1824" s="696">
        <v>0.20900000000000002</v>
      </c>
      <c r="U1824" s="372" t="s">
        <v>12002</v>
      </c>
      <c r="V1824" s="722">
        <v>12.57</v>
      </c>
      <c r="W1824" s="722">
        <v>1.1200000000000001</v>
      </c>
      <c r="X1824" s="722">
        <v>1.68</v>
      </c>
      <c r="Y1824" s="722">
        <v>12.15</v>
      </c>
      <c r="Z1824" s="382" t="s">
        <v>934</v>
      </c>
      <c r="AA1824" s="372">
        <v>226.7118399</v>
      </c>
      <c r="AB1824" s="372">
        <v>357.45325279999997</v>
      </c>
      <c r="AC1824" s="372">
        <v>342.13303580000002</v>
      </c>
      <c r="AD1824" s="372">
        <v>406.2853963</v>
      </c>
      <c r="AE1824" s="372">
        <v>540</v>
      </c>
      <c r="AF1824" s="372">
        <v>0</v>
      </c>
      <c r="AG1824" s="372">
        <v>0</v>
      </c>
      <c r="AH1824" s="372">
        <v>0</v>
      </c>
    </row>
    <row r="1825" spans="1:34">
      <c r="A1825" s="372" t="s">
        <v>12003</v>
      </c>
      <c r="B1825" s="373" t="s">
        <v>12004</v>
      </c>
      <c r="C1825" s="372" t="s">
        <v>12005</v>
      </c>
      <c r="D1825" s="374">
        <v>1801110602755</v>
      </c>
      <c r="E1825" s="372" t="s">
        <v>12006</v>
      </c>
      <c r="F1825" s="375" t="s">
        <v>887</v>
      </c>
      <c r="G1825" s="375" t="s">
        <v>887</v>
      </c>
      <c r="H1825" s="375" t="s">
        <v>868</v>
      </c>
      <c r="I1825" s="375" t="s">
        <v>869</v>
      </c>
      <c r="J1825" s="375">
        <v>135901.87875</v>
      </c>
      <c r="K1825" s="375">
        <v>3950.8472999999999</v>
      </c>
      <c r="L1825" s="375">
        <v>3930.48551</v>
      </c>
      <c r="M1825" s="375">
        <v>89945.220209999999</v>
      </c>
      <c r="N1825" s="372">
        <v>1.0569999999999999</v>
      </c>
      <c r="O1825" s="703">
        <v>69.906463318986255</v>
      </c>
      <c r="P1825" s="375" t="s">
        <v>623</v>
      </c>
      <c r="Q1825" s="372" t="s">
        <v>623</v>
      </c>
      <c r="R1825" s="695">
        <v>20181205</v>
      </c>
      <c r="S1825" s="372" t="s">
        <v>12007</v>
      </c>
      <c r="T1825" s="696">
        <v>0.20900000000000002</v>
      </c>
      <c r="U1825" s="372" t="s">
        <v>12008</v>
      </c>
      <c r="V1825" s="722">
        <v>10.94</v>
      </c>
      <c r="W1825" s="722">
        <v>0.8</v>
      </c>
      <c r="X1825" s="722">
        <v>0.55000000000000004</v>
      </c>
      <c r="Y1825" s="722">
        <v>35.950000000000003</v>
      </c>
      <c r="Z1825" s="382" t="s">
        <v>934</v>
      </c>
      <c r="AA1825" s="372">
        <v>726.59176170000001</v>
      </c>
      <c r="AB1825" s="372">
        <v>853.83961429999999</v>
      </c>
      <c r="AC1825" s="372">
        <v>1216.6333691</v>
      </c>
      <c r="AD1825" s="372">
        <v>1359.0187874999999</v>
      </c>
      <c r="AE1825" s="372">
        <v>0</v>
      </c>
      <c r="AF1825" s="372">
        <v>0</v>
      </c>
      <c r="AG1825" s="372">
        <v>0</v>
      </c>
      <c r="AH1825" s="372">
        <v>0</v>
      </c>
    </row>
    <row r="1826" spans="1:34">
      <c r="A1826" s="372" t="s">
        <v>12009</v>
      </c>
      <c r="B1826" s="373" t="s">
        <v>12010</v>
      </c>
      <c r="C1826" s="372" t="s">
        <v>12011</v>
      </c>
      <c r="D1826" s="374">
        <v>1801110000777</v>
      </c>
      <c r="E1826" s="372" t="s">
        <v>12012</v>
      </c>
      <c r="F1826" s="372" t="s">
        <v>2368</v>
      </c>
      <c r="G1826" s="375" t="s">
        <v>2368</v>
      </c>
      <c r="H1826" s="375" t="s">
        <v>817</v>
      </c>
      <c r="I1826" s="375" t="s">
        <v>755</v>
      </c>
      <c r="J1826" s="375">
        <v>291095.08661</v>
      </c>
      <c r="K1826" s="375">
        <v>24261.853620000002</v>
      </c>
      <c r="L1826" s="375">
        <v>22354.661700000001</v>
      </c>
      <c r="M1826" s="375">
        <v>218202.18697000001</v>
      </c>
      <c r="N1826" s="372">
        <v>0.96099999999999997</v>
      </c>
      <c r="O1826" s="703">
        <v>137.48337504528988</v>
      </c>
      <c r="P1826" s="375" t="s">
        <v>623</v>
      </c>
      <c r="Q1826" s="375" t="s">
        <v>623</v>
      </c>
      <c r="R1826" s="695">
        <v>20130515</v>
      </c>
      <c r="S1826" s="375" t="s">
        <v>12013</v>
      </c>
      <c r="T1826" s="696">
        <v>0.23100000000000001</v>
      </c>
      <c r="U1826" s="372" t="s">
        <v>12014</v>
      </c>
      <c r="V1826" s="722">
        <v>3.83</v>
      </c>
      <c r="W1826" s="722">
        <v>0.32</v>
      </c>
      <c r="X1826" s="722">
        <v>0.24</v>
      </c>
      <c r="Y1826" s="722">
        <v>3.95</v>
      </c>
      <c r="Z1826" s="382" t="s">
        <v>934</v>
      </c>
      <c r="AA1826" s="372">
        <v>2309.7985425000002</v>
      </c>
      <c r="AB1826" s="372">
        <v>2724.1765171000002</v>
      </c>
      <c r="AC1826" s="372">
        <v>3674.5683623</v>
      </c>
      <c r="AD1826" s="372">
        <v>2910.9508661</v>
      </c>
      <c r="AE1826" s="372">
        <v>0</v>
      </c>
      <c r="AF1826" s="372">
        <v>0</v>
      </c>
      <c r="AG1826" s="372">
        <v>0</v>
      </c>
      <c r="AH1826" s="372">
        <v>0</v>
      </c>
    </row>
    <row r="1827" spans="1:34">
      <c r="A1827" s="372" t="s">
        <v>12015</v>
      </c>
      <c r="B1827" s="373" t="s">
        <v>12016</v>
      </c>
      <c r="C1827" s="372" t="s">
        <v>12017</v>
      </c>
      <c r="D1827" s="374">
        <v>1101110086599</v>
      </c>
      <c r="E1827" s="372" t="s">
        <v>12018</v>
      </c>
      <c r="F1827" s="375" t="s">
        <v>4141</v>
      </c>
      <c r="G1827" s="375" t="s">
        <v>4142</v>
      </c>
      <c r="H1827" s="375" t="s">
        <v>832</v>
      </c>
      <c r="I1827" s="375" t="s">
        <v>755</v>
      </c>
      <c r="J1827" s="375">
        <v>114718.15832</v>
      </c>
      <c r="K1827" s="375">
        <v>-5582.0692799999997</v>
      </c>
      <c r="L1827" s="375">
        <v>-7320.6582600000002</v>
      </c>
      <c r="M1827" s="375">
        <v>52284.944060000002</v>
      </c>
      <c r="N1827" s="372">
        <v>0.95</v>
      </c>
      <c r="O1827" s="703">
        <v>56.626464036627802</v>
      </c>
      <c r="P1827" s="375" t="s">
        <v>623</v>
      </c>
      <c r="Q1827" s="372" t="s">
        <v>623</v>
      </c>
      <c r="R1827" s="695">
        <v>19761228</v>
      </c>
      <c r="S1827" s="372" t="s">
        <v>12019</v>
      </c>
      <c r="T1827" s="696" t="s">
        <v>772</v>
      </c>
      <c r="U1827" s="372" t="s">
        <v>12020</v>
      </c>
      <c r="V1827" s="722">
        <v>0</v>
      </c>
      <c r="W1827" s="722">
        <v>1.39</v>
      </c>
      <c r="X1827" s="722">
        <v>0</v>
      </c>
      <c r="Y1827" s="722">
        <v>0</v>
      </c>
      <c r="Z1827" s="382" t="s">
        <v>934</v>
      </c>
      <c r="AA1827" s="372">
        <v>736.54579179999996</v>
      </c>
      <c r="AB1827" s="372">
        <v>845.9751536</v>
      </c>
      <c r="AC1827" s="372">
        <v>1485.5491783</v>
      </c>
      <c r="AD1827" s="372">
        <v>1147.1815832</v>
      </c>
      <c r="AE1827" s="372">
        <v>0</v>
      </c>
      <c r="AF1827" s="372">
        <v>0</v>
      </c>
      <c r="AG1827" s="372">
        <v>0</v>
      </c>
      <c r="AH1827" s="372">
        <v>0</v>
      </c>
    </row>
    <row r="1828" spans="1:34">
      <c r="A1828" s="372" t="s">
        <v>12021</v>
      </c>
      <c r="B1828" s="373" t="s">
        <v>12022</v>
      </c>
      <c r="C1828" s="372" t="s">
        <v>12023</v>
      </c>
      <c r="D1828" s="374">
        <v>1101110134819</v>
      </c>
      <c r="E1828" s="372" t="s">
        <v>12024</v>
      </c>
      <c r="F1828" s="375" t="s">
        <v>622</v>
      </c>
      <c r="G1828" s="375" t="s">
        <v>622</v>
      </c>
      <c r="H1828" s="375" t="s">
        <v>754</v>
      </c>
      <c r="I1828" s="375" t="s">
        <v>755</v>
      </c>
      <c r="J1828" s="375">
        <v>0</v>
      </c>
      <c r="K1828" s="375">
        <v>0</v>
      </c>
      <c r="L1828" s="375">
        <v>0</v>
      </c>
      <c r="M1828" s="375">
        <v>0</v>
      </c>
      <c r="N1828" s="372">
        <v>0.76600000000000001</v>
      </c>
      <c r="O1828" s="703">
        <v>0</v>
      </c>
      <c r="P1828" s="375" t="s">
        <v>623</v>
      </c>
      <c r="Q1828" s="372" t="s">
        <v>16145</v>
      </c>
      <c r="R1828" s="695">
        <v>19900605</v>
      </c>
      <c r="S1828" s="372" t="s">
        <v>12025</v>
      </c>
      <c r="T1828" s="696" t="s">
        <v>772</v>
      </c>
      <c r="U1828" s="372" t="s">
        <v>12026</v>
      </c>
      <c r="V1828" s="722">
        <v>0</v>
      </c>
      <c r="W1828" s="722">
        <v>0</v>
      </c>
      <c r="X1828" s="722">
        <v>0</v>
      </c>
      <c r="Y1828" s="722">
        <v>0</v>
      </c>
      <c r="Z1828" s="382" t="s">
        <v>774</v>
      </c>
      <c r="AA1828" s="372">
        <v>398.06759260000001</v>
      </c>
      <c r="AB1828" s="372">
        <v>436.21572190000001</v>
      </c>
      <c r="AC1828" s="372">
        <v>412.82867440000001</v>
      </c>
      <c r="AD1828" s="372">
        <v>0</v>
      </c>
      <c r="AE1828" s="372">
        <v>0</v>
      </c>
      <c r="AF1828" s="372">
        <v>0</v>
      </c>
      <c r="AG1828" s="372">
        <v>0</v>
      </c>
      <c r="AH1828" s="372">
        <v>0</v>
      </c>
    </row>
    <row r="1829" spans="1:34">
      <c r="A1829" s="372" t="s">
        <v>12027</v>
      </c>
      <c r="B1829" s="373" t="s">
        <v>12028</v>
      </c>
      <c r="C1829" s="372" t="s">
        <v>12029</v>
      </c>
      <c r="D1829" s="374">
        <v>1101114690768</v>
      </c>
      <c r="E1829" s="372" t="s">
        <v>12030</v>
      </c>
      <c r="F1829" s="375" t="s">
        <v>1062</v>
      </c>
      <c r="G1829" s="375" t="s">
        <v>1062</v>
      </c>
      <c r="H1829" s="375" t="s">
        <v>868</v>
      </c>
      <c r="I1829" s="375" t="s">
        <v>869</v>
      </c>
      <c r="J1829" s="375">
        <v>2600.3176600000002</v>
      </c>
      <c r="K1829" s="375">
        <v>-11158.54531</v>
      </c>
      <c r="L1829" s="375">
        <v>-20294.699260000001</v>
      </c>
      <c r="M1829" s="375">
        <v>12003.30435</v>
      </c>
      <c r="N1829" s="372">
        <v>0.93600000000000005</v>
      </c>
      <c r="O1829" s="703">
        <v>37.22501273749009</v>
      </c>
      <c r="P1829" s="375" t="s">
        <v>623</v>
      </c>
      <c r="Q1829" s="372" t="s">
        <v>623</v>
      </c>
      <c r="R1829" s="695">
        <v>20151027</v>
      </c>
      <c r="S1829" s="372" t="s">
        <v>12031</v>
      </c>
      <c r="T1829" s="696" t="s">
        <v>772</v>
      </c>
      <c r="U1829" s="372" t="s">
        <v>12032</v>
      </c>
      <c r="V1829" s="722" t="s">
        <v>774</v>
      </c>
      <c r="W1829" s="722">
        <v>6.14</v>
      </c>
      <c r="X1829" s="722">
        <v>27.98</v>
      </c>
      <c r="Y1829" s="722" t="s">
        <v>774</v>
      </c>
      <c r="Z1829" s="382" t="s">
        <v>934</v>
      </c>
      <c r="AA1829" s="372">
        <v>15.7199162</v>
      </c>
      <c r="AB1829" s="372">
        <v>30.469458800000002</v>
      </c>
      <c r="AC1829" s="372">
        <v>25.5948718</v>
      </c>
      <c r="AD1829" s="372">
        <v>26.0031766</v>
      </c>
      <c r="AE1829" s="372">
        <v>0</v>
      </c>
      <c r="AF1829" s="372">
        <v>0</v>
      </c>
      <c r="AG1829" s="372">
        <v>0</v>
      </c>
      <c r="AH1829" s="372">
        <v>0</v>
      </c>
    </row>
    <row r="1830" spans="1:34">
      <c r="A1830" s="372" t="s">
        <v>12033</v>
      </c>
      <c r="B1830" s="373" t="s">
        <v>12034</v>
      </c>
      <c r="C1830" s="372" t="s">
        <v>12035</v>
      </c>
      <c r="D1830" s="374">
        <v>1101117067138</v>
      </c>
      <c r="E1830" s="372" t="s">
        <v>12036</v>
      </c>
      <c r="F1830" s="375" t="s">
        <v>12037</v>
      </c>
      <c r="G1830" s="375" t="s">
        <v>12037</v>
      </c>
      <c r="H1830" s="375" t="s">
        <v>868</v>
      </c>
      <c r="I1830" s="375" t="s">
        <v>869</v>
      </c>
      <c r="J1830" s="375">
        <v>113654.59873</v>
      </c>
      <c r="K1830" s="375">
        <v>-12167.77173</v>
      </c>
      <c r="L1830" s="375">
        <v>-19857.467530000002</v>
      </c>
      <c r="M1830" s="375">
        <v>22067.40713</v>
      </c>
      <c r="N1830" s="372">
        <v>0.93300000000000005</v>
      </c>
      <c r="O1830" s="703">
        <v>295.01271749418669</v>
      </c>
      <c r="P1830" s="375" t="s">
        <v>623</v>
      </c>
      <c r="Q1830" s="372" t="s">
        <v>16145</v>
      </c>
      <c r="R1830" s="695">
        <v>20190619</v>
      </c>
      <c r="S1830" s="372" t="s">
        <v>12038</v>
      </c>
      <c r="T1830" s="696" t="s">
        <v>772</v>
      </c>
      <c r="U1830" s="372" t="s">
        <v>12039</v>
      </c>
      <c r="V1830" s="722" t="s">
        <v>774</v>
      </c>
      <c r="W1830" s="722">
        <v>4.7300000000000004</v>
      </c>
      <c r="X1830" s="722">
        <v>0.77</v>
      </c>
      <c r="Y1830" s="722" t="s">
        <v>774</v>
      </c>
      <c r="Z1830" s="382" t="s">
        <v>934</v>
      </c>
      <c r="AA1830" s="372">
        <v>982.06042349999996</v>
      </c>
      <c r="AB1830" s="372">
        <v>1154.2766850999999</v>
      </c>
      <c r="AC1830" s="372">
        <v>1456.9135326999999</v>
      </c>
      <c r="AD1830" s="372">
        <v>1136.5459873</v>
      </c>
      <c r="AE1830" s="372">
        <v>1191</v>
      </c>
      <c r="AF1830" s="372">
        <v>1346</v>
      </c>
      <c r="AG1830" s="372">
        <v>0</v>
      </c>
      <c r="AH1830" s="372">
        <v>0</v>
      </c>
    </row>
    <row r="1831" spans="1:34">
      <c r="A1831" s="372" t="s">
        <v>12040</v>
      </c>
      <c r="B1831" s="373" t="s">
        <v>12041</v>
      </c>
      <c r="C1831" s="372" t="s">
        <v>16195</v>
      </c>
      <c r="D1831" s="374">
        <v>1101111407314</v>
      </c>
      <c r="E1831" s="372" t="s">
        <v>16196</v>
      </c>
      <c r="F1831" s="375" t="s">
        <v>5824</v>
      </c>
      <c r="G1831" s="375" t="s">
        <v>5824</v>
      </c>
      <c r="H1831" s="375" t="s">
        <v>1693</v>
      </c>
      <c r="I1831" s="375" t="s">
        <v>869</v>
      </c>
      <c r="J1831" s="375">
        <v>9756.2178399999993</v>
      </c>
      <c r="K1831" s="375">
        <v>-3734.7252100000001</v>
      </c>
      <c r="L1831" s="375">
        <v>-13494.1947</v>
      </c>
      <c r="M1831" s="375">
        <v>32188.39777</v>
      </c>
      <c r="N1831" s="372">
        <v>0.90100000000000002</v>
      </c>
      <c r="O1831" s="703">
        <v>12.337700025962556</v>
      </c>
      <c r="P1831" s="375" t="s">
        <v>623</v>
      </c>
      <c r="Q1831" s="375" t="s">
        <v>623</v>
      </c>
      <c r="R1831" s="695">
        <v>20020108</v>
      </c>
      <c r="S1831" s="375" t="s">
        <v>12042</v>
      </c>
      <c r="T1831" s="696" t="s">
        <v>772</v>
      </c>
      <c r="U1831" s="372" t="s">
        <v>12043</v>
      </c>
      <c r="V1831" s="722" t="s">
        <v>774</v>
      </c>
      <c r="W1831" s="722">
        <v>2.02</v>
      </c>
      <c r="X1831" s="722">
        <v>6.69</v>
      </c>
      <c r="Y1831" s="722" t="s">
        <v>774</v>
      </c>
      <c r="Z1831" s="382" t="s">
        <v>934</v>
      </c>
      <c r="AA1831" s="372">
        <v>98.154395199999996</v>
      </c>
      <c r="AB1831" s="372">
        <v>86.353416100000004</v>
      </c>
      <c r="AC1831" s="372">
        <v>97.811708800000005</v>
      </c>
      <c r="AD1831" s="372">
        <v>97.562178399999993</v>
      </c>
      <c r="AE1831" s="372">
        <v>0</v>
      </c>
      <c r="AF1831" s="372">
        <v>0</v>
      </c>
      <c r="AG1831" s="372">
        <v>0</v>
      </c>
      <c r="AH1831" s="372">
        <v>0</v>
      </c>
    </row>
    <row r="1832" spans="1:34">
      <c r="A1832" s="372" t="s">
        <v>12044</v>
      </c>
      <c r="B1832" s="373" t="s">
        <v>12045</v>
      </c>
      <c r="C1832" s="372" t="s">
        <v>12046</v>
      </c>
      <c r="D1832" s="374">
        <v>1101112686024</v>
      </c>
      <c r="E1832" s="372" t="s">
        <v>12047</v>
      </c>
      <c r="F1832" s="375" t="s">
        <v>2509</v>
      </c>
      <c r="G1832" s="375" t="s">
        <v>2510</v>
      </c>
      <c r="H1832" s="375" t="s">
        <v>817</v>
      </c>
      <c r="I1832" s="375" t="s">
        <v>755</v>
      </c>
      <c r="J1832" s="375">
        <v>256655.94667999999</v>
      </c>
      <c r="K1832" s="375">
        <v>3386.28262</v>
      </c>
      <c r="L1832" s="375">
        <v>2112.0884599999999</v>
      </c>
      <c r="M1832" s="375">
        <v>149226.50690000001</v>
      </c>
      <c r="N1832" s="372">
        <v>1.25</v>
      </c>
      <c r="O1832" s="703">
        <v>115.31833880043176</v>
      </c>
      <c r="P1832" s="375" t="s">
        <v>623</v>
      </c>
      <c r="Q1832" s="372" t="s">
        <v>623</v>
      </c>
      <c r="R1832" s="695">
        <v>20030217</v>
      </c>
      <c r="S1832" s="372" t="s">
        <v>12048</v>
      </c>
      <c r="T1832" s="696">
        <v>0.20900000000000002</v>
      </c>
      <c r="U1832" s="372" t="s">
        <v>12049</v>
      </c>
      <c r="V1832" s="722">
        <v>12.91</v>
      </c>
      <c r="W1832" s="722">
        <v>0.44</v>
      </c>
      <c r="X1832" s="722">
        <v>0.26</v>
      </c>
      <c r="Y1832" s="722">
        <v>50.75</v>
      </c>
      <c r="Z1832" s="382" t="s">
        <v>934</v>
      </c>
      <c r="AA1832" s="372">
        <v>1616.8646286000001</v>
      </c>
      <c r="AB1832" s="372">
        <v>2261.5066237999999</v>
      </c>
      <c r="AC1832" s="372">
        <v>3164.1394190000001</v>
      </c>
      <c r="AD1832" s="372">
        <v>2566.5594667999999</v>
      </c>
      <c r="AE1832" s="372">
        <v>0</v>
      </c>
      <c r="AF1832" s="372">
        <v>0</v>
      </c>
      <c r="AG1832" s="372">
        <v>0</v>
      </c>
      <c r="AH1832" s="372">
        <v>0</v>
      </c>
    </row>
    <row r="1833" spans="1:34">
      <c r="A1833" s="372" t="s">
        <v>12050</v>
      </c>
      <c r="B1833" s="373" t="s">
        <v>12051</v>
      </c>
      <c r="C1833" s="372" t="s">
        <v>12052</v>
      </c>
      <c r="D1833" s="374">
        <v>1101110150659</v>
      </c>
      <c r="E1833" s="372" t="s">
        <v>12053</v>
      </c>
      <c r="F1833" s="375" t="s">
        <v>1159</v>
      </c>
      <c r="G1833" s="375" t="s">
        <v>1160</v>
      </c>
      <c r="H1833" s="375" t="s">
        <v>916</v>
      </c>
      <c r="I1833" s="375" t="s">
        <v>755</v>
      </c>
      <c r="J1833" s="375">
        <v>726536.82429999998</v>
      </c>
      <c r="K1833" s="375">
        <v>26257.482899999999</v>
      </c>
      <c r="L1833" s="375">
        <v>25738.48215</v>
      </c>
      <c r="M1833" s="375">
        <v>118416.69046</v>
      </c>
      <c r="N1833" s="372">
        <v>1.03</v>
      </c>
      <c r="O1833" s="703">
        <v>68.588907955815955</v>
      </c>
      <c r="P1833" s="375" t="s">
        <v>623</v>
      </c>
      <c r="Q1833" s="372" t="s">
        <v>623</v>
      </c>
      <c r="R1833" s="695">
        <v>19891113</v>
      </c>
      <c r="S1833" s="372" t="s">
        <v>12054</v>
      </c>
      <c r="T1833" s="696">
        <v>0.23100000000000001</v>
      </c>
      <c r="U1833" s="372" t="s">
        <v>12055</v>
      </c>
      <c r="V1833" s="722">
        <v>1.54</v>
      </c>
      <c r="W1833" s="722">
        <v>0.57999999999999996</v>
      </c>
      <c r="X1833" s="722">
        <v>0.09</v>
      </c>
      <c r="Y1833" s="722">
        <v>3.65</v>
      </c>
      <c r="Z1833" s="382" t="s">
        <v>934</v>
      </c>
      <c r="AA1833" s="372">
        <v>5096.1333335999998</v>
      </c>
      <c r="AB1833" s="372">
        <v>7470.4411368000001</v>
      </c>
      <c r="AC1833" s="372">
        <v>10153.718895600001</v>
      </c>
      <c r="AD1833" s="372">
        <v>7265.3682429999999</v>
      </c>
      <c r="AE1833" s="372">
        <v>0</v>
      </c>
      <c r="AF1833" s="372">
        <v>0</v>
      </c>
      <c r="AG1833" s="372">
        <v>0</v>
      </c>
      <c r="AH1833" s="372">
        <v>0</v>
      </c>
    </row>
    <row r="1834" spans="1:34">
      <c r="A1834" s="372" t="s">
        <v>12056</v>
      </c>
      <c r="B1834" s="373" t="s">
        <v>12057</v>
      </c>
      <c r="C1834" s="372" t="s">
        <v>12058</v>
      </c>
      <c r="D1834" s="374">
        <v>1101110952055</v>
      </c>
      <c r="E1834" s="372" t="s">
        <v>12059</v>
      </c>
      <c r="F1834" s="375" t="s">
        <v>2098</v>
      </c>
      <c r="G1834" s="375" t="s">
        <v>2099</v>
      </c>
      <c r="H1834" s="375" t="s">
        <v>868</v>
      </c>
      <c r="I1834" s="375" t="s">
        <v>869</v>
      </c>
      <c r="J1834" s="375">
        <v>166417.40833999999</v>
      </c>
      <c r="K1834" s="375">
        <v>11022.900659999999</v>
      </c>
      <c r="L1834" s="375">
        <v>13869.19456</v>
      </c>
      <c r="M1834" s="375">
        <v>122812.03455</v>
      </c>
      <c r="N1834" s="372">
        <v>1.0449999999999999</v>
      </c>
      <c r="O1834" s="703">
        <v>5.0740899640028623</v>
      </c>
      <c r="P1834" s="375" t="s">
        <v>623</v>
      </c>
      <c r="Q1834" s="372" t="s">
        <v>623</v>
      </c>
      <c r="R1834" s="695">
        <v>20131002</v>
      </c>
      <c r="S1834" s="375" t="s">
        <v>12060</v>
      </c>
      <c r="T1834" s="696">
        <v>0.20900000000000002</v>
      </c>
      <c r="U1834" s="372" t="s">
        <v>12061</v>
      </c>
      <c r="V1834" s="722">
        <v>5.37</v>
      </c>
      <c r="W1834" s="722">
        <v>0.55000000000000004</v>
      </c>
      <c r="X1834" s="722">
        <v>0.42</v>
      </c>
      <c r="Y1834" s="722">
        <v>6.15</v>
      </c>
      <c r="Z1834" s="382" t="s">
        <v>934</v>
      </c>
      <c r="AA1834" s="372">
        <v>1610.2077572999999</v>
      </c>
      <c r="AB1834" s="372">
        <v>1224.8790838</v>
      </c>
      <c r="AC1834" s="372">
        <v>1485.4639434999999</v>
      </c>
      <c r="AD1834" s="372">
        <v>1664.1740834</v>
      </c>
      <c r="AE1834" s="372">
        <v>0</v>
      </c>
      <c r="AF1834" s="372">
        <v>0</v>
      </c>
      <c r="AG1834" s="372">
        <v>0</v>
      </c>
      <c r="AH1834" s="372">
        <v>0</v>
      </c>
    </row>
    <row r="1835" spans="1:34">
      <c r="A1835" s="372" t="s">
        <v>12062</v>
      </c>
      <c r="B1835" s="373" t="s">
        <v>12063</v>
      </c>
      <c r="C1835" s="372" t="s">
        <v>12064</v>
      </c>
      <c r="D1835" s="374">
        <v>1954110007168</v>
      </c>
      <c r="E1835" s="372" t="s">
        <v>12065</v>
      </c>
      <c r="F1835" s="372" t="s">
        <v>1136</v>
      </c>
      <c r="G1835" s="375" t="s">
        <v>7487</v>
      </c>
      <c r="H1835" s="375" t="s">
        <v>868</v>
      </c>
      <c r="I1835" s="375" t="s">
        <v>869</v>
      </c>
      <c r="J1835" s="375">
        <v>168484.0178</v>
      </c>
      <c r="K1835" s="375">
        <v>-36383.148659999999</v>
      </c>
      <c r="L1835" s="375">
        <v>-40202.909140000003</v>
      </c>
      <c r="M1835" s="375">
        <v>28396.289789999999</v>
      </c>
      <c r="N1835" s="372">
        <v>0.96599999999999997</v>
      </c>
      <c r="O1835" s="703">
        <v>165.60780157161506</v>
      </c>
      <c r="P1835" s="375" t="s">
        <v>623</v>
      </c>
      <c r="Q1835" s="375" t="s">
        <v>623</v>
      </c>
      <c r="R1835" s="695">
        <v>20141224</v>
      </c>
      <c r="S1835" s="375" t="s">
        <v>12066</v>
      </c>
      <c r="T1835" s="696" t="s">
        <v>772</v>
      </c>
      <c r="U1835" s="372" t="s">
        <v>12067</v>
      </c>
      <c r="V1835" s="722" t="s">
        <v>774</v>
      </c>
      <c r="W1835" s="722">
        <v>2.2200000000000002</v>
      </c>
      <c r="X1835" s="722">
        <v>0.36</v>
      </c>
      <c r="Y1835" s="722" t="s">
        <v>774</v>
      </c>
      <c r="Z1835" s="382" t="s">
        <v>934</v>
      </c>
      <c r="AA1835" s="372">
        <v>579.77510099999995</v>
      </c>
      <c r="AB1835" s="372">
        <v>798.84431059999997</v>
      </c>
      <c r="AC1835" s="372">
        <v>1621.2518279000001</v>
      </c>
      <c r="AD1835" s="372">
        <v>1684.8401779999999</v>
      </c>
      <c r="AE1835" s="372">
        <v>0</v>
      </c>
      <c r="AF1835" s="372">
        <v>0</v>
      </c>
      <c r="AG1835" s="372">
        <v>0</v>
      </c>
      <c r="AH1835" s="372">
        <v>0</v>
      </c>
    </row>
    <row r="1836" spans="1:34">
      <c r="A1836" s="372" t="s">
        <v>12068</v>
      </c>
      <c r="B1836" s="373" t="s">
        <v>12069</v>
      </c>
      <c r="C1836" s="372" t="s">
        <v>12070</v>
      </c>
      <c r="D1836" s="374">
        <v>1345110233665</v>
      </c>
      <c r="E1836" s="372" t="s">
        <v>12071</v>
      </c>
      <c r="F1836" s="375" t="s">
        <v>4918</v>
      </c>
      <c r="G1836" s="375" t="s">
        <v>4918</v>
      </c>
      <c r="H1836" s="375" t="s">
        <v>868</v>
      </c>
      <c r="I1836" s="375" t="s">
        <v>869</v>
      </c>
      <c r="J1836" s="375">
        <v>293967.11849999998</v>
      </c>
      <c r="K1836" s="375">
        <v>-13048.229880000001</v>
      </c>
      <c r="L1836" s="375">
        <v>-21124.65209</v>
      </c>
      <c r="M1836" s="375">
        <v>71867.027830000006</v>
      </c>
      <c r="N1836" s="372">
        <v>1.0469999999999999</v>
      </c>
      <c r="O1836" s="703">
        <v>99.779444355541898</v>
      </c>
      <c r="P1836" s="375" t="s">
        <v>623</v>
      </c>
      <c r="Q1836" s="372" t="s">
        <v>623</v>
      </c>
      <c r="R1836" s="695">
        <v>20140602</v>
      </c>
      <c r="S1836" s="372" t="s">
        <v>12072</v>
      </c>
      <c r="T1836" s="696" t="s">
        <v>772</v>
      </c>
      <c r="U1836" s="372" t="s">
        <v>16090</v>
      </c>
      <c r="V1836" s="722">
        <v>8.44</v>
      </c>
      <c r="W1836" s="722">
        <v>0.94</v>
      </c>
      <c r="X1836" s="722">
        <v>0.21</v>
      </c>
      <c r="Y1836" s="722" t="s">
        <v>774</v>
      </c>
      <c r="Z1836" s="382" t="s">
        <v>934</v>
      </c>
      <c r="AA1836" s="372">
        <v>783.29777909999996</v>
      </c>
      <c r="AB1836" s="372">
        <v>1793.2064071</v>
      </c>
      <c r="AC1836" s="372">
        <v>3832.0295678000002</v>
      </c>
      <c r="AD1836" s="372">
        <v>2939.6711850000002</v>
      </c>
      <c r="AE1836" s="372">
        <v>0</v>
      </c>
      <c r="AF1836" s="372">
        <v>0</v>
      </c>
      <c r="AG1836" s="372">
        <v>0</v>
      </c>
      <c r="AH1836" s="372">
        <v>0</v>
      </c>
    </row>
    <row r="1837" spans="1:34">
      <c r="A1837" s="372" t="s">
        <v>12073</v>
      </c>
      <c r="B1837" s="373" t="s">
        <v>12074</v>
      </c>
      <c r="C1837" s="372" t="s">
        <v>12075</v>
      </c>
      <c r="D1837" s="374">
        <v>1101114722917</v>
      </c>
      <c r="E1837" s="372" t="s">
        <v>12076</v>
      </c>
      <c r="F1837" s="375" t="s">
        <v>10698</v>
      </c>
      <c r="G1837" s="375" t="s">
        <v>10698</v>
      </c>
      <c r="H1837" s="375" t="s">
        <v>868</v>
      </c>
      <c r="I1837" s="375" t="s">
        <v>869</v>
      </c>
      <c r="J1837" s="375">
        <v>40895.901210000004</v>
      </c>
      <c r="K1837" s="375">
        <v>5561.7010099999998</v>
      </c>
      <c r="L1837" s="375">
        <v>8873.3749100000005</v>
      </c>
      <c r="M1837" s="375">
        <v>76165.368390000003</v>
      </c>
      <c r="N1837" s="372">
        <v>1.07</v>
      </c>
      <c r="O1837" s="703">
        <v>0.14608508454074534</v>
      </c>
      <c r="P1837" s="375" t="s">
        <v>623</v>
      </c>
      <c r="Q1837" s="375" t="s">
        <v>623</v>
      </c>
      <c r="R1837" s="695">
        <v>20120213</v>
      </c>
      <c r="S1837" s="375" t="s">
        <v>12077</v>
      </c>
      <c r="T1837" s="696">
        <v>0.20900000000000002</v>
      </c>
      <c r="U1837" s="372" t="s">
        <v>12078</v>
      </c>
      <c r="V1837" s="722">
        <v>0</v>
      </c>
      <c r="W1837" s="722">
        <v>0.91</v>
      </c>
      <c r="X1837" s="722">
        <v>0</v>
      </c>
      <c r="Y1837" s="722">
        <v>0</v>
      </c>
      <c r="Z1837" s="382" t="s">
        <v>934</v>
      </c>
      <c r="AA1837" s="372">
        <v>265.6607879</v>
      </c>
      <c r="AB1837" s="372">
        <v>374.15966090000001</v>
      </c>
      <c r="AC1837" s="372">
        <v>593.07568560000004</v>
      </c>
      <c r="AD1837" s="372">
        <v>408.9590121</v>
      </c>
      <c r="AE1837" s="372">
        <v>0</v>
      </c>
      <c r="AF1837" s="372">
        <v>0</v>
      </c>
      <c r="AG1837" s="372">
        <v>0</v>
      </c>
      <c r="AH1837" s="372">
        <v>0</v>
      </c>
    </row>
    <row r="1838" spans="1:34">
      <c r="A1838" s="372" t="s">
        <v>12079</v>
      </c>
      <c r="B1838" s="373" t="s">
        <v>12080</v>
      </c>
      <c r="C1838" s="372" t="s">
        <v>12081</v>
      </c>
      <c r="D1838" s="374">
        <v>1701110309329</v>
      </c>
      <c r="E1838" s="372" t="s">
        <v>12082</v>
      </c>
      <c r="F1838" s="375" t="s">
        <v>1881</v>
      </c>
      <c r="G1838" s="375" t="s">
        <v>1882</v>
      </c>
      <c r="H1838" s="375" t="s">
        <v>797</v>
      </c>
      <c r="I1838" s="375" t="s">
        <v>755</v>
      </c>
      <c r="J1838" s="375">
        <v>564038.96440000006</v>
      </c>
      <c r="K1838" s="375">
        <v>9937.6170000000002</v>
      </c>
      <c r="L1838" s="375">
        <v>4210.92353</v>
      </c>
      <c r="M1838" s="375">
        <v>43366.110639999999</v>
      </c>
      <c r="N1838" s="372">
        <v>1.2649999999999999</v>
      </c>
      <c r="O1838" s="703">
        <v>123.78661328447771</v>
      </c>
      <c r="P1838" s="375" t="s">
        <v>623</v>
      </c>
      <c r="Q1838" s="375" t="s">
        <v>623</v>
      </c>
      <c r="R1838" s="695">
        <v>20060602</v>
      </c>
      <c r="S1838" s="375" t="s">
        <v>12083</v>
      </c>
      <c r="T1838" s="696">
        <v>0.20900000000000002</v>
      </c>
      <c r="U1838" s="375" t="s">
        <v>12084</v>
      </c>
      <c r="V1838" s="722">
        <v>5.45</v>
      </c>
      <c r="W1838" s="722">
        <v>1.68</v>
      </c>
      <c r="X1838" s="722">
        <v>0.13</v>
      </c>
      <c r="Y1838" s="722">
        <v>20.059999999999999</v>
      </c>
      <c r="Z1838" s="382" t="s">
        <v>934</v>
      </c>
      <c r="AA1838" s="372">
        <v>3385.8104337999998</v>
      </c>
      <c r="AB1838" s="372">
        <v>4241.2346625</v>
      </c>
      <c r="AC1838" s="372">
        <v>5199.3224682</v>
      </c>
      <c r="AD1838" s="372">
        <v>5640.3896439999999</v>
      </c>
      <c r="AE1838" s="372">
        <v>0</v>
      </c>
      <c r="AF1838" s="372">
        <v>0</v>
      </c>
      <c r="AG1838" s="372">
        <v>0</v>
      </c>
      <c r="AH1838" s="372">
        <v>0</v>
      </c>
    </row>
    <row r="1839" spans="1:34">
      <c r="A1839" s="372" t="s">
        <v>12085</v>
      </c>
      <c r="B1839" s="373" t="s">
        <v>12086</v>
      </c>
      <c r="C1839" s="372" t="s">
        <v>12087</v>
      </c>
      <c r="D1839" s="374">
        <v>1101111833486</v>
      </c>
      <c r="E1839" s="372" t="s">
        <v>12088</v>
      </c>
      <c r="F1839" s="375" t="s">
        <v>1368</v>
      </c>
      <c r="G1839" s="375" t="s">
        <v>1368</v>
      </c>
      <c r="H1839" s="375" t="s">
        <v>868</v>
      </c>
      <c r="I1839" s="375" t="s">
        <v>869</v>
      </c>
      <c r="J1839" s="375">
        <v>49519.154759999998</v>
      </c>
      <c r="K1839" s="375">
        <v>-9321.6437100000003</v>
      </c>
      <c r="L1839" s="375">
        <v>-41896.628550000001</v>
      </c>
      <c r="M1839" s="375">
        <v>151189.51986999999</v>
      </c>
      <c r="N1839" s="372">
        <v>1.4510000000000001</v>
      </c>
      <c r="O1839" s="703">
        <v>62.809699370705438</v>
      </c>
      <c r="P1839" s="375" t="s">
        <v>623</v>
      </c>
      <c r="Q1839" s="372" t="s">
        <v>623</v>
      </c>
      <c r="R1839" s="695">
        <v>20020621</v>
      </c>
      <c r="S1839" s="372" t="s">
        <v>12089</v>
      </c>
      <c r="T1839" s="696" t="s">
        <v>772</v>
      </c>
      <c r="U1839" s="372" t="s">
        <v>16091</v>
      </c>
      <c r="V1839" s="722" t="s">
        <v>774</v>
      </c>
      <c r="W1839" s="722">
        <v>0.73</v>
      </c>
      <c r="X1839" s="722">
        <v>1.39</v>
      </c>
      <c r="Y1839" s="722" t="s">
        <v>774</v>
      </c>
      <c r="Z1839" s="382" t="s">
        <v>934</v>
      </c>
      <c r="AA1839" s="372">
        <v>299.28991559999997</v>
      </c>
      <c r="AB1839" s="372">
        <v>293.25732540000001</v>
      </c>
      <c r="AC1839" s="372">
        <v>401.23713029999999</v>
      </c>
      <c r="AD1839" s="372">
        <v>495.19154759999998</v>
      </c>
      <c r="AE1839" s="372">
        <v>0</v>
      </c>
      <c r="AF1839" s="372">
        <v>0</v>
      </c>
      <c r="AG1839" s="372">
        <v>0</v>
      </c>
      <c r="AH1839" s="372">
        <v>0</v>
      </c>
    </row>
    <row r="1840" spans="1:34">
      <c r="A1840" s="372" t="s">
        <v>12090</v>
      </c>
      <c r="B1840" s="373" t="s">
        <v>12091</v>
      </c>
      <c r="C1840" s="372" t="s">
        <v>12092</v>
      </c>
      <c r="D1840" s="374">
        <v>1201110127961</v>
      </c>
      <c r="E1840" s="372" t="s">
        <v>12093</v>
      </c>
      <c r="F1840" s="375" t="s">
        <v>2535</v>
      </c>
      <c r="G1840" s="375" t="s">
        <v>2535</v>
      </c>
      <c r="H1840" s="375" t="s">
        <v>868</v>
      </c>
      <c r="I1840" s="375" t="s">
        <v>869</v>
      </c>
      <c r="J1840" s="375">
        <v>0</v>
      </c>
      <c r="K1840" s="375">
        <v>0</v>
      </c>
      <c r="L1840" s="375">
        <v>0</v>
      </c>
      <c r="M1840" s="375">
        <v>41111.073259999997</v>
      </c>
      <c r="N1840" s="372" t="s">
        <v>1033</v>
      </c>
      <c r="O1840" s="703">
        <v>7.8219614892610938</v>
      </c>
      <c r="P1840" s="375" t="s">
        <v>623</v>
      </c>
      <c r="Q1840" s="375" t="s">
        <v>623</v>
      </c>
      <c r="R1840" s="695">
        <v>20230601</v>
      </c>
      <c r="S1840" s="375" t="s">
        <v>12094</v>
      </c>
      <c r="T1840" s="696" t="s">
        <v>772</v>
      </c>
      <c r="U1840" s="372" t="s">
        <v>12095</v>
      </c>
      <c r="V1840" s="722">
        <v>0</v>
      </c>
      <c r="W1840" s="722">
        <v>1.62</v>
      </c>
      <c r="X1840" s="722">
        <v>0</v>
      </c>
      <c r="Y1840" s="722">
        <v>0</v>
      </c>
      <c r="Z1840" s="382" t="s">
        <v>934</v>
      </c>
      <c r="AA1840" s="372">
        <v>354.8515835</v>
      </c>
      <c r="AB1840" s="372">
        <v>592.649359</v>
      </c>
      <c r="AC1840" s="372">
        <v>481.11617669999998</v>
      </c>
      <c r="AD1840" s="372">
        <v>309.03076750000002</v>
      </c>
      <c r="AE1840" s="372">
        <v>0</v>
      </c>
      <c r="AF1840" s="372">
        <v>0</v>
      </c>
      <c r="AG1840" s="372">
        <v>0</v>
      </c>
      <c r="AH1840" s="372">
        <v>0</v>
      </c>
    </row>
    <row r="1841" spans="1:34">
      <c r="A1841" s="372" t="s">
        <v>12096</v>
      </c>
      <c r="B1841" s="373" t="s">
        <v>12097</v>
      </c>
      <c r="C1841" s="372" t="s">
        <v>12098</v>
      </c>
      <c r="D1841" s="374">
        <v>1201110002212</v>
      </c>
      <c r="E1841" s="372" t="s">
        <v>12099</v>
      </c>
      <c r="F1841" s="375" t="s">
        <v>2771</v>
      </c>
      <c r="G1841" s="375" t="s">
        <v>2772</v>
      </c>
      <c r="H1841" s="375" t="s">
        <v>817</v>
      </c>
      <c r="I1841" s="375" t="s">
        <v>755</v>
      </c>
      <c r="J1841" s="375">
        <v>200969.62851000001</v>
      </c>
      <c r="K1841" s="375">
        <v>-2500.2371600000001</v>
      </c>
      <c r="L1841" s="375">
        <v>-19435.71182</v>
      </c>
      <c r="M1841" s="375">
        <v>97745.705109999995</v>
      </c>
      <c r="N1841" s="372">
        <v>1.19</v>
      </c>
      <c r="O1841" s="703">
        <v>43.723590041153052</v>
      </c>
      <c r="P1841" s="375" t="s">
        <v>623</v>
      </c>
      <c r="Q1841" s="375" t="s">
        <v>623</v>
      </c>
      <c r="R1841" s="695">
        <v>19940429</v>
      </c>
      <c r="S1841" s="375" t="s">
        <v>12100</v>
      </c>
      <c r="T1841" s="696" t="s">
        <v>772</v>
      </c>
      <c r="U1841" s="372" t="s">
        <v>12101</v>
      </c>
      <c r="V1841" s="722">
        <v>9.69</v>
      </c>
      <c r="W1841" s="722">
        <v>0.57999999999999996</v>
      </c>
      <c r="X1841" s="722">
        <v>0.28000000000000003</v>
      </c>
      <c r="Y1841" s="722" t="s">
        <v>774</v>
      </c>
      <c r="Z1841" s="382" t="s">
        <v>934</v>
      </c>
      <c r="AA1841" s="372">
        <v>1404.9548388999999</v>
      </c>
      <c r="AB1841" s="372">
        <v>2034.2390163</v>
      </c>
      <c r="AC1841" s="372">
        <v>2549.6764929000001</v>
      </c>
      <c r="AD1841" s="372">
        <v>2009.6962851000001</v>
      </c>
      <c r="AE1841" s="372">
        <v>0</v>
      </c>
      <c r="AF1841" s="372">
        <v>0</v>
      </c>
      <c r="AG1841" s="372">
        <v>0</v>
      </c>
      <c r="AH1841" s="372">
        <v>0</v>
      </c>
    </row>
    <row r="1842" spans="1:34">
      <c r="A1842" s="372" t="s">
        <v>12102</v>
      </c>
      <c r="B1842" s="373" t="s">
        <v>12103</v>
      </c>
      <c r="C1842" s="372" t="s">
        <v>12104</v>
      </c>
      <c r="D1842" s="374">
        <v>1101116471554</v>
      </c>
      <c r="E1842" s="372" t="s">
        <v>12105</v>
      </c>
      <c r="F1842" s="372" t="s">
        <v>2245</v>
      </c>
      <c r="G1842" s="375" t="s">
        <v>2245</v>
      </c>
      <c r="H1842" s="375" t="s">
        <v>868</v>
      </c>
      <c r="I1842" s="375" t="s">
        <v>869</v>
      </c>
      <c r="J1842" s="375">
        <v>37300.346740000001</v>
      </c>
      <c r="K1842" s="375">
        <v>5741.48866</v>
      </c>
      <c r="L1842" s="375">
        <v>6213.8415199999999</v>
      </c>
      <c r="M1842" s="375">
        <v>65956.19081</v>
      </c>
      <c r="N1842" s="372">
        <v>0.77900000000000003</v>
      </c>
      <c r="O1842" s="703">
        <v>28.930709101411907</v>
      </c>
      <c r="P1842" s="375" t="s">
        <v>623</v>
      </c>
      <c r="Q1842" s="372" t="s">
        <v>623</v>
      </c>
      <c r="R1842" s="695">
        <v>20170929</v>
      </c>
      <c r="S1842" s="372" t="s">
        <v>12106</v>
      </c>
      <c r="T1842" s="696">
        <v>0.20900000000000002</v>
      </c>
      <c r="U1842" s="372" t="s">
        <v>12107</v>
      </c>
      <c r="V1842" s="722">
        <v>9.1999999999999993</v>
      </c>
      <c r="W1842" s="722">
        <v>1.08</v>
      </c>
      <c r="X1842" s="722">
        <v>1.9</v>
      </c>
      <c r="Y1842" s="722">
        <v>14.26</v>
      </c>
      <c r="Z1842" s="382" t="s">
        <v>934</v>
      </c>
      <c r="AA1842" s="372">
        <v>304.64515490000002</v>
      </c>
      <c r="AB1842" s="372">
        <v>383.07595789999999</v>
      </c>
      <c r="AC1842" s="372">
        <v>335.37795920000002</v>
      </c>
      <c r="AD1842" s="372">
        <v>373.00346739999998</v>
      </c>
      <c r="AE1842" s="372">
        <v>0</v>
      </c>
      <c r="AF1842" s="372">
        <v>0</v>
      </c>
      <c r="AG1842" s="372">
        <v>0</v>
      </c>
      <c r="AH1842" s="372">
        <v>0</v>
      </c>
    </row>
    <row r="1843" spans="1:34">
      <c r="A1843" s="372" t="s">
        <v>12108</v>
      </c>
      <c r="B1843" s="373" t="s">
        <v>12109</v>
      </c>
      <c r="C1843" s="372" t="s">
        <v>12110</v>
      </c>
      <c r="D1843" s="374">
        <v>1311110248194</v>
      </c>
      <c r="E1843" s="372" t="s">
        <v>12111</v>
      </c>
      <c r="F1843" s="375" t="s">
        <v>1259</v>
      </c>
      <c r="G1843" s="375" t="s">
        <v>1259</v>
      </c>
      <c r="H1843" s="375" t="s">
        <v>868</v>
      </c>
      <c r="I1843" s="375" t="s">
        <v>869</v>
      </c>
      <c r="J1843" s="375">
        <v>7315.1253699999997</v>
      </c>
      <c r="K1843" s="375">
        <v>-4225.4970499999999</v>
      </c>
      <c r="L1843" s="375">
        <v>-4441.40542</v>
      </c>
      <c r="M1843" s="375">
        <v>12565.97783</v>
      </c>
      <c r="N1843" s="372">
        <v>0.97099999999999997</v>
      </c>
      <c r="O1843" s="703">
        <v>2.8195453546482381</v>
      </c>
      <c r="P1843" s="375" t="s">
        <v>623</v>
      </c>
      <c r="Q1843" s="372" t="s">
        <v>623</v>
      </c>
      <c r="R1843" s="695">
        <v>20160311</v>
      </c>
      <c r="S1843" s="372" t="s">
        <v>12112</v>
      </c>
      <c r="T1843" s="696" t="s">
        <v>772</v>
      </c>
      <c r="U1843" s="372" t="s">
        <v>12113</v>
      </c>
      <c r="V1843" s="722">
        <v>0</v>
      </c>
      <c r="W1843" s="722">
        <v>5.85</v>
      </c>
      <c r="X1843" s="722">
        <v>0</v>
      </c>
      <c r="Y1843" s="722">
        <v>0</v>
      </c>
      <c r="Z1843" s="382" t="s">
        <v>934</v>
      </c>
      <c r="AA1843" s="372">
        <v>61.9115471</v>
      </c>
      <c r="AB1843" s="372">
        <v>79.355649099999994</v>
      </c>
      <c r="AC1843" s="372">
        <v>65.006579599999995</v>
      </c>
      <c r="AD1843" s="372">
        <v>73.151253699999998</v>
      </c>
      <c r="AE1843" s="372">
        <v>0</v>
      </c>
      <c r="AF1843" s="372">
        <v>0</v>
      </c>
      <c r="AG1843" s="372">
        <v>0</v>
      </c>
      <c r="AH1843" s="372">
        <v>0</v>
      </c>
    </row>
    <row r="1844" spans="1:34">
      <c r="A1844" s="372" t="s">
        <v>12114</v>
      </c>
      <c r="B1844" s="373" t="s">
        <v>12115</v>
      </c>
      <c r="C1844" s="372" t="s">
        <v>12116</v>
      </c>
      <c r="D1844" s="374">
        <v>1101110155683</v>
      </c>
      <c r="E1844" s="372" t="s">
        <v>12117</v>
      </c>
      <c r="F1844" s="375" t="s">
        <v>900</v>
      </c>
      <c r="G1844" s="375" t="s">
        <v>901</v>
      </c>
      <c r="H1844" s="375" t="s">
        <v>862</v>
      </c>
      <c r="I1844" s="375" t="s">
        <v>755</v>
      </c>
      <c r="J1844" s="375">
        <v>698466.59365000005</v>
      </c>
      <c r="K1844" s="375">
        <v>-29862.667000000001</v>
      </c>
      <c r="L1844" s="375">
        <v>-55950.2863</v>
      </c>
      <c r="M1844" s="375">
        <v>215147.01276000001</v>
      </c>
      <c r="N1844" s="372">
        <v>0.71</v>
      </c>
      <c r="O1844" s="703">
        <v>567.07364562357645</v>
      </c>
      <c r="P1844" s="375" t="s">
        <v>623</v>
      </c>
      <c r="Q1844" s="372" t="s">
        <v>623</v>
      </c>
      <c r="R1844" s="695">
        <v>19941105</v>
      </c>
      <c r="S1844" s="372" t="s">
        <v>16092</v>
      </c>
      <c r="T1844" s="696" t="s">
        <v>772</v>
      </c>
      <c r="U1844" s="372" t="s">
        <v>12118</v>
      </c>
      <c r="V1844" s="722" t="s">
        <v>774</v>
      </c>
      <c r="W1844" s="722">
        <v>0.54</v>
      </c>
      <c r="X1844" s="722">
        <v>0.11</v>
      </c>
      <c r="Y1844" s="722" t="s">
        <v>774</v>
      </c>
      <c r="Z1844" s="382" t="s">
        <v>934</v>
      </c>
      <c r="AA1844" s="372">
        <v>6804.4818183999996</v>
      </c>
      <c r="AB1844" s="372">
        <v>6126.7662099999998</v>
      </c>
      <c r="AC1844" s="372">
        <v>6433.5445824999997</v>
      </c>
      <c r="AD1844" s="372">
        <v>6984.6659364999996</v>
      </c>
      <c r="AE1844" s="372">
        <v>0</v>
      </c>
      <c r="AF1844" s="372">
        <v>0</v>
      </c>
      <c r="AG1844" s="372">
        <v>0</v>
      </c>
      <c r="AH1844" s="372">
        <v>0</v>
      </c>
    </row>
    <row r="1845" spans="1:34">
      <c r="A1845" s="372" t="s">
        <v>12119</v>
      </c>
      <c r="B1845" s="373" t="s">
        <v>12120</v>
      </c>
      <c r="C1845" s="372" t="s">
        <v>12121</v>
      </c>
      <c r="D1845" s="374">
        <v>1101112606171</v>
      </c>
      <c r="E1845" s="372" t="s">
        <v>12122</v>
      </c>
      <c r="F1845" s="375" t="s">
        <v>1062</v>
      </c>
      <c r="G1845" s="375" t="s">
        <v>1062</v>
      </c>
      <c r="H1845" s="375" t="s">
        <v>868</v>
      </c>
      <c r="I1845" s="375" t="s">
        <v>869</v>
      </c>
      <c r="J1845" s="375">
        <v>4452.8582200000001</v>
      </c>
      <c r="K1845" s="375">
        <v>-15247.51096</v>
      </c>
      <c r="L1845" s="375">
        <v>-17382.29018</v>
      </c>
      <c r="M1845" s="375">
        <v>19663.884119999999</v>
      </c>
      <c r="N1845" s="372">
        <v>0.82199999999999995</v>
      </c>
      <c r="O1845" s="703">
        <v>4.5050182105452556</v>
      </c>
      <c r="P1845" s="375" t="s">
        <v>623</v>
      </c>
      <c r="Q1845" s="375" t="s">
        <v>623</v>
      </c>
      <c r="R1845" s="695">
        <v>20201019</v>
      </c>
      <c r="S1845" s="375" t="s">
        <v>12123</v>
      </c>
      <c r="T1845" s="696" t="s">
        <v>772</v>
      </c>
      <c r="U1845" s="372" t="s">
        <v>12124</v>
      </c>
      <c r="V1845" s="722" t="s">
        <v>774</v>
      </c>
      <c r="W1845" s="722">
        <v>3.49</v>
      </c>
      <c r="X1845" s="722">
        <v>11.91</v>
      </c>
      <c r="Y1845" s="722" t="s">
        <v>774</v>
      </c>
      <c r="Z1845" s="382" t="s">
        <v>934</v>
      </c>
      <c r="AA1845" s="372">
        <v>5.0785095</v>
      </c>
      <c r="AB1845" s="372">
        <v>5.7708349999999999</v>
      </c>
      <c r="AC1845" s="372">
        <v>44.448335800000002</v>
      </c>
      <c r="AD1845" s="372">
        <v>44.528582200000002</v>
      </c>
      <c r="AE1845" s="372">
        <v>200</v>
      </c>
      <c r="AF1845" s="372">
        <v>0</v>
      </c>
      <c r="AG1845" s="372">
        <v>0</v>
      </c>
      <c r="AH1845" s="372">
        <v>0</v>
      </c>
    </row>
    <row r="1846" spans="1:34">
      <c r="A1846" s="372" t="s">
        <v>12125</v>
      </c>
      <c r="B1846" s="373" t="s">
        <v>12126</v>
      </c>
      <c r="C1846" s="372" t="s">
        <v>12127</v>
      </c>
      <c r="D1846" s="374">
        <v>1801110132801</v>
      </c>
      <c r="E1846" s="372" t="s">
        <v>12128</v>
      </c>
      <c r="F1846" s="372" t="s">
        <v>1069</v>
      </c>
      <c r="G1846" s="375" t="s">
        <v>1069</v>
      </c>
      <c r="H1846" s="375" t="s">
        <v>1388</v>
      </c>
      <c r="I1846" s="375" t="s">
        <v>869</v>
      </c>
      <c r="J1846" s="375">
        <v>190968.43134000001</v>
      </c>
      <c r="K1846" s="375">
        <v>6785.5233200000002</v>
      </c>
      <c r="L1846" s="375">
        <v>1867.9086500000001</v>
      </c>
      <c r="M1846" s="375">
        <v>182872.66286000001</v>
      </c>
      <c r="N1846" s="372">
        <v>1.153</v>
      </c>
      <c r="O1846" s="703">
        <v>58.345015985004586</v>
      </c>
      <c r="P1846" s="375" t="s">
        <v>623</v>
      </c>
      <c r="Q1846" s="372" t="s">
        <v>623</v>
      </c>
      <c r="R1846" s="695">
        <v>19970725</v>
      </c>
      <c r="S1846" s="372" t="s">
        <v>12129</v>
      </c>
      <c r="T1846" s="696">
        <v>0.20900000000000002</v>
      </c>
      <c r="U1846" s="372" t="s">
        <v>12130</v>
      </c>
      <c r="V1846" s="722">
        <v>11.32</v>
      </c>
      <c r="W1846" s="722">
        <v>0.47</v>
      </c>
      <c r="X1846" s="722">
        <v>0.28999999999999998</v>
      </c>
      <c r="Y1846" s="722" t="s">
        <v>774</v>
      </c>
      <c r="Z1846" s="382" t="s">
        <v>934</v>
      </c>
      <c r="AA1846" s="372">
        <v>1352.6581444000001</v>
      </c>
      <c r="AB1846" s="372">
        <v>1450.253301</v>
      </c>
      <c r="AC1846" s="372">
        <v>1916.2155732000001</v>
      </c>
      <c r="AD1846" s="372">
        <v>1909.6843134000001</v>
      </c>
      <c r="AE1846" s="372">
        <v>0</v>
      </c>
      <c r="AF1846" s="372">
        <v>0</v>
      </c>
      <c r="AG1846" s="372">
        <v>0</v>
      </c>
      <c r="AH1846" s="372">
        <v>0</v>
      </c>
    </row>
    <row r="1847" spans="1:34">
      <c r="A1847" s="372" t="s">
        <v>12131</v>
      </c>
      <c r="B1847" s="373" t="s">
        <v>12132</v>
      </c>
      <c r="C1847" s="372" t="s">
        <v>12133</v>
      </c>
      <c r="D1847" s="374">
        <v>1101110074479</v>
      </c>
      <c r="E1847" s="372" t="s">
        <v>12134</v>
      </c>
      <c r="F1847" s="372" t="s">
        <v>5680</v>
      </c>
      <c r="G1847" s="375" t="s">
        <v>5680</v>
      </c>
      <c r="H1847" s="375" t="s">
        <v>754</v>
      </c>
      <c r="I1847" s="375" t="s">
        <v>755</v>
      </c>
      <c r="J1847" s="375">
        <v>57050.887119999999</v>
      </c>
      <c r="K1847" s="375">
        <v>-7112.2473900000005</v>
      </c>
      <c r="L1847" s="375">
        <v>-7633.31952</v>
      </c>
      <c r="M1847" s="375">
        <v>54920.681969999998</v>
      </c>
      <c r="N1847" s="372">
        <v>0.65400000000000003</v>
      </c>
      <c r="O1847" s="703">
        <v>36.601590912190495</v>
      </c>
      <c r="P1847" s="375" t="s">
        <v>623</v>
      </c>
      <c r="Q1847" s="375" t="s">
        <v>623</v>
      </c>
      <c r="R1847" s="695">
        <v>19891130</v>
      </c>
      <c r="S1847" s="375" t="s">
        <v>12135</v>
      </c>
      <c r="T1847" s="696" t="s">
        <v>772</v>
      </c>
      <c r="U1847" s="375" t="s">
        <v>12136</v>
      </c>
      <c r="V1847" s="722" t="s">
        <v>774</v>
      </c>
      <c r="W1847" s="722">
        <v>1.34</v>
      </c>
      <c r="X1847" s="722">
        <v>1.28</v>
      </c>
      <c r="Y1847" s="722" t="s">
        <v>774</v>
      </c>
      <c r="Z1847" s="382" t="s">
        <v>934</v>
      </c>
      <c r="AA1847" s="372">
        <v>414.33739250000002</v>
      </c>
      <c r="AB1847" s="372">
        <v>472.300725</v>
      </c>
      <c r="AC1847" s="372">
        <v>567.21432609999999</v>
      </c>
      <c r="AD1847" s="372">
        <v>570.50887120000004</v>
      </c>
      <c r="AE1847" s="372">
        <v>0</v>
      </c>
      <c r="AF1847" s="372">
        <v>0</v>
      </c>
      <c r="AG1847" s="372">
        <v>0</v>
      </c>
      <c r="AH1847" s="372">
        <v>0</v>
      </c>
    </row>
    <row r="1848" spans="1:34">
      <c r="A1848" s="372" t="s">
        <v>12137</v>
      </c>
      <c r="B1848" s="373" t="s">
        <v>12138</v>
      </c>
      <c r="C1848" s="372" t="s">
        <v>12139</v>
      </c>
      <c r="D1848" s="374">
        <v>1101115255214</v>
      </c>
      <c r="E1848" s="372" t="s">
        <v>12140</v>
      </c>
      <c r="F1848" s="375" t="s">
        <v>1814</v>
      </c>
      <c r="G1848" s="375" t="s">
        <v>1815</v>
      </c>
      <c r="H1848" s="375" t="s">
        <v>1693</v>
      </c>
      <c r="I1848" s="375" t="s">
        <v>869</v>
      </c>
      <c r="J1848" s="375">
        <v>27840.337670000001</v>
      </c>
      <c r="K1848" s="375">
        <v>-13292.681420000001</v>
      </c>
      <c r="L1848" s="375">
        <v>-17105.422480000001</v>
      </c>
      <c r="M1848" s="375">
        <v>17726.898570000001</v>
      </c>
      <c r="N1848" s="372">
        <v>1.3160000000000001</v>
      </c>
      <c r="O1848" s="703">
        <v>49.451530069289277</v>
      </c>
      <c r="P1848" s="375" t="s">
        <v>623</v>
      </c>
      <c r="Q1848" s="372" t="s">
        <v>623</v>
      </c>
      <c r="R1848" s="695">
        <v>20211110</v>
      </c>
      <c r="S1848" s="375" t="s">
        <v>12141</v>
      </c>
      <c r="T1848" s="696" t="s">
        <v>772</v>
      </c>
      <c r="U1848" s="375" t="s">
        <v>12142</v>
      </c>
      <c r="V1848" s="722" t="s">
        <v>774</v>
      </c>
      <c r="W1848" s="722">
        <v>4.04</v>
      </c>
      <c r="X1848" s="722">
        <v>2.2200000000000002</v>
      </c>
      <c r="Y1848" s="722" t="s">
        <v>774</v>
      </c>
      <c r="Z1848" s="382" t="s">
        <v>934</v>
      </c>
      <c r="AA1848" s="372">
        <v>115.7635167</v>
      </c>
      <c r="AB1848" s="372">
        <v>164.14865499999999</v>
      </c>
      <c r="AC1848" s="372">
        <v>191.7515281</v>
      </c>
      <c r="AD1848" s="372">
        <v>278.40337670000002</v>
      </c>
      <c r="AE1848" s="372">
        <v>0</v>
      </c>
      <c r="AF1848" s="372">
        <v>0</v>
      </c>
      <c r="AG1848" s="372">
        <v>0</v>
      </c>
      <c r="AH1848" s="372">
        <v>0</v>
      </c>
    </row>
    <row r="1849" spans="1:34">
      <c r="A1849" s="372" t="s">
        <v>12143</v>
      </c>
      <c r="B1849" s="373" t="s">
        <v>12144</v>
      </c>
      <c r="C1849" s="372" t="s">
        <v>12145</v>
      </c>
      <c r="D1849" s="374">
        <v>1341110025060</v>
      </c>
      <c r="E1849" s="372" t="s">
        <v>12146</v>
      </c>
      <c r="F1849" s="375" t="s">
        <v>1286</v>
      </c>
      <c r="G1849" s="375" t="s">
        <v>1286</v>
      </c>
      <c r="H1849" s="375" t="s">
        <v>868</v>
      </c>
      <c r="I1849" s="375" t="s">
        <v>869</v>
      </c>
      <c r="J1849" s="375">
        <v>109703.75873</v>
      </c>
      <c r="K1849" s="375">
        <v>1544.2945999999999</v>
      </c>
      <c r="L1849" s="375">
        <v>2577.5119199999999</v>
      </c>
      <c r="M1849" s="375">
        <v>43400.780140000003</v>
      </c>
      <c r="N1849" s="372">
        <v>0.83699999999999997</v>
      </c>
      <c r="O1849" s="703">
        <v>40.805039315143091</v>
      </c>
      <c r="P1849" s="375" t="s">
        <v>623</v>
      </c>
      <c r="Q1849" s="372" t="s">
        <v>623</v>
      </c>
      <c r="R1849" s="695">
        <v>20171016</v>
      </c>
      <c r="S1849" s="372" t="s">
        <v>12147</v>
      </c>
      <c r="T1849" s="696">
        <v>0.20900000000000002</v>
      </c>
      <c r="U1849" s="372" t="s">
        <v>12148</v>
      </c>
      <c r="V1849" s="722">
        <v>22.02</v>
      </c>
      <c r="W1849" s="722">
        <v>1.52</v>
      </c>
      <c r="X1849" s="722">
        <v>0.6</v>
      </c>
      <c r="Y1849" s="722">
        <v>29.5</v>
      </c>
      <c r="Z1849" s="382" t="s">
        <v>934</v>
      </c>
      <c r="AA1849" s="372">
        <v>865.19080989999998</v>
      </c>
      <c r="AB1849" s="372">
        <v>1029.6773028</v>
      </c>
      <c r="AC1849" s="372">
        <v>1113.4459995</v>
      </c>
      <c r="AD1849" s="372">
        <v>1097.0375873</v>
      </c>
      <c r="AE1849" s="372">
        <v>0</v>
      </c>
      <c r="AF1849" s="372">
        <v>0</v>
      </c>
      <c r="AG1849" s="372">
        <v>0</v>
      </c>
      <c r="AH1849" s="372">
        <v>0</v>
      </c>
    </row>
    <row r="1850" spans="1:34">
      <c r="A1850" s="372" t="s">
        <v>12149</v>
      </c>
      <c r="B1850" s="373" t="s">
        <v>12150</v>
      </c>
      <c r="C1850" s="372" t="s">
        <v>12151</v>
      </c>
      <c r="D1850" s="374">
        <v>1101111020299</v>
      </c>
      <c r="E1850" s="372" t="s">
        <v>12152</v>
      </c>
      <c r="F1850" s="375" t="s">
        <v>5182</v>
      </c>
      <c r="G1850" s="375" t="s">
        <v>5183</v>
      </c>
      <c r="H1850" s="375" t="s">
        <v>3127</v>
      </c>
      <c r="I1850" s="375" t="s">
        <v>869</v>
      </c>
      <c r="J1850" s="375">
        <v>75692.041589999993</v>
      </c>
      <c r="K1850" s="375">
        <v>-7646.3868599999996</v>
      </c>
      <c r="L1850" s="375">
        <v>-11591.12702</v>
      </c>
      <c r="M1850" s="375">
        <v>93202.01844</v>
      </c>
      <c r="N1850" s="372">
        <v>1.2370000000000001</v>
      </c>
      <c r="O1850" s="703">
        <v>79.435320872861197</v>
      </c>
      <c r="P1850" s="375" t="s">
        <v>623</v>
      </c>
      <c r="Q1850" s="372" t="s">
        <v>623</v>
      </c>
      <c r="R1850" s="695">
        <v>20090519</v>
      </c>
      <c r="S1850" s="372" t="s">
        <v>12153</v>
      </c>
      <c r="T1850" s="696" t="s">
        <v>772</v>
      </c>
      <c r="U1850" s="372" t="s">
        <v>12154</v>
      </c>
      <c r="V1850" s="722" t="s">
        <v>774</v>
      </c>
      <c r="W1850" s="722">
        <v>0.77</v>
      </c>
      <c r="X1850" s="722">
        <v>0.95</v>
      </c>
      <c r="Y1850" s="722" t="s">
        <v>774</v>
      </c>
      <c r="Z1850" s="382" t="s">
        <v>934</v>
      </c>
      <c r="AA1850" s="372">
        <v>800.00728319999996</v>
      </c>
      <c r="AB1850" s="372">
        <v>928.16027110000005</v>
      </c>
      <c r="AC1850" s="372">
        <v>1044.7110803999999</v>
      </c>
      <c r="AD1850" s="372">
        <v>756.92041589999997</v>
      </c>
      <c r="AE1850" s="372">
        <v>0</v>
      </c>
      <c r="AF1850" s="372">
        <v>0</v>
      </c>
      <c r="AG1850" s="372">
        <v>0</v>
      </c>
      <c r="AH1850" s="372">
        <v>0</v>
      </c>
    </row>
    <row r="1851" spans="1:34">
      <c r="A1851" s="372" t="s">
        <v>12155</v>
      </c>
      <c r="B1851" s="373" t="s">
        <v>12156</v>
      </c>
      <c r="C1851" s="372" t="s">
        <v>12157</v>
      </c>
      <c r="D1851" s="374">
        <v>1753110001158</v>
      </c>
      <c r="E1851" s="372" t="s">
        <v>12158</v>
      </c>
      <c r="F1851" s="372" t="s">
        <v>5182</v>
      </c>
      <c r="G1851" s="375" t="s">
        <v>8194</v>
      </c>
      <c r="H1851" s="375" t="s">
        <v>3127</v>
      </c>
      <c r="I1851" s="375" t="s">
        <v>869</v>
      </c>
      <c r="J1851" s="375">
        <v>129877.11881</v>
      </c>
      <c r="K1851" s="375">
        <v>12485.50274</v>
      </c>
      <c r="L1851" s="375">
        <v>1726.94973</v>
      </c>
      <c r="M1851" s="375">
        <v>251644.58450999999</v>
      </c>
      <c r="N1851" s="372">
        <v>1.081</v>
      </c>
      <c r="O1851" s="703">
        <v>73.649389848512328</v>
      </c>
      <c r="P1851" s="375" t="s">
        <v>623</v>
      </c>
      <c r="Q1851" s="372" t="s">
        <v>623</v>
      </c>
      <c r="R1851" s="695">
        <v>19970718</v>
      </c>
      <c r="S1851" s="375" t="s">
        <v>12159</v>
      </c>
      <c r="T1851" s="696">
        <v>0.20900000000000002</v>
      </c>
      <c r="U1851" s="372" t="s">
        <v>12160</v>
      </c>
      <c r="V1851" s="722">
        <v>7.41</v>
      </c>
      <c r="W1851" s="722">
        <v>0.27</v>
      </c>
      <c r="X1851" s="722">
        <v>0.51</v>
      </c>
      <c r="Y1851" s="722" t="s">
        <v>774</v>
      </c>
      <c r="Z1851" s="382" t="s">
        <v>934</v>
      </c>
      <c r="AA1851" s="372">
        <v>874.94407980000005</v>
      </c>
      <c r="AB1851" s="372">
        <v>946.7487347</v>
      </c>
      <c r="AC1851" s="372">
        <v>1080.8869153999999</v>
      </c>
      <c r="AD1851" s="372">
        <v>1298.7711881</v>
      </c>
      <c r="AE1851" s="372">
        <v>0</v>
      </c>
      <c r="AF1851" s="372">
        <v>0</v>
      </c>
      <c r="AG1851" s="372">
        <v>0</v>
      </c>
      <c r="AH1851" s="372">
        <v>0</v>
      </c>
    </row>
    <row r="1852" spans="1:34">
      <c r="A1852" s="372" t="s">
        <v>12161</v>
      </c>
      <c r="B1852" s="373" t="s">
        <v>12162</v>
      </c>
      <c r="C1852" s="372" t="s">
        <v>12163</v>
      </c>
      <c r="D1852" s="374">
        <v>1801110006915</v>
      </c>
      <c r="E1852" s="372" t="s">
        <v>12164</v>
      </c>
      <c r="F1852" s="375" t="s">
        <v>12165</v>
      </c>
      <c r="G1852" s="375" t="s">
        <v>12165</v>
      </c>
      <c r="H1852" s="375" t="s">
        <v>916</v>
      </c>
      <c r="I1852" s="375" t="s">
        <v>755</v>
      </c>
      <c r="J1852" s="375">
        <v>43998.45577</v>
      </c>
      <c r="K1852" s="375">
        <v>-5148.1659200000004</v>
      </c>
      <c r="L1852" s="375">
        <v>-5400.5496800000001</v>
      </c>
      <c r="M1852" s="375">
        <v>19058.948850000001</v>
      </c>
      <c r="N1852" s="372">
        <v>0.64700000000000002</v>
      </c>
      <c r="O1852" s="703">
        <v>19.46720262323246</v>
      </c>
      <c r="P1852" s="375" t="s">
        <v>623</v>
      </c>
      <c r="Q1852" s="375" t="s">
        <v>623</v>
      </c>
      <c r="R1852" s="695">
        <v>19770623</v>
      </c>
      <c r="S1852" s="375" t="s">
        <v>12166</v>
      </c>
      <c r="T1852" s="696" t="s">
        <v>772</v>
      </c>
      <c r="U1852" s="372" t="s">
        <v>12167</v>
      </c>
      <c r="V1852" s="722">
        <v>0</v>
      </c>
      <c r="W1852" s="722">
        <v>3.54</v>
      </c>
      <c r="X1852" s="722">
        <v>0</v>
      </c>
      <c r="Y1852" s="722">
        <v>0</v>
      </c>
      <c r="Z1852" s="382" t="s">
        <v>934</v>
      </c>
      <c r="AA1852" s="372">
        <v>311.59428120000001</v>
      </c>
      <c r="AB1852" s="372">
        <v>293.42954500000002</v>
      </c>
      <c r="AC1852" s="372">
        <v>377.03179399999999</v>
      </c>
      <c r="AD1852" s="372">
        <v>439.98455769999998</v>
      </c>
      <c r="AE1852" s="372">
        <v>0</v>
      </c>
      <c r="AF1852" s="372">
        <v>0</v>
      </c>
      <c r="AG1852" s="372">
        <v>0</v>
      </c>
      <c r="AH1852" s="372">
        <v>0</v>
      </c>
    </row>
    <row r="1853" spans="1:34">
      <c r="A1853" s="372" t="s">
        <v>12168</v>
      </c>
      <c r="B1853" s="373" t="s">
        <v>12169</v>
      </c>
      <c r="C1853" s="372" t="s">
        <v>12170</v>
      </c>
      <c r="D1853" s="374">
        <v>1344110015635</v>
      </c>
      <c r="E1853" s="372" t="s">
        <v>12171</v>
      </c>
      <c r="F1853" s="375" t="s">
        <v>10422</v>
      </c>
      <c r="G1853" s="375" t="s">
        <v>12172</v>
      </c>
      <c r="H1853" s="375" t="s">
        <v>1348</v>
      </c>
      <c r="I1853" s="375" t="s">
        <v>869</v>
      </c>
      <c r="J1853" s="375">
        <v>74110.894230000005</v>
      </c>
      <c r="K1853" s="375">
        <v>8012.4363800000001</v>
      </c>
      <c r="L1853" s="375">
        <v>6972.83392</v>
      </c>
      <c r="M1853" s="375">
        <v>83744.359899999996</v>
      </c>
      <c r="N1853" s="372">
        <v>0.77700000000000002</v>
      </c>
      <c r="O1853" s="703">
        <v>68.645573021456258</v>
      </c>
      <c r="P1853" s="375" t="s">
        <v>623</v>
      </c>
      <c r="Q1853" s="372" t="s">
        <v>623</v>
      </c>
      <c r="R1853" s="695">
        <v>20161017</v>
      </c>
      <c r="S1853" s="372" t="s">
        <v>12173</v>
      </c>
      <c r="T1853" s="696">
        <v>0.20900000000000002</v>
      </c>
      <c r="U1853" s="372" t="s">
        <v>12174</v>
      </c>
      <c r="V1853" s="722">
        <v>4.8600000000000003</v>
      </c>
      <c r="W1853" s="722">
        <v>0.73</v>
      </c>
      <c r="X1853" s="722">
        <v>0.82</v>
      </c>
      <c r="Y1853" s="722">
        <v>8.2799999999999994</v>
      </c>
      <c r="Z1853" s="382" t="s">
        <v>934</v>
      </c>
      <c r="AA1853" s="372">
        <v>533.78373759999999</v>
      </c>
      <c r="AB1853" s="372">
        <v>632.70616340000004</v>
      </c>
      <c r="AC1853" s="372">
        <v>671.14744559999997</v>
      </c>
      <c r="AD1853" s="372">
        <v>741.10894229999997</v>
      </c>
      <c r="AE1853" s="372">
        <v>881</v>
      </c>
      <c r="AF1853" s="372">
        <v>1076</v>
      </c>
      <c r="AG1853" s="372">
        <v>0</v>
      </c>
      <c r="AH1853" s="372">
        <v>0</v>
      </c>
    </row>
    <row r="1854" spans="1:34">
      <c r="A1854" s="372" t="s">
        <v>12175</v>
      </c>
      <c r="B1854" s="373" t="s">
        <v>12176</v>
      </c>
      <c r="C1854" s="372" t="s">
        <v>12177</v>
      </c>
      <c r="D1854" s="374">
        <v>1501110003058</v>
      </c>
      <c r="E1854" s="372" t="s">
        <v>12178</v>
      </c>
      <c r="F1854" s="372" t="s">
        <v>1867</v>
      </c>
      <c r="G1854" s="375" t="s">
        <v>1868</v>
      </c>
      <c r="H1854" s="375" t="s">
        <v>4894</v>
      </c>
      <c r="I1854" s="375" t="s">
        <v>869</v>
      </c>
      <c r="J1854" s="375">
        <v>436092.00149</v>
      </c>
      <c r="K1854" s="375">
        <v>-62074.519919999999</v>
      </c>
      <c r="L1854" s="375">
        <v>-72700.916060000003</v>
      </c>
      <c r="M1854" s="375">
        <v>299536.86907999997</v>
      </c>
      <c r="N1854" s="372">
        <v>0.752</v>
      </c>
      <c r="O1854" s="703">
        <v>139.48243851440282</v>
      </c>
      <c r="P1854" s="375" t="s">
        <v>623</v>
      </c>
      <c r="Q1854" s="375" t="s">
        <v>623</v>
      </c>
      <c r="R1854" s="695">
        <v>20171201</v>
      </c>
      <c r="S1854" s="375" t="s">
        <v>12179</v>
      </c>
      <c r="T1854" s="696" t="s">
        <v>772</v>
      </c>
      <c r="U1854" s="372" t="s">
        <v>12180</v>
      </c>
      <c r="V1854" s="722" t="s">
        <v>774</v>
      </c>
      <c r="W1854" s="722">
        <v>0.25</v>
      </c>
      <c r="X1854" s="722">
        <v>0.16</v>
      </c>
      <c r="Y1854" s="722" t="s">
        <v>774</v>
      </c>
      <c r="Z1854" s="382" t="s">
        <v>934</v>
      </c>
      <c r="AA1854" s="372">
        <v>2002.1572772</v>
      </c>
      <c r="AB1854" s="372">
        <v>2892.9648434999999</v>
      </c>
      <c r="AC1854" s="372">
        <v>3583.1181479000002</v>
      </c>
      <c r="AD1854" s="372">
        <v>4360.9200148999998</v>
      </c>
      <c r="AE1854" s="372">
        <v>0</v>
      </c>
      <c r="AF1854" s="372">
        <v>0</v>
      </c>
      <c r="AG1854" s="372">
        <v>0</v>
      </c>
      <c r="AH1854" s="372">
        <v>0</v>
      </c>
    </row>
    <row r="1855" spans="1:34">
      <c r="A1855" s="372" t="s">
        <v>12181</v>
      </c>
      <c r="B1855" s="373" t="s">
        <v>12182</v>
      </c>
      <c r="C1855" s="372" t="s">
        <v>12183</v>
      </c>
      <c r="D1855" s="374">
        <v>0</v>
      </c>
      <c r="E1855" s="372" t="s">
        <v>12184</v>
      </c>
      <c r="F1855" s="372" t="s">
        <v>12185</v>
      </c>
      <c r="G1855" s="375" t="s">
        <v>12185</v>
      </c>
      <c r="H1855" s="375">
        <v>0</v>
      </c>
      <c r="I1855" s="375" t="s">
        <v>869</v>
      </c>
      <c r="J1855" s="375">
        <v>38431.076000000001</v>
      </c>
      <c r="K1855" s="375">
        <v>-9827.3109999999997</v>
      </c>
      <c r="L1855" s="375">
        <v>-35526.798000000003</v>
      </c>
      <c r="M1855" s="375">
        <v>44617.125</v>
      </c>
      <c r="N1855" s="372" t="s">
        <v>1033</v>
      </c>
      <c r="O1855" s="703">
        <v>1.9871010982554616</v>
      </c>
      <c r="P1855" s="375" t="s">
        <v>623</v>
      </c>
      <c r="Q1855" s="372" t="s">
        <v>623</v>
      </c>
      <c r="R1855" s="695">
        <v>20100421</v>
      </c>
      <c r="S1855" s="372" t="s">
        <v>12186</v>
      </c>
      <c r="T1855" s="696" t="s">
        <v>772</v>
      </c>
      <c r="U1855" s="372" t="s">
        <v>12187</v>
      </c>
      <c r="V1855" s="722" t="s">
        <v>774</v>
      </c>
      <c r="W1855" s="722">
        <v>1.48</v>
      </c>
      <c r="X1855" s="722">
        <v>1.72</v>
      </c>
      <c r="Y1855" s="722" t="s">
        <v>774</v>
      </c>
      <c r="Z1855" s="382" t="s">
        <v>934</v>
      </c>
      <c r="AA1855" s="372">
        <v>741.52354000000003</v>
      </c>
      <c r="AB1855" s="372">
        <v>817.18655000000001</v>
      </c>
      <c r="AC1855" s="372">
        <v>667.00806</v>
      </c>
      <c r="AD1855" s="372">
        <v>384.31076000000002</v>
      </c>
      <c r="AE1855" s="372">
        <v>0</v>
      </c>
      <c r="AF1855" s="372">
        <v>0</v>
      </c>
      <c r="AG1855" s="372">
        <v>0</v>
      </c>
      <c r="AH1855" s="372">
        <v>0</v>
      </c>
    </row>
    <row r="1856" spans="1:34">
      <c r="A1856" s="372" t="s">
        <v>12188</v>
      </c>
      <c r="B1856" s="373" t="s">
        <v>12189</v>
      </c>
      <c r="C1856" s="372" t="s">
        <v>12190</v>
      </c>
      <c r="D1856" s="374">
        <v>1101110048987</v>
      </c>
      <c r="E1856" s="372" t="s">
        <v>12191</v>
      </c>
      <c r="F1856" s="375" t="s">
        <v>2112</v>
      </c>
      <c r="G1856" s="375" t="s">
        <v>2112</v>
      </c>
      <c r="H1856" s="375" t="s">
        <v>817</v>
      </c>
      <c r="I1856" s="375" t="s">
        <v>755</v>
      </c>
      <c r="J1856" s="375">
        <v>216255.46014000001</v>
      </c>
      <c r="K1856" s="375">
        <v>4859.7776599999997</v>
      </c>
      <c r="L1856" s="375">
        <v>1532.4428800000001</v>
      </c>
      <c r="M1856" s="375">
        <v>173569.402</v>
      </c>
      <c r="N1856" s="372">
        <v>0.91700000000000004</v>
      </c>
      <c r="O1856" s="703">
        <v>172.51246413566571</v>
      </c>
      <c r="P1856" s="375" t="s">
        <v>623</v>
      </c>
      <c r="Q1856" s="375" t="s">
        <v>623</v>
      </c>
      <c r="R1856" s="695">
        <v>19881007</v>
      </c>
      <c r="S1856" s="375" t="s">
        <v>12192</v>
      </c>
      <c r="T1856" s="696">
        <v>0.20900000000000002</v>
      </c>
      <c r="U1856" s="372" t="s">
        <v>12193</v>
      </c>
      <c r="V1856" s="722">
        <v>14.37</v>
      </c>
      <c r="W1856" s="722">
        <v>0.37</v>
      </c>
      <c r="X1856" s="722">
        <v>0.3</v>
      </c>
      <c r="Y1856" s="722">
        <v>86144.1</v>
      </c>
      <c r="Z1856" s="382" t="s">
        <v>934</v>
      </c>
      <c r="AA1856" s="372">
        <v>1571.1967887999999</v>
      </c>
      <c r="AB1856" s="372">
        <v>2485.9316081000002</v>
      </c>
      <c r="AC1856" s="372">
        <v>2552.2932255000001</v>
      </c>
      <c r="AD1856" s="372">
        <v>2162.5546014000001</v>
      </c>
      <c r="AE1856" s="372">
        <v>0</v>
      </c>
      <c r="AF1856" s="372">
        <v>0</v>
      </c>
      <c r="AG1856" s="372">
        <v>0</v>
      </c>
      <c r="AH1856" s="372">
        <v>0</v>
      </c>
    </row>
    <row r="1857" spans="1:34">
      <c r="A1857" s="372" t="s">
        <v>12194</v>
      </c>
      <c r="B1857" s="373" t="s">
        <v>12195</v>
      </c>
      <c r="C1857" s="372" t="s">
        <v>12196</v>
      </c>
      <c r="D1857" s="374">
        <v>1101113615121</v>
      </c>
      <c r="E1857" s="372" t="s">
        <v>12197</v>
      </c>
      <c r="F1857" s="375" t="s">
        <v>2542</v>
      </c>
      <c r="G1857" s="375" t="s">
        <v>2542</v>
      </c>
      <c r="H1857" s="375" t="s">
        <v>1693</v>
      </c>
      <c r="I1857" s="375" t="s">
        <v>869</v>
      </c>
      <c r="J1857" s="375">
        <v>19178.342270000001</v>
      </c>
      <c r="K1857" s="375">
        <v>-2653.0503600000002</v>
      </c>
      <c r="L1857" s="375">
        <v>-2827.1834199999998</v>
      </c>
      <c r="M1857" s="375">
        <v>37231.816870000002</v>
      </c>
      <c r="N1857" s="372">
        <v>1.052</v>
      </c>
      <c r="O1857" s="703">
        <v>0.61256188507182829</v>
      </c>
      <c r="P1857" s="375" t="s">
        <v>623</v>
      </c>
      <c r="Q1857" s="372" t="s">
        <v>623</v>
      </c>
      <c r="R1857" s="695">
        <v>20131126</v>
      </c>
      <c r="S1857" s="372" t="s">
        <v>8277</v>
      </c>
      <c r="T1857" s="696" t="s">
        <v>772</v>
      </c>
      <c r="U1857" s="372" t="s">
        <v>12198</v>
      </c>
      <c r="V1857" s="722" t="s">
        <v>774</v>
      </c>
      <c r="W1857" s="722">
        <v>1.98</v>
      </c>
      <c r="X1857" s="722">
        <v>3.99</v>
      </c>
      <c r="Y1857" s="722" t="s">
        <v>774</v>
      </c>
      <c r="Z1857" s="382" t="s">
        <v>934</v>
      </c>
      <c r="AA1857" s="372">
        <v>199.66274150000001</v>
      </c>
      <c r="AB1857" s="372">
        <v>222.5695834</v>
      </c>
      <c r="AC1857" s="372">
        <v>117.03036729999999</v>
      </c>
      <c r="AD1857" s="372">
        <v>191.78342269999999</v>
      </c>
      <c r="AE1857" s="372">
        <v>350</v>
      </c>
      <c r="AF1857" s="372">
        <v>0</v>
      </c>
      <c r="AG1857" s="372">
        <v>0</v>
      </c>
      <c r="AH1857" s="372">
        <v>0</v>
      </c>
    </row>
    <row r="1858" spans="1:34">
      <c r="A1858" s="372" t="s">
        <v>12199</v>
      </c>
      <c r="B1858" s="373" t="s">
        <v>12200</v>
      </c>
      <c r="C1858" s="372" t="s">
        <v>12201</v>
      </c>
      <c r="D1858" s="374">
        <v>1243110025539</v>
      </c>
      <c r="E1858" s="372" t="s">
        <v>12202</v>
      </c>
      <c r="F1858" s="375" t="s">
        <v>1404</v>
      </c>
      <c r="G1858" s="375" t="s">
        <v>6909</v>
      </c>
      <c r="H1858" s="375" t="s">
        <v>902</v>
      </c>
      <c r="I1858" s="375" t="s">
        <v>869</v>
      </c>
      <c r="J1858" s="375">
        <v>23659.738600000001</v>
      </c>
      <c r="K1858" s="375">
        <v>-9759.7945500000005</v>
      </c>
      <c r="L1858" s="375">
        <v>-18875.966629999999</v>
      </c>
      <c r="M1858" s="375">
        <v>90557.178950000001</v>
      </c>
      <c r="N1858" s="372">
        <v>0.435</v>
      </c>
      <c r="O1858" s="703">
        <v>537.74662655864529</v>
      </c>
      <c r="P1858" s="375" t="s">
        <v>623</v>
      </c>
      <c r="Q1858" s="375" t="s">
        <v>623</v>
      </c>
      <c r="R1858" s="695">
        <v>19940930</v>
      </c>
      <c r="S1858" s="375" t="s">
        <v>12203</v>
      </c>
      <c r="T1858" s="696" t="s">
        <v>772</v>
      </c>
      <c r="U1858" s="372" t="s">
        <v>12204</v>
      </c>
      <c r="V1858" s="722">
        <v>0</v>
      </c>
      <c r="W1858" s="722">
        <v>0.73</v>
      </c>
      <c r="X1858" s="722">
        <v>0.37</v>
      </c>
      <c r="Y1858" s="722" t="s">
        <v>774</v>
      </c>
      <c r="Z1858" s="382" t="s">
        <v>934</v>
      </c>
      <c r="AA1858" s="372">
        <v>885.17364799999996</v>
      </c>
      <c r="AB1858" s="372">
        <v>388.93823600000002</v>
      </c>
      <c r="AC1858" s="372">
        <v>-42.346600000000002</v>
      </c>
      <c r="AD1858" s="372">
        <v>236.597386</v>
      </c>
      <c r="AE1858" s="372">
        <v>0</v>
      </c>
      <c r="AF1858" s="372">
        <v>0</v>
      </c>
      <c r="AG1858" s="372">
        <v>0</v>
      </c>
      <c r="AH1858" s="372">
        <v>0</v>
      </c>
    </row>
    <row r="1859" spans="1:34">
      <c r="A1859" s="372" t="s">
        <v>12205</v>
      </c>
      <c r="B1859" s="373" t="s">
        <v>12206</v>
      </c>
      <c r="C1859" s="372" t="s">
        <v>12207</v>
      </c>
      <c r="D1859" s="374">
        <v>1101116298148</v>
      </c>
      <c r="E1859" s="372" t="s">
        <v>12208</v>
      </c>
      <c r="F1859" s="375" t="s">
        <v>3248</v>
      </c>
      <c r="G1859" s="375" t="s">
        <v>3248</v>
      </c>
      <c r="H1859" s="375" t="s">
        <v>868</v>
      </c>
      <c r="I1859" s="375" t="s">
        <v>869</v>
      </c>
      <c r="J1859" s="375">
        <v>99142.525259999995</v>
      </c>
      <c r="K1859" s="375">
        <v>14064.44399</v>
      </c>
      <c r="L1859" s="375">
        <v>14825.999379999999</v>
      </c>
      <c r="M1859" s="375">
        <v>78710.669670000003</v>
      </c>
      <c r="N1859" s="372">
        <v>1.0089999999999999</v>
      </c>
      <c r="O1859" s="703">
        <v>19.304692072547038</v>
      </c>
      <c r="P1859" s="375" t="s">
        <v>623</v>
      </c>
      <c r="Q1859" s="372" t="s">
        <v>623</v>
      </c>
      <c r="R1859" s="695">
        <v>20170406</v>
      </c>
      <c r="S1859" s="372" t="s">
        <v>12209</v>
      </c>
      <c r="T1859" s="696">
        <v>0.20900000000000002</v>
      </c>
      <c r="U1859" s="372" t="s">
        <v>12210</v>
      </c>
      <c r="V1859" s="722">
        <v>0</v>
      </c>
      <c r="W1859" s="722">
        <v>0.91</v>
      </c>
      <c r="X1859" s="722">
        <v>0</v>
      </c>
      <c r="Y1859" s="722">
        <v>0</v>
      </c>
      <c r="Z1859" s="382" t="s">
        <v>934</v>
      </c>
      <c r="AA1859" s="372">
        <v>507.33873499999999</v>
      </c>
      <c r="AB1859" s="372">
        <v>660.70308179999995</v>
      </c>
      <c r="AC1859" s="372">
        <v>998.91130799999996</v>
      </c>
      <c r="AD1859" s="372">
        <v>991.42525260000002</v>
      </c>
      <c r="AE1859" s="372">
        <v>0</v>
      </c>
      <c r="AF1859" s="372">
        <v>0</v>
      </c>
      <c r="AG1859" s="372">
        <v>0</v>
      </c>
      <c r="AH1859" s="372">
        <v>0</v>
      </c>
    </row>
    <row r="1860" spans="1:34">
      <c r="A1860" s="372" t="s">
        <v>12211</v>
      </c>
      <c r="B1860" s="373" t="s">
        <v>12212</v>
      </c>
      <c r="C1860" s="372" t="s">
        <v>12213</v>
      </c>
      <c r="D1860" s="374">
        <v>1243110033334</v>
      </c>
      <c r="E1860" s="372" t="s">
        <v>12214</v>
      </c>
      <c r="F1860" s="375" t="s">
        <v>1761</v>
      </c>
      <c r="G1860" s="375" t="s">
        <v>1761</v>
      </c>
      <c r="H1860" s="375" t="s">
        <v>3127</v>
      </c>
      <c r="I1860" s="375" t="s">
        <v>869</v>
      </c>
      <c r="J1860" s="375">
        <v>6900.7447599999996</v>
      </c>
      <c r="K1860" s="375">
        <v>-568.63374999999996</v>
      </c>
      <c r="L1860" s="375">
        <v>-8455.1247399999993</v>
      </c>
      <c r="M1860" s="375">
        <v>36292.846429999998</v>
      </c>
      <c r="N1860" s="372">
        <v>8.2000000000000003E-2</v>
      </c>
      <c r="O1860" s="703">
        <v>19.903159685293684</v>
      </c>
      <c r="P1860" s="375" t="s">
        <v>623</v>
      </c>
      <c r="Q1860" s="375" t="s">
        <v>623</v>
      </c>
      <c r="R1860" s="695">
        <v>20021213</v>
      </c>
      <c r="S1860" s="372" t="s">
        <v>12215</v>
      </c>
      <c r="T1860" s="696" t="s">
        <v>772</v>
      </c>
      <c r="U1860" s="372" t="s">
        <v>16093</v>
      </c>
      <c r="V1860" s="722" t="s">
        <v>774</v>
      </c>
      <c r="W1860" s="722">
        <v>1.59</v>
      </c>
      <c r="X1860" s="722">
        <v>7.32</v>
      </c>
      <c r="Y1860" s="722" t="s">
        <v>774</v>
      </c>
      <c r="Z1860" s="382" t="s">
        <v>934</v>
      </c>
      <c r="AA1860" s="372">
        <v>302.36805270000002</v>
      </c>
      <c r="AB1860" s="372">
        <v>303.00618070000002</v>
      </c>
      <c r="AC1860" s="372">
        <v>293.67045489999998</v>
      </c>
      <c r="AD1860" s="372">
        <v>69.007447600000006</v>
      </c>
      <c r="AE1860" s="372">
        <v>0</v>
      </c>
      <c r="AF1860" s="372">
        <v>0</v>
      </c>
      <c r="AG1860" s="372">
        <v>0</v>
      </c>
      <c r="AH1860" s="372">
        <v>0</v>
      </c>
    </row>
    <row r="1861" spans="1:34">
      <c r="A1861" s="372" t="s">
        <v>12216</v>
      </c>
      <c r="B1861" s="373" t="s">
        <v>12217</v>
      </c>
      <c r="C1861" s="372" t="s">
        <v>12218</v>
      </c>
      <c r="D1861" s="374">
        <v>1101116417590</v>
      </c>
      <c r="E1861" s="372" t="s">
        <v>12219</v>
      </c>
      <c r="F1861" s="372" t="s">
        <v>7094</v>
      </c>
      <c r="G1861" s="375" t="s">
        <v>7094</v>
      </c>
      <c r="H1861" s="375" t="s">
        <v>1348</v>
      </c>
      <c r="I1861" s="375" t="s">
        <v>869</v>
      </c>
      <c r="J1861" s="375">
        <v>0</v>
      </c>
      <c r="K1861" s="375">
        <v>0</v>
      </c>
      <c r="L1861" s="375">
        <v>0</v>
      </c>
      <c r="M1861" s="375">
        <v>45636.461170000002</v>
      </c>
      <c r="N1861" s="372">
        <v>1.2</v>
      </c>
      <c r="O1861" s="703">
        <v>0.3438903346913868</v>
      </c>
      <c r="P1861" s="375" t="s">
        <v>623</v>
      </c>
      <c r="Q1861" s="372" t="s">
        <v>623</v>
      </c>
      <c r="R1861" s="695">
        <v>20170807</v>
      </c>
      <c r="S1861" s="372" t="s">
        <v>9534</v>
      </c>
      <c r="T1861" s="696" t="s">
        <v>772</v>
      </c>
      <c r="U1861" s="372" t="s">
        <v>12220</v>
      </c>
      <c r="V1861" s="722">
        <v>0</v>
      </c>
      <c r="W1861" s="722">
        <v>1.74</v>
      </c>
      <c r="X1861" s="722">
        <v>0</v>
      </c>
      <c r="Y1861" s="722">
        <v>0</v>
      </c>
      <c r="Z1861" s="382" t="s">
        <v>934</v>
      </c>
      <c r="AA1861" s="372">
        <v>122.70204</v>
      </c>
      <c r="AB1861" s="372">
        <v>122.6207718</v>
      </c>
      <c r="AC1861" s="372">
        <v>157.73791750000001</v>
      </c>
      <c r="AD1861" s="372">
        <v>138.58493759999999</v>
      </c>
      <c r="AE1861" s="372">
        <v>0</v>
      </c>
      <c r="AF1861" s="372">
        <v>0</v>
      </c>
      <c r="AG1861" s="372">
        <v>0</v>
      </c>
      <c r="AH1861" s="372">
        <v>0</v>
      </c>
    </row>
    <row r="1862" spans="1:34">
      <c r="A1862" s="372" t="s">
        <v>12221</v>
      </c>
      <c r="B1862" s="373" t="s">
        <v>12222</v>
      </c>
      <c r="C1862" s="372" t="s">
        <v>12223</v>
      </c>
      <c r="D1862" s="374">
        <v>1101112246414</v>
      </c>
      <c r="E1862" s="372" t="s">
        <v>12224</v>
      </c>
      <c r="F1862" s="372" t="s">
        <v>1124</v>
      </c>
      <c r="G1862" s="375" t="s">
        <v>3333</v>
      </c>
      <c r="H1862" s="375" t="s">
        <v>1348</v>
      </c>
      <c r="I1862" s="375" t="s">
        <v>869</v>
      </c>
      <c r="J1862" s="375">
        <v>18790.261450000002</v>
      </c>
      <c r="K1862" s="375">
        <v>-4081.1019500000002</v>
      </c>
      <c r="L1862" s="375">
        <v>-5609.6404899999998</v>
      </c>
      <c r="M1862" s="375">
        <v>30942.986929999999</v>
      </c>
      <c r="N1862" s="372">
        <v>1.0189999999999999</v>
      </c>
      <c r="O1862" s="703">
        <v>3.3109409109480605</v>
      </c>
      <c r="P1862" s="375" t="s">
        <v>623</v>
      </c>
      <c r="Q1862" s="375" t="s">
        <v>623</v>
      </c>
      <c r="R1862" s="695">
        <v>20131031</v>
      </c>
      <c r="S1862" s="375" t="s">
        <v>12225</v>
      </c>
      <c r="T1862" s="696" t="s">
        <v>772</v>
      </c>
      <c r="U1862" s="372" t="s">
        <v>12226</v>
      </c>
      <c r="V1862" s="722" t="s">
        <v>774</v>
      </c>
      <c r="W1862" s="722">
        <v>1.72</v>
      </c>
      <c r="X1862" s="722">
        <v>3.39</v>
      </c>
      <c r="Y1862" s="722" t="s">
        <v>774</v>
      </c>
      <c r="Z1862" s="382" t="s">
        <v>934</v>
      </c>
      <c r="AA1862" s="372">
        <v>132.47175759999999</v>
      </c>
      <c r="AB1862" s="372">
        <v>146.95674</v>
      </c>
      <c r="AC1862" s="372">
        <v>139.50826979999999</v>
      </c>
      <c r="AD1862" s="372">
        <v>187.9026145</v>
      </c>
      <c r="AE1862" s="372">
        <v>0</v>
      </c>
      <c r="AF1862" s="372">
        <v>0</v>
      </c>
      <c r="AG1862" s="372">
        <v>0</v>
      </c>
      <c r="AH1862" s="372">
        <v>0</v>
      </c>
    </row>
    <row r="1863" spans="1:34">
      <c r="A1863" s="372" t="s">
        <v>12227</v>
      </c>
      <c r="B1863" s="373" t="s">
        <v>12228</v>
      </c>
      <c r="C1863" s="372" t="s">
        <v>12229</v>
      </c>
      <c r="D1863" s="374">
        <v>1101110723969</v>
      </c>
      <c r="E1863" s="372" t="s">
        <v>12230</v>
      </c>
      <c r="F1863" s="372" t="s">
        <v>1814</v>
      </c>
      <c r="G1863" s="375" t="s">
        <v>2821</v>
      </c>
      <c r="H1863" s="375" t="s">
        <v>868</v>
      </c>
      <c r="I1863" s="375" t="s">
        <v>869</v>
      </c>
      <c r="J1863" s="375">
        <v>27625.153460000001</v>
      </c>
      <c r="K1863" s="375">
        <v>-2868.6747799999998</v>
      </c>
      <c r="L1863" s="375">
        <v>-3591.5308799999998</v>
      </c>
      <c r="M1863" s="375">
        <v>32630.92757</v>
      </c>
      <c r="N1863" s="372">
        <v>1.0109999999999999</v>
      </c>
      <c r="O1863" s="703">
        <v>22.622957580778852</v>
      </c>
      <c r="P1863" s="375" t="s">
        <v>623</v>
      </c>
      <c r="Q1863" s="372" t="s">
        <v>623</v>
      </c>
      <c r="R1863" s="695">
        <v>20180402</v>
      </c>
      <c r="S1863" s="372" t="s">
        <v>12231</v>
      </c>
      <c r="T1863" s="696" t="s">
        <v>772</v>
      </c>
      <c r="U1863" s="372" t="s">
        <v>12232</v>
      </c>
      <c r="V1863" s="722" t="s">
        <v>774</v>
      </c>
      <c r="W1863" s="722">
        <v>1.54</v>
      </c>
      <c r="X1863" s="722">
        <v>2.17</v>
      </c>
      <c r="Y1863" s="722" t="s">
        <v>774</v>
      </c>
      <c r="Z1863" s="382" t="s">
        <v>934</v>
      </c>
      <c r="AA1863" s="372">
        <v>248.62449000000001</v>
      </c>
      <c r="AB1863" s="372">
        <v>340.64031790000001</v>
      </c>
      <c r="AC1863" s="372">
        <v>378.9206542</v>
      </c>
      <c r="AD1863" s="372">
        <v>276.25153460000001</v>
      </c>
      <c r="AE1863" s="372">
        <v>0</v>
      </c>
      <c r="AF1863" s="372">
        <v>0</v>
      </c>
      <c r="AG1863" s="372">
        <v>0</v>
      </c>
      <c r="AH1863" s="372">
        <v>0</v>
      </c>
    </row>
    <row r="1864" spans="1:34">
      <c r="A1864" s="372" t="s">
        <v>12233</v>
      </c>
      <c r="B1864" s="373" t="s">
        <v>12234</v>
      </c>
      <c r="C1864" s="372" t="s">
        <v>12235</v>
      </c>
      <c r="D1864" s="374">
        <v>1101111023889</v>
      </c>
      <c r="E1864" s="372" t="s">
        <v>12236</v>
      </c>
      <c r="F1864" s="375" t="s">
        <v>4308</v>
      </c>
      <c r="G1864" s="375" t="s">
        <v>4309</v>
      </c>
      <c r="H1864" s="375" t="s">
        <v>1950</v>
      </c>
      <c r="I1864" s="375" t="s">
        <v>869</v>
      </c>
      <c r="J1864" s="375">
        <v>50929.305240000002</v>
      </c>
      <c r="K1864" s="375">
        <v>8308.1997100000008</v>
      </c>
      <c r="L1864" s="375">
        <v>9219.7322600000007</v>
      </c>
      <c r="M1864" s="375">
        <v>55979.004699999998</v>
      </c>
      <c r="N1864" s="372">
        <v>1.012</v>
      </c>
      <c r="O1864" s="703">
        <v>1.829163601738544</v>
      </c>
      <c r="P1864" s="375" t="s">
        <v>623</v>
      </c>
      <c r="Q1864" s="372" t="s">
        <v>623</v>
      </c>
      <c r="R1864" s="695">
        <v>20020308</v>
      </c>
      <c r="S1864" s="372" t="s">
        <v>12237</v>
      </c>
      <c r="T1864" s="696">
        <v>0.20900000000000002</v>
      </c>
      <c r="U1864" s="372" t="s">
        <v>12238</v>
      </c>
      <c r="V1864" s="722">
        <v>6.08</v>
      </c>
      <c r="W1864" s="722">
        <v>1.07</v>
      </c>
      <c r="X1864" s="722">
        <v>1.26</v>
      </c>
      <c r="Y1864" s="722">
        <v>8.43</v>
      </c>
      <c r="Z1864" s="382" t="s">
        <v>934</v>
      </c>
      <c r="AA1864" s="372">
        <v>421.29577339999997</v>
      </c>
      <c r="AB1864" s="372">
        <v>496.34479750000003</v>
      </c>
      <c r="AC1864" s="372">
        <v>503.0253247</v>
      </c>
      <c r="AD1864" s="372">
        <v>509.29305240000002</v>
      </c>
      <c r="AE1864" s="372">
        <v>0</v>
      </c>
      <c r="AF1864" s="372">
        <v>0</v>
      </c>
      <c r="AG1864" s="372">
        <v>0</v>
      </c>
      <c r="AH1864" s="372">
        <v>0</v>
      </c>
    </row>
    <row r="1865" spans="1:34">
      <c r="A1865" s="372" t="s">
        <v>12239</v>
      </c>
      <c r="B1865" s="373" t="s">
        <v>12240</v>
      </c>
      <c r="C1865" s="372" t="s">
        <v>12241</v>
      </c>
      <c r="D1865" s="374">
        <v>1101110361008</v>
      </c>
      <c r="E1865" s="372" t="s">
        <v>12242</v>
      </c>
      <c r="F1865" s="375" t="s">
        <v>852</v>
      </c>
      <c r="G1865" s="375" t="s">
        <v>852</v>
      </c>
      <c r="H1865" s="375" t="s">
        <v>3127</v>
      </c>
      <c r="I1865" s="375" t="s">
        <v>869</v>
      </c>
      <c r="J1865" s="375">
        <v>42793.696739999999</v>
      </c>
      <c r="K1865" s="375">
        <v>3325.2508499999999</v>
      </c>
      <c r="L1865" s="375">
        <v>3519.5051100000001</v>
      </c>
      <c r="M1865" s="375">
        <v>45343.016340000002</v>
      </c>
      <c r="N1865" s="372">
        <v>0.69699999999999995</v>
      </c>
      <c r="O1865" s="703">
        <v>11.773703214280522</v>
      </c>
      <c r="P1865" s="375" t="s">
        <v>623</v>
      </c>
      <c r="Q1865" s="372" t="s">
        <v>623</v>
      </c>
      <c r="R1865" s="695">
        <v>20001114</v>
      </c>
      <c r="S1865" s="372" t="s">
        <v>12243</v>
      </c>
      <c r="T1865" s="696">
        <v>0.20900000000000002</v>
      </c>
      <c r="U1865" s="372" t="s">
        <v>12244</v>
      </c>
      <c r="V1865" s="722">
        <v>0</v>
      </c>
      <c r="W1865" s="722">
        <v>1.47</v>
      </c>
      <c r="X1865" s="722">
        <v>0</v>
      </c>
      <c r="Y1865" s="722">
        <v>0</v>
      </c>
      <c r="Z1865" s="382" t="s">
        <v>934</v>
      </c>
      <c r="AA1865" s="372">
        <v>403.56576949999999</v>
      </c>
      <c r="AB1865" s="372">
        <v>404.36845310000001</v>
      </c>
      <c r="AC1865" s="372">
        <v>435.39693970000002</v>
      </c>
      <c r="AD1865" s="372">
        <v>427.93696740000001</v>
      </c>
      <c r="AE1865" s="372">
        <v>0</v>
      </c>
      <c r="AF1865" s="372">
        <v>0</v>
      </c>
      <c r="AG1865" s="372">
        <v>0</v>
      </c>
      <c r="AH1865" s="372">
        <v>0</v>
      </c>
    </row>
    <row r="1866" spans="1:34">
      <c r="A1866" s="372" t="s">
        <v>12245</v>
      </c>
      <c r="B1866" s="373" t="s">
        <v>12246</v>
      </c>
      <c r="C1866" s="372" t="s">
        <v>12247</v>
      </c>
      <c r="D1866" s="374">
        <v>1101115733509</v>
      </c>
      <c r="E1866" s="372" t="s">
        <v>12248</v>
      </c>
      <c r="F1866" s="372" t="s">
        <v>2193</v>
      </c>
      <c r="G1866" s="375" t="s">
        <v>12249</v>
      </c>
      <c r="H1866" s="375" t="s">
        <v>868</v>
      </c>
      <c r="I1866" s="375" t="s">
        <v>869</v>
      </c>
      <c r="J1866" s="375">
        <v>31111.152859999998</v>
      </c>
      <c r="K1866" s="375">
        <v>-1056.3899100000001</v>
      </c>
      <c r="L1866" s="375">
        <v>-5210.0409</v>
      </c>
      <c r="M1866" s="375">
        <v>37197.880290000001</v>
      </c>
      <c r="N1866" s="372">
        <v>1.06</v>
      </c>
      <c r="O1866" s="703">
        <v>104.28816540674875</v>
      </c>
      <c r="P1866" s="375" t="s">
        <v>623</v>
      </c>
      <c r="Q1866" s="372" t="s">
        <v>623</v>
      </c>
      <c r="R1866" s="695">
        <v>20150806</v>
      </c>
      <c r="S1866" s="372" t="s">
        <v>12250</v>
      </c>
      <c r="T1866" s="696" t="s">
        <v>772</v>
      </c>
      <c r="U1866" s="372" t="s">
        <v>12251</v>
      </c>
      <c r="V1866" s="722">
        <v>0</v>
      </c>
      <c r="W1866" s="722">
        <v>1.97</v>
      </c>
      <c r="X1866" s="722">
        <v>0</v>
      </c>
      <c r="Y1866" s="722">
        <v>0</v>
      </c>
      <c r="Z1866" s="382" t="s">
        <v>934</v>
      </c>
      <c r="AA1866" s="372">
        <v>234.08469980000001</v>
      </c>
      <c r="AB1866" s="372">
        <v>328.85094370000002</v>
      </c>
      <c r="AC1866" s="372">
        <v>347.31413620000001</v>
      </c>
      <c r="AD1866" s="372">
        <v>311.11152859999999</v>
      </c>
      <c r="AE1866" s="372">
        <v>0</v>
      </c>
      <c r="AF1866" s="372">
        <v>0</v>
      </c>
      <c r="AG1866" s="372">
        <v>0</v>
      </c>
      <c r="AH1866" s="372">
        <v>0</v>
      </c>
    </row>
    <row r="1867" spans="1:34">
      <c r="A1867" s="372" t="s">
        <v>12252</v>
      </c>
      <c r="B1867" s="373" t="s">
        <v>12253</v>
      </c>
      <c r="C1867" s="372" t="s">
        <v>12254</v>
      </c>
      <c r="D1867" s="374">
        <v>1345110001228</v>
      </c>
      <c r="E1867" s="372" t="s">
        <v>12255</v>
      </c>
      <c r="F1867" s="375" t="s">
        <v>1292</v>
      </c>
      <c r="G1867" s="375" t="s">
        <v>1293</v>
      </c>
      <c r="H1867" s="375" t="s">
        <v>868</v>
      </c>
      <c r="I1867" s="375" t="s">
        <v>869</v>
      </c>
      <c r="J1867" s="375">
        <v>149383.25098000001</v>
      </c>
      <c r="K1867" s="375">
        <v>15801.95002</v>
      </c>
      <c r="L1867" s="375">
        <v>16892.181629999999</v>
      </c>
      <c r="M1867" s="375">
        <v>99311.2981</v>
      </c>
      <c r="N1867" s="372">
        <v>1.163</v>
      </c>
      <c r="O1867" s="703">
        <v>13.587325769454331</v>
      </c>
      <c r="P1867" s="375" t="s">
        <v>623</v>
      </c>
      <c r="Q1867" s="375" t="s">
        <v>623</v>
      </c>
      <c r="R1867" s="695">
        <v>20090512</v>
      </c>
      <c r="S1867" s="375" t="s">
        <v>12256</v>
      </c>
      <c r="T1867" s="696">
        <v>0.20900000000000002</v>
      </c>
      <c r="U1867" s="372" t="s">
        <v>12257</v>
      </c>
      <c r="V1867" s="722">
        <v>3.95</v>
      </c>
      <c r="W1867" s="722">
        <v>0.69</v>
      </c>
      <c r="X1867" s="722">
        <v>0.49</v>
      </c>
      <c r="Y1867" s="722">
        <v>5.54</v>
      </c>
      <c r="Z1867" s="382" t="s">
        <v>934</v>
      </c>
      <c r="AA1867" s="372">
        <v>1191.1641884999999</v>
      </c>
      <c r="AB1867" s="372">
        <v>1418.1379380000001</v>
      </c>
      <c r="AC1867" s="372">
        <v>1345.5528028000001</v>
      </c>
      <c r="AD1867" s="372">
        <v>1493.8325098</v>
      </c>
      <c r="AE1867" s="372">
        <v>0</v>
      </c>
      <c r="AF1867" s="372">
        <v>0</v>
      </c>
      <c r="AG1867" s="372">
        <v>0</v>
      </c>
      <c r="AH1867" s="372">
        <v>0</v>
      </c>
    </row>
    <row r="1868" spans="1:34">
      <c r="A1868" s="372" t="s">
        <v>12258</v>
      </c>
      <c r="B1868" s="373" t="s">
        <v>12259</v>
      </c>
      <c r="C1868" s="372" t="s">
        <v>12260</v>
      </c>
      <c r="D1868" s="374">
        <v>1101111187031</v>
      </c>
      <c r="E1868" s="372" t="s">
        <v>12261</v>
      </c>
      <c r="F1868" s="375" t="s">
        <v>10146</v>
      </c>
      <c r="G1868" s="375" t="s">
        <v>10146</v>
      </c>
      <c r="H1868" s="375" t="s">
        <v>868</v>
      </c>
      <c r="I1868" s="375" t="s">
        <v>869</v>
      </c>
      <c r="J1868" s="375">
        <v>41956.462579999999</v>
      </c>
      <c r="K1868" s="375">
        <v>2930.3643499999998</v>
      </c>
      <c r="L1868" s="375">
        <v>4135.9535900000001</v>
      </c>
      <c r="M1868" s="375">
        <v>65974.166519999999</v>
      </c>
      <c r="N1868" s="372">
        <v>1.0029999999999999</v>
      </c>
      <c r="O1868" s="703">
        <v>11.127933293335499</v>
      </c>
      <c r="P1868" s="375" t="s">
        <v>623</v>
      </c>
      <c r="Q1868" s="372" t="s">
        <v>623</v>
      </c>
      <c r="R1868" s="695">
        <v>20010914</v>
      </c>
      <c r="S1868" s="372" t="s">
        <v>12262</v>
      </c>
      <c r="T1868" s="696">
        <v>0.20900000000000002</v>
      </c>
      <c r="U1868" s="372" t="s">
        <v>12263</v>
      </c>
      <c r="V1868" s="722">
        <v>16.22</v>
      </c>
      <c r="W1868" s="722">
        <v>1.07</v>
      </c>
      <c r="X1868" s="722">
        <v>1.62</v>
      </c>
      <c r="Y1868" s="722">
        <v>18.260000000000002</v>
      </c>
      <c r="Z1868" s="382" t="s">
        <v>934</v>
      </c>
      <c r="AA1868" s="372">
        <v>324.8528341</v>
      </c>
      <c r="AB1868" s="372">
        <v>382.63528450000001</v>
      </c>
      <c r="AC1868" s="372">
        <v>390.52752800000002</v>
      </c>
      <c r="AD1868" s="372">
        <v>419.56462579999999</v>
      </c>
      <c r="AE1868" s="372">
        <v>0</v>
      </c>
      <c r="AF1868" s="372">
        <v>0</v>
      </c>
      <c r="AG1868" s="372">
        <v>0</v>
      </c>
      <c r="AH1868" s="372">
        <v>0</v>
      </c>
    </row>
    <row r="1869" spans="1:34">
      <c r="A1869" s="372" t="s">
        <v>12264</v>
      </c>
      <c r="B1869" s="373" t="s">
        <v>12265</v>
      </c>
      <c r="C1869" s="372" t="s">
        <v>12266</v>
      </c>
      <c r="D1869" s="374">
        <v>1211110078395</v>
      </c>
      <c r="E1869" s="372" t="s">
        <v>12267</v>
      </c>
      <c r="F1869" s="375" t="s">
        <v>1195</v>
      </c>
      <c r="G1869" s="375" t="s">
        <v>3144</v>
      </c>
      <c r="H1869" s="375" t="s">
        <v>868</v>
      </c>
      <c r="I1869" s="375" t="s">
        <v>869</v>
      </c>
      <c r="J1869" s="375">
        <v>20754.838400000001</v>
      </c>
      <c r="K1869" s="375">
        <v>-2511.1185599999999</v>
      </c>
      <c r="L1869" s="375">
        <v>-1414.32583</v>
      </c>
      <c r="M1869" s="375">
        <v>58003.862280000001</v>
      </c>
      <c r="N1869" s="372">
        <v>1.863</v>
      </c>
      <c r="O1869" s="703">
        <v>2.4863242428266554</v>
      </c>
      <c r="P1869" s="375" t="s">
        <v>623</v>
      </c>
      <c r="Q1869" s="372" t="s">
        <v>623</v>
      </c>
      <c r="R1869" s="695">
        <v>20200706</v>
      </c>
      <c r="S1869" s="375" t="s">
        <v>12268</v>
      </c>
      <c r="T1869" s="696" t="s">
        <v>772</v>
      </c>
      <c r="U1869" s="372" t="s">
        <v>12269</v>
      </c>
      <c r="V1869" s="722" t="s">
        <v>774</v>
      </c>
      <c r="W1869" s="722">
        <v>1.06</v>
      </c>
      <c r="X1869" s="722">
        <v>3.12</v>
      </c>
      <c r="Y1869" s="722" t="s">
        <v>774</v>
      </c>
      <c r="Z1869" s="382" t="s">
        <v>934</v>
      </c>
      <c r="AA1869" s="372">
        <v>415.7249453</v>
      </c>
      <c r="AB1869" s="372">
        <v>397.94110060000003</v>
      </c>
      <c r="AC1869" s="372">
        <v>218.1530913</v>
      </c>
      <c r="AD1869" s="372">
        <v>207.548384</v>
      </c>
      <c r="AE1869" s="372">
        <v>0</v>
      </c>
      <c r="AF1869" s="372">
        <v>0</v>
      </c>
      <c r="AG1869" s="372">
        <v>0</v>
      </c>
      <c r="AH1869" s="372">
        <v>0</v>
      </c>
    </row>
    <row r="1870" spans="1:34">
      <c r="A1870" s="372" t="s">
        <v>12270</v>
      </c>
      <c r="B1870" s="373" t="s">
        <v>12271</v>
      </c>
      <c r="C1870" s="372" t="s">
        <v>12272</v>
      </c>
      <c r="D1870" s="374">
        <v>1101116748507</v>
      </c>
      <c r="E1870" s="372" t="s">
        <v>12273</v>
      </c>
      <c r="F1870" s="375" t="s">
        <v>1585</v>
      </c>
      <c r="G1870" s="375" t="s">
        <v>1585</v>
      </c>
      <c r="H1870" s="375" t="s">
        <v>3127</v>
      </c>
      <c r="I1870" s="375" t="s">
        <v>869</v>
      </c>
      <c r="J1870" s="375">
        <v>30877.345379999999</v>
      </c>
      <c r="K1870" s="375">
        <v>3342.6688100000001</v>
      </c>
      <c r="L1870" s="375">
        <v>3594.9560799999999</v>
      </c>
      <c r="M1870" s="375">
        <v>40336.377529999998</v>
      </c>
      <c r="N1870" s="372">
        <v>0.94099999999999995</v>
      </c>
      <c r="O1870" s="703">
        <v>18.521894356665609</v>
      </c>
      <c r="P1870" s="375" t="s">
        <v>623</v>
      </c>
      <c r="Q1870" s="372" t="s">
        <v>623</v>
      </c>
      <c r="R1870" s="695">
        <v>20180921</v>
      </c>
      <c r="S1870" s="372" t="s">
        <v>9098</v>
      </c>
      <c r="T1870" s="696">
        <v>0.20900000000000002</v>
      </c>
      <c r="U1870" s="372" t="s">
        <v>12274</v>
      </c>
      <c r="V1870" s="722">
        <v>17.32</v>
      </c>
      <c r="W1870" s="722">
        <v>1.65</v>
      </c>
      <c r="X1870" s="722">
        <v>2.15</v>
      </c>
      <c r="Y1870" s="722">
        <v>23.12</v>
      </c>
      <c r="Z1870" s="382" t="s">
        <v>934</v>
      </c>
      <c r="AA1870" s="372">
        <v>263.86235499999998</v>
      </c>
      <c r="AB1870" s="372">
        <v>277.7561255</v>
      </c>
      <c r="AC1870" s="372">
        <v>271.28845280000002</v>
      </c>
      <c r="AD1870" s="372">
        <v>308.77345380000003</v>
      </c>
      <c r="AE1870" s="372">
        <v>0</v>
      </c>
      <c r="AF1870" s="372">
        <v>0</v>
      </c>
      <c r="AG1870" s="372">
        <v>0</v>
      </c>
      <c r="AH1870" s="372">
        <v>0</v>
      </c>
    </row>
    <row r="1871" spans="1:34">
      <c r="A1871" s="372" t="s">
        <v>12275</v>
      </c>
      <c r="B1871" s="373" t="s">
        <v>12276</v>
      </c>
      <c r="C1871" s="372" t="s">
        <v>12277</v>
      </c>
      <c r="D1871" s="374">
        <v>1101112214429</v>
      </c>
      <c r="E1871" s="372" t="s">
        <v>12278</v>
      </c>
      <c r="F1871" s="375" t="s">
        <v>3941</v>
      </c>
      <c r="G1871" s="375" t="s">
        <v>6406</v>
      </c>
      <c r="H1871" s="375" t="s">
        <v>868</v>
      </c>
      <c r="I1871" s="375" t="s">
        <v>869</v>
      </c>
      <c r="J1871" s="375">
        <v>151377.30832000001</v>
      </c>
      <c r="K1871" s="375">
        <v>10523.447200000001</v>
      </c>
      <c r="L1871" s="375">
        <v>5610.6683000000003</v>
      </c>
      <c r="M1871" s="375">
        <v>101346.44764</v>
      </c>
      <c r="N1871" s="372">
        <v>0.95799999999999996</v>
      </c>
      <c r="O1871" s="703">
        <v>29.239322188911832</v>
      </c>
      <c r="P1871" s="375" t="s">
        <v>623</v>
      </c>
      <c r="Q1871" s="372" t="s">
        <v>623</v>
      </c>
      <c r="R1871" s="695">
        <v>20181213</v>
      </c>
      <c r="S1871" s="372" t="s">
        <v>12279</v>
      </c>
      <c r="T1871" s="696">
        <v>0.20900000000000002</v>
      </c>
      <c r="U1871" s="372" t="s">
        <v>12280</v>
      </c>
      <c r="V1871" s="722">
        <v>5.35</v>
      </c>
      <c r="W1871" s="722">
        <v>0.62</v>
      </c>
      <c r="X1871" s="722">
        <v>0.43</v>
      </c>
      <c r="Y1871" s="722">
        <v>14.17</v>
      </c>
      <c r="Z1871" s="382" t="s">
        <v>934</v>
      </c>
      <c r="AA1871" s="372">
        <v>1893.9879389</v>
      </c>
      <c r="AB1871" s="372">
        <v>2469.5787663000001</v>
      </c>
      <c r="AC1871" s="372">
        <v>1852.8594230000001</v>
      </c>
      <c r="AD1871" s="372">
        <v>1513.7730832</v>
      </c>
      <c r="AE1871" s="372">
        <v>0</v>
      </c>
      <c r="AF1871" s="372">
        <v>0</v>
      </c>
      <c r="AG1871" s="372">
        <v>0</v>
      </c>
      <c r="AH1871" s="372">
        <v>0</v>
      </c>
    </row>
    <row r="1872" spans="1:34">
      <c r="A1872" s="372" t="s">
        <v>12281</v>
      </c>
      <c r="B1872" s="373" t="s">
        <v>12282</v>
      </c>
      <c r="C1872" s="372" t="s">
        <v>12283</v>
      </c>
      <c r="D1872" s="374">
        <v>1211110060136</v>
      </c>
      <c r="E1872" s="372" t="s">
        <v>12284</v>
      </c>
      <c r="F1872" s="375" t="s">
        <v>770</v>
      </c>
      <c r="G1872" s="375" t="s">
        <v>770</v>
      </c>
      <c r="H1872" s="375" t="s">
        <v>1388</v>
      </c>
      <c r="I1872" s="375" t="s">
        <v>869</v>
      </c>
      <c r="J1872" s="375">
        <v>21928.27651</v>
      </c>
      <c r="K1872" s="375">
        <v>-4543.7802799999999</v>
      </c>
      <c r="L1872" s="375">
        <v>5551.0993099999996</v>
      </c>
      <c r="M1872" s="375">
        <v>80841.200570000001</v>
      </c>
      <c r="N1872" s="372" t="s">
        <v>1033</v>
      </c>
      <c r="O1872" s="703">
        <v>21.186653462254572</v>
      </c>
      <c r="P1872" s="375" t="s">
        <v>623</v>
      </c>
      <c r="Q1872" s="375" t="s">
        <v>623</v>
      </c>
      <c r="R1872" s="695">
        <v>20021202</v>
      </c>
      <c r="S1872" s="372" t="s">
        <v>12285</v>
      </c>
      <c r="T1872" s="696">
        <v>0.20900000000000002</v>
      </c>
      <c r="U1872" s="372" t="s">
        <v>12286</v>
      </c>
      <c r="V1872" s="722">
        <v>0</v>
      </c>
      <c r="W1872" s="722">
        <v>0.78</v>
      </c>
      <c r="X1872" s="722">
        <v>0</v>
      </c>
      <c r="Y1872" s="722">
        <v>0</v>
      </c>
      <c r="Z1872" s="382" t="s">
        <v>934</v>
      </c>
      <c r="AA1872" s="372">
        <v>229.87923169999999</v>
      </c>
      <c r="AB1872" s="372">
        <v>421.57381079999999</v>
      </c>
      <c r="AC1872" s="372">
        <v>206.55878759999999</v>
      </c>
      <c r="AD1872" s="372">
        <v>219.28276510000001</v>
      </c>
      <c r="AE1872" s="372">
        <v>0</v>
      </c>
      <c r="AF1872" s="372">
        <v>0</v>
      </c>
      <c r="AG1872" s="372">
        <v>0</v>
      </c>
      <c r="AH1872" s="372">
        <v>0</v>
      </c>
    </row>
    <row r="1873" spans="1:34">
      <c r="A1873" s="372" t="s">
        <v>12287</v>
      </c>
      <c r="B1873" s="373" t="s">
        <v>12288</v>
      </c>
      <c r="C1873" s="372" t="s">
        <v>12289</v>
      </c>
      <c r="D1873" s="374">
        <v>1101117889821</v>
      </c>
      <c r="E1873" s="372" t="s">
        <v>12290</v>
      </c>
      <c r="F1873" s="372" t="s">
        <v>622</v>
      </c>
      <c r="G1873" s="375" t="s">
        <v>622</v>
      </c>
      <c r="H1873" s="375" t="s">
        <v>1388</v>
      </c>
      <c r="I1873" s="375" t="s">
        <v>869</v>
      </c>
      <c r="J1873" s="375">
        <v>19463.077249999998</v>
      </c>
      <c r="K1873" s="375">
        <v>-2121.5445100000002</v>
      </c>
      <c r="L1873" s="375">
        <v>-6279.6877500000001</v>
      </c>
      <c r="M1873" s="375">
        <v>24150.274819999999</v>
      </c>
      <c r="N1873" s="372" t="s">
        <v>1033</v>
      </c>
      <c r="O1873" s="703">
        <v>2.4310494885672438</v>
      </c>
      <c r="P1873" s="375" t="s">
        <v>623</v>
      </c>
      <c r="Q1873" s="375" t="s">
        <v>623</v>
      </c>
      <c r="R1873" s="695">
        <v>20210903</v>
      </c>
      <c r="S1873" s="375" t="s">
        <v>12291</v>
      </c>
      <c r="T1873" s="696" t="s">
        <v>772</v>
      </c>
      <c r="U1873" s="372" t="s">
        <v>12292</v>
      </c>
      <c r="V1873" s="722">
        <v>0</v>
      </c>
      <c r="W1873" s="722">
        <v>3.32</v>
      </c>
      <c r="X1873" s="722">
        <v>0</v>
      </c>
      <c r="Y1873" s="722">
        <v>0</v>
      </c>
      <c r="Z1873" s="382" t="s">
        <v>934</v>
      </c>
      <c r="AA1873" s="372">
        <v>306.04300979999999</v>
      </c>
      <c r="AB1873" s="372">
        <v>280.33010710000002</v>
      </c>
      <c r="AC1873" s="372">
        <v>343.34226169999999</v>
      </c>
      <c r="AD1873" s="372">
        <v>194.63077250000001</v>
      </c>
      <c r="AE1873" s="372">
        <v>0</v>
      </c>
      <c r="AF1873" s="372">
        <v>0</v>
      </c>
      <c r="AG1873" s="372">
        <v>0</v>
      </c>
      <c r="AH1873" s="372">
        <v>0</v>
      </c>
    </row>
    <row r="1874" spans="1:34">
      <c r="A1874" s="372" t="s">
        <v>12293</v>
      </c>
      <c r="B1874" s="373" t="s">
        <v>12294</v>
      </c>
      <c r="C1874" s="372" t="s">
        <v>12295</v>
      </c>
      <c r="D1874" s="374">
        <v>1648110001094</v>
      </c>
      <c r="E1874" s="372" t="s">
        <v>12296</v>
      </c>
      <c r="F1874" s="372" t="s">
        <v>4141</v>
      </c>
      <c r="G1874" s="375" t="s">
        <v>4141</v>
      </c>
      <c r="H1874" s="375" t="s">
        <v>868</v>
      </c>
      <c r="I1874" s="375" t="s">
        <v>869</v>
      </c>
      <c r="J1874" s="375">
        <v>29660.837670000001</v>
      </c>
      <c r="K1874" s="375">
        <v>719.53917000000001</v>
      </c>
      <c r="L1874" s="375">
        <v>1725.1715799999999</v>
      </c>
      <c r="M1874" s="375">
        <v>73753.155759999994</v>
      </c>
      <c r="N1874" s="372">
        <v>0.86499999999999999</v>
      </c>
      <c r="O1874" s="703">
        <v>14.499901852213753</v>
      </c>
      <c r="P1874" s="375" t="s">
        <v>623</v>
      </c>
      <c r="Q1874" s="372" t="s">
        <v>623</v>
      </c>
      <c r="R1874" s="695">
        <v>20080408</v>
      </c>
      <c r="S1874" s="372" t="s">
        <v>12297</v>
      </c>
      <c r="T1874" s="696">
        <v>0.20900000000000002</v>
      </c>
      <c r="U1874" s="372" t="s">
        <v>12298</v>
      </c>
      <c r="V1874" s="722">
        <v>33.909999999999997</v>
      </c>
      <c r="W1874" s="722">
        <v>0.97</v>
      </c>
      <c r="X1874" s="722">
        <v>2.46</v>
      </c>
      <c r="Y1874" s="722">
        <v>57.69</v>
      </c>
      <c r="Z1874" s="382" t="s">
        <v>934</v>
      </c>
      <c r="AA1874" s="372">
        <v>292.94118129999998</v>
      </c>
      <c r="AB1874" s="372">
        <v>301.43893020000002</v>
      </c>
      <c r="AC1874" s="372">
        <v>340.26098710000002</v>
      </c>
      <c r="AD1874" s="372">
        <v>296.60837670000001</v>
      </c>
      <c r="AE1874" s="372">
        <v>0</v>
      </c>
      <c r="AF1874" s="372">
        <v>0</v>
      </c>
      <c r="AG1874" s="372">
        <v>0</v>
      </c>
      <c r="AH1874" s="372">
        <v>0</v>
      </c>
    </row>
    <row r="1875" spans="1:34">
      <c r="A1875" s="372" t="s">
        <v>12299</v>
      </c>
      <c r="B1875" s="373" t="s">
        <v>12300</v>
      </c>
      <c r="C1875" s="372" t="s">
        <v>12301</v>
      </c>
      <c r="D1875" s="374">
        <v>1101110825624</v>
      </c>
      <c r="E1875" s="372" t="s">
        <v>12302</v>
      </c>
      <c r="F1875" s="375" t="s">
        <v>12303</v>
      </c>
      <c r="G1875" s="375" t="s">
        <v>12303</v>
      </c>
      <c r="H1875" s="375" t="s">
        <v>3998</v>
      </c>
      <c r="I1875" s="375" t="s">
        <v>755</v>
      </c>
      <c r="J1875" s="375">
        <v>300003.32193999999</v>
      </c>
      <c r="K1875" s="375">
        <v>-2112.3272299999999</v>
      </c>
      <c r="L1875" s="375">
        <v>-16411.784360000001</v>
      </c>
      <c r="M1875" s="375">
        <v>139767.29303999999</v>
      </c>
      <c r="N1875" s="372">
        <v>1.0349999999999999</v>
      </c>
      <c r="O1875" s="703">
        <v>196.99550832227669</v>
      </c>
      <c r="P1875" s="375" t="s">
        <v>623</v>
      </c>
      <c r="Q1875" s="372" t="s">
        <v>623</v>
      </c>
      <c r="R1875" s="695">
        <v>20031104</v>
      </c>
      <c r="S1875" s="372" t="s">
        <v>12304</v>
      </c>
      <c r="T1875" s="696" t="s">
        <v>772</v>
      </c>
      <c r="U1875" s="372" t="s">
        <v>12305</v>
      </c>
      <c r="V1875" s="722">
        <v>19.75</v>
      </c>
      <c r="W1875" s="722">
        <v>0.5</v>
      </c>
      <c r="X1875" s="722">
        <v>0.23</v>
      </c>
      <c r="Y1875" s="722" t="s">
        <v>774</v>
      </c>
      <c r="Z1875" s="382" t="s">
        <v>934</v>
      </c>
      <c r="AA1875" s="372">
        <v>2532.1340184000001</v>
      </c>
      <c r="AB1875" s="372">
        <v>2632.4968806000002</v>
      </c>
      <c r="AC1875" s="372">
        <v>2834.1419944999998</v>
      </c>
      <c r="AD1875" s="372">
        <v>3000.0332193999998</v>
      </c>
      <c r="AE1875" s="372">
        <v>0</v>
      </c>
      <c r="AF1875" s="372">
        <v>0</v>
      </c>
      <c r="AG1875" s="372">
        <v>0</v>
      </c>
      <c r="AH1875" s="372">
        <v>0</v>
      </c>
    </row>
    <row r="1876" spans="1:34">
      <c r="A1876" s="372" t="s">
        <v>12306</v>
      </c>
      <c r="B1876" s="373" t="s">
        <v>12307</v>
      </c>
      <c r="C1876" s="372" t="s">
        <v>12308</v>
      </c>
      <c r="D1876" s="374">
        <v>1101112937857</v>
      </c>
      <c r="E1876" s="372" t="s">
        <v>12309</v>
      </c>
      <c r="F1876" s="372" t="s">
        <v>2880</v>
      </c>
      <c r="G1876" s="375" t="s">
        <v>2881</v>
      </c>
      <c r="H1876" s="375" t="s">
        <v>1348</v>
      </c>
      <c r="I1876" s="375" t="s">
        <v>869</v>
      </c>
      <c r="J1876" s="375">
        <v>36041.389499999997</v>
      </c>
      <c r="K1876" s="375">
        <v>-3939.0645500000001</v>
      </c>
      <c r="L1876" s="375">
        <v>-3177.2694799999999</v>
      </c>
      <c r="M1876" s="375">
        <v>62244.149879999997</v>
      </c>
      <c r="N1876" s="372">
        <v>0.91800000000000004</v>
      </c>
      <c r="O1876" s="703">
        <v>9.6725358594141184</v>
      </c>
      <c r="P1876" s="375" t="s">
        <v>623</v>
      </c>
      <c r="Q1876" s="372" t="s">
        <v>623</v>
      </c>
      <c r="R1876" s="695">
        <v>20151218</v>
      </c>
      <c r="S1876" s="372" t="s">
        <v>12310</v>
      </c>
      <c r="T1876" s="696" t="s">
        <v>772</v>
      </c>
      <c r="U1876" s="372" t="s">
        <v>12311</v>
      </c>
      <c r="V1876" s="722">
        <v>29.58</v>
      </c>
      <c r="W1876" s="722">
        <v>0.94</v>
      </c>
      <c r="X1876" s="722">
        <v>1.62</v>
      </c>
      <c r="Y1876" s="722" t="s">
        <v>774</v>
      </c>
      <c r="Z1876" s="382" t="s">
        <v>934</v>
      </c>
      <c r="AA1876" s="372">
        <v>824.39762189999999</v>
      </c>
      <c r="AB1876" s="372">
        <v>794.34903989999998</v>
      </c>
      <c r="AC1876" s="372">
        <v>644.68046389999995</v>
      </c>
      <c r="AD1876" s="372">
        <v>360.41389500000002</v>
      </c>
      <c r="AE1876" s="372">
        <v>0</v>
      </c>
      <c r="AF1876" s="372">
        <v>0</v>
      </c>
      <c r="AG1876" s="372">
        <v>0</v>
      </c>
      <c r="AH1876" s="372">
        <v>0</v>
      </c>
    </row>
    <row r="1877" spans="1:34">
      <c r="A1877" s="372" t="s">
        <v>12312</v>
      </c>
      <c r="B1877" s="373" t="s">
        <v>12313</v>
      </c>
      <c r="C1877" s="372" t="s">
        <v>12314</v>
      </c>
      <c r="D1877" s="374">
        <v>1601110063240</v>
      </c>
      <c r="E1877" s="372" t="s">
        <v>12315</v>
      </c>
      <c r="F1877" s="375" t="s">
        <v>1814</v>
      </c>
      <c r="G1877" s="375" t="s">
        <v>2821</v>
      </c>
      <c r="H1877" s="375" t="s">
        <v>1693</v>
      </c>
      <c r="I1877" s="375" t="s">
        <v>869</v>
      </c>
      <c r="J1877" s="375">
        <v>45650.974069999997</v>
      </c>
      <c r="K1877" s="375">
        <v>-3543.8791000000001</v>
      </c>
      <c r="L1877" s="375">
        <v>-342.13544000000002</v>
      </c>
      <c r="M1877" s="375">
        <v>112284.33091999999</v>
      </c>
      <c r="N1877" s="372">
        <v>0.83599999999999997</v>
      </c>
      <c r="O1877" s="703">
        <v>4.6764323735443092E-2</v>
      </c>
      <c r="P1877" s="375" t="s">
        <v>623</v>
      </c>
      <c r="Q1877" s="375" t="s">
        <v>623</v>
      </c>
      <c r="R1877" s="695">
        <v>20011113</v>
      </c>
      <c r="S1877" s="372" t="s">
        <v>12316</v>
      </c>
      <c r="T1877" s="696" t="s">
        <v>772</v>
      </c>
      <c r="U1877" s="372" t="s">
        <v>12317</v>
      </c>
      <c r="V1877" s="722">
        <v>0</v>
      </c>
      <c r="W1877" s="722">
        <v>0.53</v>
      </c>
      <c r="X1877" s="722">
        <v>0</v>
      </c>
      <c r="Y1877" s="722">
        <v>0</v>
      </c>
      <c r="Z1877" s="382" t="s">
        <v>934</v>
      </c>
      <c r="AA1877" s="372">
        <v>2919.548804</v>
      </c>
      <c r="AB1877" s="372">
        <v>502.55619330000002</v>
      </c>
      <c r="AC1877" s="372">
        <v>538.34114790000001</v>
      </c>
      <c r="AD1877" s="372">
        <v>456.50974070000001</v>
      </c>
      <c r="AE1877" s="372">
        <v>0</v>
      </c>
      <c r="AF1877" s="372">
        <v>0</v>
      </c>
      <c r="AG1877" s="372">
        <v>0</v>
      </c>
      <c r="AH1877" s="372">
        <v>0</v>
      </c>
    </row>
    <row r="1878" spans="1:34">
      <c r="A1878" s="372" t="s">
        <v>12318</v>
      </c>
      <c r="B1878" s="373" t="s">
        <v>12319</v>
      </c>
      <c r="C1878" s="372" t="s">
        <v>12320</v>
      </c>
      <c r="D1878" s="374">
        <v>1156110003902</v>
      </c>
      <c r="E1878" s="372" t="s">
        <v>12321</v>
      </c>
      <c r="F1878" s="375" t="s">
        <v>1728</v>
      </c>
      <c r="G1878" s="375" t="s">
        <v>1729</v>
      </c>
      <c r="H1878" s="375" t="s">
        <v>868</v>
      </c>
      <c r="I1878" s="375" t="s">
        <v>869</v>
      </c>
      <c r="J1878" s="375">
        <v>154622.78716000001</v>
      </c>
      <c r="K1878" s="375">
        <v>6282.2893400000003</v>
      </c>
      <c r="L1878" s="375">
        <v>6906.4795199999999</v>
      </c>
      <c r="M1878" s="375">
        <v>101765.59494</v>
      </c>
      <c r="N1878" s="372">
        <v>1.2390000000000001</v>
      </c>
      <c r="O1878" s="703">
        <v>36.163060528592183</v>
      </c>
      <c r="P1878" s="375" t="s">
        <v>623</v>
      </c>
      <c r="Q1878" s="372" t="s">
        <v>623</v>
      </c>
      <c r="R1878" s="695">
        <v>20030207</v>
      </c>
      <c r="S1878" s="372" t="s">
        <v>12322</v>
      </c>
      <c r="T1878" s="696">
        <v>0.20900000000000002</v>
      </c>
      <c r="U1878" s="372" t="s">
        <v>12323</v>
      </c>
      <c r="V1878" s="722">
        <v>0</v>
      </c>
      <c r="W1878" s="722">
        <v>0.69</v>
      </c>
      <c r="X1878" s="722">
        <v>0</v>
      </c>
      <c r="Y1878" s="722">
        <v>0</v>
      </c>
      <c r="Z1878" s="382" t="s">
        <v>934</v>
      </c>
      <c r="AA1878" s="372">
        <v>1250.7838340999999</v>
      </c>
      <c r="AB1878" s="372">
        <v>1371.8508578999999</v>
      </c>
      <c r="AC1878" s="372">
        <v>1431.3013212999999</v>
      </c>
      <c r="AD1878" s="372">
        <v>1546.2278716000001</v>
      </c>
      <c r="AE1878" s="372">
        <v>0</v>
      </c>
      <c r="AF1878" s="372">
        <v>0</v>
      </c>
      <c r="AG1878" s="372">
        <v>0</v>
      </c>
      <c r="AH1878" s="372">
        <v>0</v>
      </c>
    </row>
    <row r="1879" spans="1:34">
      <c r="A1879" s="372" t="s">
        <v>12324</v>
      </c>
      <c r="B1879" s="373" t="s">
        <v>12325</v>
      </c>
      <c r="C1879" s="372" t="s">
        <v>12326</v>
      </c>
      <c r="D1879" s="374">
        <v>1101114941038</v>
      </c>
      <c r="E1879" s="372" t="s">
        <v>12327</v>
      </c>
      <c r="F1879" s="375" t="s">
        <v>1714</v>
      </c>
      <c r="G1879" s="375" t="s">
        <v>1714</v>
      </c>
      <c r="H1879" s="375" t="s">
        <v>1348</v>
      </c>
      <c r="I1879" s="375" t="s">
        <v>869</v>
      </c>
      <c r="J1879" s="375">
        <v>0</v>
      </c>
      <c r="K1879" s="375">
        <v>0</v>
      </c>
      <c r="L1879" s="375">
        <v>0</v>
      </c>
      <c r="M1879" s="375">
        <v>22748.925650000001</v>
      </c>
      <c r="N1879" s="372" t="s">
        <v>1033</v>
      </c>
      <c r="O1879" s="703">
        <v>8.897072556259964</v>
      </c>
      <c r="P1879" s="375" t="s">
        <v>623</v>
      </c>
      <c r="Q1879" s="375" t="s">
        <v>623</v>
      </c>
      <c r="R1879" s="695">
        <v>20240125</v>
      </c>
      <c r="S1879" s="375" t="s">
        <v>9534</v>
      </c>
      <c r="T1879" s="696" t="s">
        <v>772</v>
      </c>
      <c r="U1879" s="372" t="s">
        <v>12328</v>
      </c>
      <c r="V1879" s="722">
        <v>0</v>
      </c>
      <c r="W1879" s="722">
        <v>0</v>
      </c>
      <c r="X1879" s="722">
        <v>0</v>
      </c>
      <c r="Y1879" s="722">
        <v>0</v>
      </c>
      <c r="Z1879" s="382" t="s">
        <v>934</v>
      </c>
      <c r="AA1879" s="372">
        <v>91.6113517</v>
      </c>
      <c r="AB1879" s="372">
        <v>122.30867840000001</v>
      </c>
      <c r="AC1879" s="372">
        <v>151.31063879999999</v>
      </c>
      <c r="AD1879" s="372">
        <v>173.7444486</v>
      </c>
      <c r="AE1879" s="372">
        <v>0</v>
      </c>
      <c r="AF1879" s="372">
        <v>0</v>
      </c>
      <c r="AG1879" s="372">
        <v>0</v>
      </c>
      <c r="AH1879" s="372">
        <v>0</v>
      </c>
    </row>
    <row r="1880" spans="1:34">
      <c r="A1880" s="372" t="s">
        <v>12329</v>
      </c>
      <c r="B1880" s="373" t="s">
        <v>12330</v>
      </c>
      <c r="C1880" s="372" t="s">
        <v>12331</v>
      </c>
      <c r="D1880" s="374">
        <v>1101111622540</v>
      </c>
      <c r="E1880" s="372" t="s">
        <v>12332</v>
      </c>
      <c r="F1880" s="375" t="s">
        <v>2207</v>
      </c>
      <c r="G1880" s="375" t="s">
        <v>12333</v>
      </c>
      <c r="H1880" s="375" t="s">
        <v>1388</v>
      </c>
      <c r="I1880" s="375" t="s">
        <v>869</v>
      </c>
      <c r="J1880" s="375">
        <v>152150.45191</v>
      </c>
      <c r="K1880" s="375">
        <v>4710.7629299999999</v>
      </c>
      <c r="L1880" s="375">
        <v>3257.6359299999999</v>
      </c>
      <c r="M1880" s="375">
        <v>102723.34259</v>
      </c>
      <c r="N1880" s="372">
        <v>1.0009999999999999</v>
      </c>
      <c r="O1880" s="703">
        <v>65.650670288800484</v>
      </c>
      <c r="P1880" s="375" t="s">
        <v>623</v>
      </c>
      <c r="Q1880" s="372" t="s">
        <v>623</v>
      </c>
      <c r="R1880" s="695">
        <v>20061128</v>
      </c>
      <c r="S1880" s="372" t="s">
        <v>12334</v>
      </c>
      <c r="T1880" s="696">
        <v>0.20900000000000002</v>
      </c>
      <c r="U1880" s="372" t="s">
        <v>12335</v>
      </c>
      <c r="V1880" s="722">
        <v>9.11</v>
      </c>
      <c r="W1880" s="722">
        <v>0.7</v>
      </c>
      <c r="X1880" s="722">
        <v>0.46</v>
      </c>
      <c r="Y1880" s="722">
        <v>43.28</v>
      </c>
      <c r="Z1880" s="382" t="s">
        <v>934</v>
      </c>
      <c r="AA1880" s="372">
        <v>1252.1218071000001</v>
      </c>
      <c r="AB1880" s="372">
        <v>1630.9535533000001</v>
      </c>
      <c r="AC1880" s="372">
        <v>1743.6592292</v>
      </c>
      <c r="AD1880" s="372">
        <v>1521.5045190999999</v>
      </c>
      <c r="AE1880" s="372">
        <v>0</v>
      </c>
      <c r="AF1880" s="372">
        <v>0</v>
      </c>
      <c r="AG1880" s="372">
        <v>0</v>
      </c>
      <c r="AH1880" s="372">
        <v>0</v>
      </c>
    </row>
    <row r="1881" spans="1:34">
      <c r="A1881" s="372" t="s">
        <v>12336</v>
      </c>
      <c r="B1881" s="373" t="s">
        <v>12337</v>
      </c>
      <c r="C1881" s="372" t="s">
        <v>12338</v>
      </c>
      <c r="D1881" s="374">
        <v>1101111887491</v>
      </c>
      <c r="E1881" s="372" t="s">
        <v>12339</v>
      </c>
      <c r="F1881" s="375" t="s">
        <v>1814</v>
      </c>
      <c r="G1881" s="375" t="s">
        <v>1815</v>
      </c>
      <c r="H1881" s="375" t="s">
        <v>1693</v>
      </c>
      <c r="I1881" s="375" t="s">
        <v>869</v>
      </c>
      <c r="J1881" s="375">
        <v>24205.105060000002</v>
      </c>
      <c r="K1881" s="375">
        <v>3809.4805200000001</v>
      </c>
      <c r="L1881" s="375">
        <v>6603.5950499999999</v>
      </c>
      <c r="M1881" s="375">
        <v>53293.130599999997</v>
      </c>
      <c r="N1881" s="372">
        <v>0.53100000000000003</v>
      </c>
      <c r="O1881" s="703">
        <v>3.0179154718808268</v>
      </c>
      <c r="P1881" s="375" t="s">
        <v>623</v>
      </c>
      <c r="Q1881" s="375" t="s">
        <v>623</v>
      </c>
      <c r="R1881" s="695">
        <v>20100525</v>
      </c>
      <c r="S1881" s="375" t="s">
        <v>12340</v>
      </c>
      <c r="T1881" s="696">
        <v>0.20900000000000002</v>
      </c>
      <c r="U1881" s="372" t="s">
        <v>12341</v>
      </c>
      <c r="V1881" s="722">
        <v>11.21</v>
      </c>
      <c r="W1881" s="722">
        <v>0.93</v>
      </c>
      <c r="X1881" s="722">
        <v>2.2799999999999998</v>
      </c>
      <c r="Y1881" s="722">
        <v>10.31</v>
      </c>
      <c r="Z1881" s="382" t="s">
        <v>934</v>
      </c>
      <c r="AA1881" s="372">
        <v>201.69959729999999</v>
      </c>
      <c r="AB1881" s="372">
        <v>211.0095699</v>
      </c>
      <c r="AC1881" s="372">
        <v>235.60257899999999</v>
      </c>
      <c r="AD1881" s="372">
        <v>242.0510506</v>
      </c>
      <c r="AE1881" s="372">
        <v>0</v>
      </c>
      <c r="AF1881" s="372">
        <v>0</v>
      </c>
      <c r="AG1881" s="372">
        <v>0</v>
      </c>
      <c r="AH1881" s="372">
        <v>0</v>
      </c>
    </row>
    <row r="1882" spans="1:34">
      <c r="A1882" s="372" t="s">
        <v>12342</v>
      </c>
      <c r="B1882" s="373" t="s">
        <v>12343</v>
      </c>
      <c r="C1882" s="372" t="s">
        <v>12344</v>
      </c>
      <c r="D1882" s="374">
        <v>1101111346439</v>
      </c>
      <c r="E1882" s="372" t="s">
        <v>12345</v>
      </c>
      <c r="F1882" s="375" t="s">
        <v>1814</v>
      </c>
      <c r="G1882" s="375" t="s">
        <v>1815</v>
      </c>
      <c r="H1882" s="375" t="s">
        <v>1693</v>
      </c>
      <c r="I1882" s="375" t="s">
        <v>869</v>
      </c>
      <c r="J1882" s="375">
        <v>40078.912559999997</v>
      </c>
      <c r="K1882" s="375">
        <v>3624.84663</v>
      </c>
      <c r="L1882" s="375">
        <v>4084.02567</v>
      </c>
      <c r="M1882" s="375">
        <v>52018.291879999997</v>
      </c>
      <c r="N1882" s="372">
        <v>0.89200000000000002</v>
      </c>
      <c r="O1882" s="703">
        <v>2.7165710862684467</v>
      </c>
      <c r="P1882" s="375" t="s">
        <v>623</v>
      </c>
      <c r="Q1882" s="372" t="s">
        <v>623</v>
      </c>
      <c r="R1882" s="695">
        <v>20210205</v>
      </c>
      <c r="S1882" s="372" t="s">
        <v>12346</v>
      </c>
      <c r="T1882" s="696">
        <v>0.20900000000000002</v>
      </c>
      <c r="U1882" s="372" t="s">
        <v>12347</v>
      </c>
      <c r="V1882" s="722">
        <v>13.24</v>
      </c>
      <c r="W1882" s="722">
        <v>1.17</v>
      </c>
      <c r="X1882" s="722">
        <v>1.36</v>
      </c>
      <c r="Y1882" s="722">
        <v>17.25</v>
      </c>
      <c r="Z1882" s="382" t="s">
        <v>934</v>
      </c>
      <c r="AA1882" s="372">
        <v>152.70479180000001</v>
      </c>
      <c r="AB1882" s="372">
        <v>156.7747277</v>
      </c>
      <c r="AC1882" s="372">
        <v>263.66936659999999</v>
      </c>
      <c r="AD1882" s="372">
        <v>400.78912559999998</v>
      </c>
      <c r="AE1882" s="372">
        <v>0</v>
      </c>
      <c r="AF1882" s="372">
        <v>0</v>
      </c>
      <c r="AG1882" s="372">
        <v>0</v>
      </c>
      <c r="AH1882" s="372">
        <v>0</v>
      </c>
    </row>
    <row r="1883" spans="1:34">
      <c r="A1883" s="372" t="s">
        <v>12348</v>
      </c>
      <c r="B1883" s="373" t="s">
        <v>12349</v>
      </c>
      <c r="C1883" s="372" t="s">
        <v>12350</v>
      </c>
      <c r="D1883" s="374">
        <v>1311110423499</v>
      </c>
      <c r="E1883" s="372" t="s">
        <v>12351</v>
      </c>
      <c r="F1883" s="372" t="s">
        <v>786</v>
      </c>
      <c r="G1883" s="375" t="s">
        <v>786</v>
      </c>
      <c r="H1883" s="375" t="s">
        <v>868</v>
      </c>
      <c r="I1883" s="375" t="s">
        <v>869</v>
      </c>
      <c r="J1883" s="375">
        <v>100</v>
      </c>
      <c r="K1883" s="375">
        <v>-40349.292509999999</v>
      </c>
      <c r="L1883" s="375">
        <v>-42455.26238</v>
      </c>
      <c r="M1883" s="375">
        <v>19720.230920000002</v>
      </c>
      <c r="N1883" s="372">
        <v>0.95299999999999996</v>
      </c>
      <c r="O1883" s="703">
        <v>6.2428591182963702</v>
      </c>
      <c r="P1883" s="375" t="s">
        <v>623</v>
      </c>
      <c r="Q1883" s="375" t="s">
        <v>623</v>
      </c>
      <c r="R1883" s="695">
        <v>20191220</v>
      </c>
      <c r="S1883" s="375" t="s">
        <v>12352</v>
      </c>
      <c r="T1883" s="696" t="s">
        <v>772</v>
      </c>
      <c r="U1883" s="372" t="s">
        <v>12353</v>
      </c>
      <c r="V1883" s="722" t="s">
        <v>774</v>
      </c>
      <c r="W1883" s="722">
        <v>4.5</v>
      </c>
      <c r="X1883" s="722">
        <v>826.2</v>
      </c>
      <c r="Y1883" s="722" t="s">
        <v>774</v>
      </c>
      <c r="Z1883" s="382" t="s">
        <v>934</v>
      </c>
      <c r="AA1883" s="372">
        <v>63.399464700000003</v>
      </c>
      <c r="AB1883" s="372">
        <v>19.241581499999999</v>
      </c>
      <c r="AC1883" s="372">
        <v>30.2374185</v>
      </c>
      <c r="AD1883" s="372">
        <v>1</v>
      </c>
      <c r="AE1883" s="372">
        <v>0</v>
      </c>
      <c r="AF1883" s="372">
        <v>0</v>
      </c>
      <c r="AG1883" s="372">
        <v>0</v>
      </c>
      <c r="AH1883" s="372">
        <v>0</v>
      </c>
    </row>
    <row r="1884" spans="1:34">
      <c r="A1884" s="372" t="s">
        <v>12354</v>
      </c>
      <c r="B1884" s="373" t="s">
        <v>12355</v>
      </c>
      <c r="C1884" s="372" t="s">
        <v>12356</v>
      </c>
      <c r="D1884" s="374">
        <v>1313110055652</v>
      </c>
      <c r="E1884" s="372" t="s">
        <v>12357</v>
      </c>
      <c r="F1884" s="372" t="s">
        <v>1005</v>
      </c>
      <c r="G1884" s="375" t="s">
        <v>7193</v>
      </c>
      <c r="H1884" s="375" t="s">
        <v>1388</v>
      </c>
      <c r="I1884" s="375" t="s">
        <v>869</v>
      </c>
      <c r="J1884" s="375">
        <v>172928.95533999999</v>
      </c>
      <c r="K1884" s="375">
        <v>2171.60412</v>
      </c>
      <c r="L1884" s="375">
        <v>3663.4849300000001</v>
      </c>
      <c r="M1884" s="375">
        <v>100525.44637999999</v>
      </c>
      <c r="N1884" s="372">
        <v>1.006</v>
      </c>
      <c r="O1884" s="703">
        <v>16.47287353037062</v>
      </c>
      <c r="P1884" s="375" t="s">
        <v>623</v>
      </c>
      <c r="Q1884" s="372" t="s">
        <v>623</v>
      </c>
      <c r="R1884" s="695">
        <v>20211008</v>
      </c>
      <c r="S1884" s="372" t="s">
        <v>12358</v>
      </c>
      <c r="T1884" s="696">
        <v>0.20900000000000002</v>
      </c>
      <c r="U1884" s="372" t="s">
        <v>12359</v>
      </c>
      <c r="V1884" s="722">
        <v>10.119999999999999</v>
      </c>
      <c r="W1884" s="722">
        <v>0.62</v>
      </c>
      <c r="X1884" s="722">
        <v>0.36</v>
      </c>
      <c r="Y1884" s="722">
        <v>67.849999999999994</v>
      </c>
      <c r="Z1884" s="382" t="s">
        <v>934</v>
      </c>
      <c r="AA1884" s="372">
        <v>2216.9806856999999</v>
      </c>
      <c r="AB1884" s="372">
        <v>2638.4532356</v>
      </c>
      <c r="AC1884" s="372">
        <v>2164.4088783000002</v>
      </c>
      <c r="AD1884" s="372">
        <v>1729.2895533999999</v>
      </c>
      <c r="AE1884" s="372">
        <v>0</v>
      </c>
      <c r="AF1884" s="372">
        <v>0</v>
      </c>
      <c r="AG1884" s="372">
        <v>0</v>
      </c>
      <c r="AH1884" s="372">
        <v>0</v>
      </c>
    </row>
    <row r="1885" spans="1:34">
      <c r="A1885" s="372" t="s">
        <v>12360</v>
      </c>
      <c r="B1885" s="373" t="s">
        <v>12361</v>
      </c>
      <c r="C1885" s="372" t="s">
        <v>12362</v>
      </c>
      <c r="D1885" s="374">
        <v>1358110109364</v>
      </c>
      <c r="E1885" s="372" t="s">
        <v>12363</v>
      </c>
      <c r="F1885" s="372" t="s">
        <v>887</v>
      </c>
      <c r="G1885" s="375" t="s">
        <v>887</v>
      </c>
      <c r="H1885" s="375" t="s">
        <v>868</v>
      </c>
      <c r="I1885" s="375" t="s">
        <v>869</v>
      </c>
      <c r="J1885" s="375">
        <v>180164.48241999999</v>
      </c>
      <c r="K1885" s="375">
        <v>-19154.1273</v>
      </c>
      <c r="L1885" s="375">
        <v>9895.8336400000007</v>
      </c>
      <c r="M1885" s="375">
        <v>265487.22321999999</v>
      </c>
      <c r="N1885" s="372" t="s">
        <v>1033</v>
      </c>
      <c r="O1885" s="703">
        <v>31.194741803704339</v>
      </c>
      <c r="P1885" s="375" t="s">
        <v>623</v>
      </c>
      <c r="Q1885" s="372" t="s">
        <v>623</v>
      </c>
      <c r="R1885" s="695">
        <v>20080123</v>
      </c>
      <c r="S1885" s="372" t="s">
        <v>12364</v>
      </c>
      <c r="T1885" s="696">
        <v>0.20900000000000002</v>
      </c>
      <c r="U1885" s="372" t="s">
        <v>16094</v>
      </c>
      <c r="V1885" s="722" t="s">
        <v>774</v>
      </c>
      <c r="W1885" s="722">
        <v>0.27</v>
      </c>
      <c r="X1885" s="722">
        <v>0.37</v>
      </c>
      <c r="Y1885" s="722">
        <v>4.33</v>
      </c>
      <c r="Z1885" s="382" t="s">
        <v>934</v>
      </c>
      <c r="AA1885" s="372">
        <v>2163.4561453000001</v>
      </c>
      <c r="AB1885" s="372">
        <v>1126.9108240999999</v>
      </c>
      <c r="AC1885" s="372">
        <v>1552.7481167999999</v>
      </c>
      <c r="AD1885" s="372">
        <v>1801.6448241999999</v>
      </c>
      <c r="AE1885" s="372">
        <v>0</v>
      </c>
      <c r="AF1885" s="372">
        <v>0</v>
      </c>
      <c r="AG1885" s="372">
        <v>0</v>
      </c>
      <c r="AH1885" s="372">
        <v>0</v>
      </c>
    </row>
    <row r="1886" spans="1:34">
      <c r="A1886" s="372" t="s">
        <v>12365</v>
      </c>
      <c r="B1886" s="373" t="s">
        <v>12366</v>
      </c>
      <c r="C1886" s="372" t="s">
        <v>12367</v>
      </c>
      <c r="D1886" s="374">
        <v>1101116891801</v>
      </c>
      <c r="E1886" s="372" t="s">
        <v>12368</v>
      </c>
      <c r="F1886" s="372" t="s">
        <v>12369</v>
      </c>
      <c r="G1886" s="375" t="s">
        <v>12369</v>
      </c>
      <c r="H1886" s="375" t="s">
        <v>3127</v>
      </c>
      <c r="I1886" s="375" t="s">
        <v>869</v>
      </c>
      <c r="J1886" s="375">
        <v>41039.115319999997</v>
      </c>
      <c r="K1886" s="375">
        <v>2056.9456799999998</v>
      </c>
      <c r="L1886" s="375">
        <v>2779.6925299999998</v>
      </c>
      <c r="M1886" s="375">
        <v>30615.371279999999</v>
      </c>
      <c r="N1886" s="372">
        <v>1.157</v>
      </c>
      <c r="O1886" s="703">
        <v>13.756625447801435</v>
      </c>
      <c r="P1886" s="375" t="s">
        <v>623</v>
      </c>
      <c r="Q1886" s="372" t="s">
        <v>623</v>
      </c>
      <c r="R1886" s="695">
        <v>20181220</v>
      </c>
      <c r="S1886" s="372" t="s">
        <v>9098</v>
      </c>
      <c r="T1886" s="696">
        <v>0.20900000000000002</v>
      </c>
      <c r="U1886" s="372" t="s">
        <v>12370</v>
      </c>
      <c r="V1886" s="722">
        <v>0</v>
      </c>
      <c r="W1886" s="722">
        <v>3.13</v>
      </c>
      <c r="X1886" s="722">
        <v>0</v>
      </c>
      <c r="Y1886" s="722">
        <v>0</v>
      </c>
      <c r="Z1886" s="382" t="s">
        <v>934</v>
      </c>
      <c r="AA1886" s="372">
        <v>278.05576550000001</v>
      </c>
      <c r="AB1886" s="372">
        <v>323.28893859999999</v>
      </c>
      <c r="AC1886" s="372">
        <v>324.10293760000002</v>
      </c>
      <c r="AD1886" s="372">
        <v>410.39115320000002</v>
      </c>
      <c r="AE1886" s="372">
        <v>0</v>
      </c>
      <c r="AF1886" s="372">
        <v>0</v>
      </c>
      <c r="AG1886" s="372">
        <v>0</v>
      </c>
      <c r="AH1886" s="372">
        <v>0</v>
      </c>
    </row>
    <row r="1887" spans="1:34">
      <c r="A1887" s="372" t="s">
        <v>12371</v>
      </c>
      <c r="B1887" s="373" t="s">
        <v>12372</v>
      </c>
      <c r="C1887" s="372" t="s">
        <v>12373</v>
      </c>
      <c r="D1887" s="374">
        <v>1615110000037</v>
      </c>
      <c r="E1887" s="372" t="s">
        <v>12374</v>
      </c>
      <c r="F1887" s="372" t="s">
        <v>1881</v>
      </c>
      <c r="G1887" s="375" t="s">
        <v>1882</v>
      </c>
      <c r="H1887" s="375" t="s">
        <v>797</v>
      </c>
      <c r="I1887" s="375" t="s">
        <v>755</v>
      </c>
      <c r="J1887" s="375">
        <v>96577.221550000002</v>
      </c>
      <c r="K1887" s="375">
        <v>6606.30339</v>
      </c>
      <c r="L1887" s="375">
        <v>22477.656429999999</v>
      </c>
      <c r="M1887" s="375">
        <v>141051.73370000001</v>
      </c>
      <c r="N1887" s="372">
        <v>1.2470000000000001</v>
      </c>
      <c r="O1887" s="703">
        <v>31.677324123659034</v>
      </c>
      <c r="P1887" s="375" t="s">
        <v>623</v>
      </c>
      <c r="Q1887" s="372" t="s">
        <v>623</v>
      </c>
      <c r="R1887" s="695">
        <v>19760629</v>
      </c>
      <c r="S1887" s="372" t="s">
        <v>12375</v>
      </c>
      <c r="T1887" s="696">
        <v>0.23100000000000001</v>
      </c>
      <c r="U1887" s="372" t="s">
        <v>12376</v>
      </c>
      <c r="V1887" s="722">
        <v>6.16</v>
      </c>
      <c r="W1887" s="722">
        <v>0.49</v>
      </c>
      <c r="X1887" s="722">
        <v>0.72</v>
      </c>
      <c r="Y1887" s="722">
        <v>3.45</v>
      </c>
      <c r="Z1887" s="382" t="s">
        <v>934</v>
      </c>
      <c r="AA1887" s="372">
        <v>850.60365620000005</v>
      </c>
      <c r="AB1887" s="372">
        <v>577.71768369999995</v>
      </c>
      <c r="AC1887" s="372">
        <v>676.61514910000005</v>
      </c>
      <c r="AD1887" s="372">
        <v>965.77221550000002</v>
      </c>
      <c r="AE1887" s="372">
        <v>0</v>
      </c>
      <c r="AF1887" s="372">
        <v>0</v>
      </c>
      <c r="AG1887" s="372">
        <v>0</v>
      </c>
      <c r="AH1887" s="372">
        <v>0</v>
      </c>
    </row>
    <row r="1888" spans="1:34">
      <c r="A1888" s="372" t="s">
        <v>12377</v>
      </c>
      <c r="B1888" s="373" t="s">
        <v>12378</v>
      </c>
      <c r="C1888" s="372" t="s">
        <v>12379</v>
      </c>
      <c r="D1888" s="374">
        <v>1955110069249</v>
      </c>
      <c r="E1888" s="372" t="s">
        <v>12380</v>
      </c>
      <c r="F1888" s="375" t="s">
        <v>4533</v>
      </c>
      <c r="G1888" s="375" t="s">
        <v>4533</v>
      </c>
      <c r="H1888" s="375" t="s">
        <v>868</v>
      </c>
      <c r="I1888" s="375" t="s">
        <v>869</v>
      </c>
      <c r="J1888" s="375">
        <v>108390.54121</v>
      </c>
      <c r="K1888" s="375">
        <v>2084.9420399999999</v>
      </c>
      <c r="L1888" s="375">
        <v>302.39530999999999</v>
      </c>
      <c r="M1888" s="375">
        <v>80714.697910000003</v>
      </c>
      <c r="N1888" s="372">
        <v>0.92500000000000004</v>
      </c>
      <c r="O1888" s="703">
        <v>47.190233025610482</v>
      </c>
      <c r="P1888" s="375" t="s">
        <v>623</v>
      </c>
      <c r="Q1888" s="372" t="s">
        <v>623</v>
      </c>
      <c r="R1888" s="695">
        <v>20040211</v>
      </c>
      <c r="S1888" s="372" t="s">
        <v>12381</v>
      </c>
      <c r="T1888" s="696">
        <v>0.20900000000000002</v>
      </c>
      <c r="U1888" s="372" t="s">
        <v>12382</v>
      </c>
      <c r="V1888" s="722">
        <v>16.07</v>
      </c>
      <c r="W1888" s="722">
        <v>0.84</v>
      </c>
      <c r="X1888" s="722">
        <v>0.6</v>
      </c>
      <c r="Y1888" s="722">
        <v>137.68</v>
      </c>
      <c r="Z1888" s="382" t="s">
        <v>934</v>
      </c>
      <c r="AA1888" s="372">
        <v>933.80714320000004</v>
      </c>
      <c r="AB1888" s="372">
        <v>1041.4090005</v>
      </c>
      <c r="AC1888" s="372">
        <v>1181.8174266999999</v>
      </c>
      <c r="AD1888" s="372">
        <v>1083.9054120999999</v>
      </c>
      <c r="AE1888" s="372">
        <v>0</v>
      </c>
      <c r="AF1888" s="372">
        <v>0</v>
      </c>
      <c r="AG1888" s="372">
        <v>0</v>
      </c>
      <c r="AH1888" s="372">
        <v>0</v>
      </c>
    </row>
    <row r="1889" spans="1:34">
      <c r="A1889" s="372" t="s">
        <v>12383</v>
      </c>
      <c r="B1889" s="373" t="s">
        <v>12384</v>
      </c>
      <c r="C1889" s="372" t="s">
        <v>12385</v>
      </c>
      <c r="D1889" s="374">
        <v>1301110008771</v>
      </c>
      <c r="E1889" s="372" t="s">
        <v>12386</v>
      </c>
      <c r="F1889" s="372" t="s">
        <v>12387</v>
      </c>
      <c r="G1889" s="375" t="s">
        <v>12387</v>
      </c>
      <c r="H1889" s="375" t="s">
        <v>823</v>
      </c>
      <c r="I1889" s="375" t="s">
        <v>755</v>
      </c>
      <c r="J1889" s="375">
        <v>32950.2215</v>
      </c>
      <c r="K1889" s="375">
        <v>4582.1637600000004</v>
      </c>
      <c r="L1889" s="375">
        <v>5402.9895500000002</v>
      </c>
      <c r="M1889" s="375">
        <v>74747.202919999996</v>
      </c>
      <c r="N1889" s="372">
        <v>1.1970000000000001</v>
      </c>
      <c r="O1889" s="703">
        <v>2.8703269230449879</v>
      </c>
      <c r="P1889" s="375" t="s">
        <v>623</v>
      </c>
      <c r="Q1889" s="372" t="s">
        <v>623</v>
      </c>
      <c r="R1889" s="695">
        <v>19891114</v>
      </c>
      <c r="S1889" s="372" t="s">
        <v>12388</v>
      </c>
      <c r="T1889" s="696">
        <v>0.20900000000000002</v>
      </c>
      <c r="U1889" s="372" t="s">
        <v>12389</v>
      </c>
      <c r="V1889" s="722">
        <v>0</v>
      </c>
      <c r="W1889" s="722">
        <v>0.97</v>
      </c>
      <c r="X1889" s="722">
        <v>0</v>
      </c>
      <c r="Y1889" s="722">
        <v>0</v>
      </c>
      <c r="Z1889" s="382" t="s">
        <v>934</v>
      </c>
      <c r="AA1889" s="372">
        <v>195.39593869999999</v>
      </c>
      <c r="AB1889" s="372">
        <v>288.99466699999999</v>
      </c>
      <c r="AC1889" s="372">
        <v>300.93883440000002</v>
      </c>
      <c r="AD1889" s="372">
        <v>329.50221499999998</v>
      </c>
      <c r="AE1889" s="372">
        <v>0</v>
      </c>
      <c r="AF1889" s="372">
        <v>0</v>
      </c>
      <c r="AG1889" s="372">
        <v>0</v>
      </c>
      <c r="AH1889" s="372">
        <v>0</v>
      </c>
    </row>
    <row r="1890" spans="1:34">
      <c r="A1890" s="372" t="s">
        <v>12390</v>
      </c>
      <c r="B1890" s="373" t="s">
        <v>12391</v>
      </c>
      <c r="C1890" s="372" t="s">
        <v>12392</v>
      </c>
      <c r="D1890" s="374">
        <v>1101111182726</v>
      </c>
      <c r="E1890" s="372" t="s">
        <v>12393</v>
      </c>
      <c r="F1890" s="375" t="s">
        <v>1985</v>
      </c>
      <c r="G1890" s="375" t="s">
        <v>1985</v>
      </c>
      <c r="H1890" s="375" t="s">
        <v>868</v>
      </c>
      <c r="I1890" s="375" t="s">
        <v>869</v>
      </c>
      <c r="J1890" s="375">
        <v>26545.557980000001</v>
      </c>
      <c r="K1890" s="375">
        <v>-1724.4815599999999</v>
      </c>
      <c r="L1890" s="375">
        <v>39.148350000000001</v>
      </c>
      <c r="M1890" s="375">
        <v>48628.710709999999</v>
      </c>
      <c r="N1890" s="372">
        <v>0.86699999999999999</v>
      </c>
      <c r="O1890" s="703">
        <v>16.926529798540248</v>
      </c>
      <c r="P1890" s="375" t="s">
        <v>623</v>
      </c>
      <c r="Q1890" s="372" t="s">
        <v>623</v>
      </c>
      <c r="R1890" s="695">
        <v>20010629</v>
      </c>
      <c r="S1890" s="372" t="s">
        <v>12394</v>
      </c>
      <c r="T1890" s="696">
        <v>9.9000000000000005E-2</v>
      </c>
      <c r="U1890" s="372" t="s">
        <v>16095</v>
      </c>
      <c r="V1890" s="722" t="s">
        <v>774</v>
      </c>
      <c r="W1890" s="722">
        <v>1.4</v>
      </c>
      <c r="X1890" s="722">
        <v>2.56</v>
      </c>
      <c r="Y1890" s="722">
        <v>1734.2</v>
      </c>
      <c r="Z1890" s="382" t="s">
        <v>934</v>
      </c>
      <c r="AA1890" s="372">
        <v>227.61832419999999</v>
      </c>
      <c r="AB1890" s="372">
        <v>185.37583319999999</v>
      </c>
      <c r="AC1890" s="372">
        <v>255.0254549</v>
      </c>
      <c r="AD1890" s="372">
        <v>265.45557980000001</v>
      </c>
      <c r="AE1890" s="372">
        <v>0</v>
      </c>
      <c r="AF1890" s="372">
        <v>0</v>
      </c>
      <c r="AG1890" s="372">
        <v>0</v>
      </c>
      <c r="AH1890" s="372">
        <v>0</v>
      </c>
    </row>
    <row r="1891" spans="1:34">
      <c r="A1891" s="372" t="s">
        <v>12395</v>
      </c>
      <c r="B1891" s="373" t="s">
        <v>12396</v>
      </c>
      <c r="C1891" s="372" t="s">
        <v>12397</v>
      </c>
      <c r="D1891" s="374">
        <v>1101112099425</v>
      </c>
      <c r="E1891" s="372" t="s">
        <v>12398</v>
      </c>
      <c r="F1891" s="375" t="s">
        <v>1381</v>
      </c>
      <c r="G1891" s="375" t="s">
        <v>1381</v>
      </c>
      <c r="H1891" s="375" t="s">
        <v>1693</v>
      </c>
      <c r="I1891" s="375" t="s">
        <v>869</v>
      </c>
      <c r="J1891" s="375">
        <v>26572.39388</v>
      </c>
      <c r="K1891" s="375">
        <v>2824.6654600000002</v>
      </c>
      <c r="L1891" s="375">
        <v>3465.8910000000001</v>
      </c>
      <c r="M1891" s="375">
        <v>29774.904780000001</v>
      </c>
      <c r="N1891" s="372">
        <v>0.59899999999999998</v>
      </c>
      <c r="O1891" s="703">
        <v>0.23112869253911131</v>
      </c>
      <c r="P1891" s="375" t="s">
        <v>623</v>
      </c>
      <c r="Q1891" s="372" t="s">
        <v>623</v>
      </c>
      <c r="R1891" s="695">
        <v>20211014</v>
      </c>
      <c r="S1891" s="372" t="s">
        <v>12399</v>
      </c>
      <c r="T1891" s="696">
        <v>0.20900000000000002</v>
      </c>
      <c r="U1891" s="372" t="s">
        <v>12400</v>
      </c>
      <c r="V1891" s="722">
        <v>0</v>
      </c>
      <c r="W1891" s="722">
        <v>1.97</v>
      </c>
      <c r="X1891" s="722">
        <v>0</v>
      </c>
      <c r="Y1891" s="722">
        <v>0</v>
      </c>
      <c r="Z1891" s="382" t="s">
        <v>934</v>
      </c>
      <c r="AA1891" s="372">
        <v>189.15588740000001</v>
      </c>
      <c r="AB1891" s="372">
        <v>228.56123579999999</v>
      </c>
      <c r="AC1891" s="372">
        <v>270.899271</v>
      </c>
      <c r="AD1891" s="372">
        <v>265.72393879999998</v>
      </c>
      <c r="AE1891" s="372">
        <v>0</v>
      </c>
      <c r="AF1891" s="372">
        <v>0</v>
      </c>
      <c r="AG1891" s="372">
        <v>0</v>
      </c>
      <c r="AH1891" s="372">
        <v>0</v>
      </c>
    </row>
    <row r="1892" spans="1:34">
      <c r="A1892" s="372" t="s">
        <v>12401</v>
      </c>
      <c r="B1892" s="373" t="s">
        <v>12402</v>
      </c>
      <c r="C1892" s="372" t="s">
        <v>12403</v>
      </c>
      <c r="D1892" s="374">
        <v>1201110002022</v>
      </c>
      <c r="E1892" s="372" t="s">
        <v>12404</v>
      </c>
      <c r="F1892" s="372" t="s">
        <v>12405</v>
      </c>
      <c r="G1892" s="375" t="s">
        <v>12406</v>
      </c>
      <c r="H1892" s="375" t="s">
        <v>1481</v>
      </c>
      <c r="I1892" s="375" t="s">
        <v>755</v>
      </c>
      <c r="J1892" s="375">
        <v>250958.27202999999</v>
      </c>
      <c r="K1892" s="375">
        <v>5890.1260000000002</v>
      </c>
      <c r="L1892" s="375">
        <v>-9502.0418399999999</v>
      </c>
      <c r="M1892" s="375">
        <v>122824.44072</v>
      </c>
      <c r="N1892" s="372">
        <v>0.53700000000000003</v>
      </c>
      <c r="O1892" s="703">
        <v>255.70294799913711</v>
      </c>
      <c r="P1892" s="375" t="s">
        <v>623</v>
      </c>
      <c r="Q1892" s="372" t="s">
        <v>623</v>
      </c>
      <c r="R1892" s="695">
        <v>19900608</v>
      </c>
      <c r="S1892" s="372" t="s">
        <v>12407</v>
      </c>
      <c r="T1892" s="696" t="s">
        <v>772</v>
      </c>
      <c r="U1892" s="372" t="s">
        <v>12408</v>
      </c>
      <c r="V1892" s="722">
        <v>10.039999999999999</v>
      </c>
      <c r="W1892" s="722">
        <v>0.98</v>
      </c>
      <c r="X1892" s="722">
        <v>0.32</v>
      </c>
      <c r="Y1892" s="722" t="s">
        <v>774</v>
      </c>
      <c r="Z1892" s="382" t="s">
        <v>934</v>
      </c>
      <c r="AA1892" s="372">
        <v>2192.5839535999999</v>
      </c>
      <c r="AB1892" s="372">
        <v>2285.8117444</v>
      </c>
      <c r="AC1892" s="372">
        <v>2349.5239283000001</v>
      </c>
      <c r="AD1892" s="372">
        <v>2509.5827202999999</v>
      </c>
      <c r="AE1892" s="372">
        <v>0</v>
      </c>
      <c r="AF1892" s="372">
        <v>0</v>
      </c>
      <c r="AG1892" s="372">
        <v>0</v>
      </c>
      <c r="AH1892" s="372">
        <v>0</v>
      </c>
    </row>
    <row r="1893" spans="1:34">
      <c r="A1893" s="372" t="s">
        <v>12409</v>
      </c>
      <c r="B1893" s="373" t="s">
        <v>12410</v>
      </c>
      <c r="C1893" s="372" t="s">
        <v>12411</v>
      </c>
      <c r="D1893" s="374">
        <v>1101110045347</v>
      </c>
      <c r="E1893" s="372" t="s">
        <v>12412</v>
      </c>
      <c r="F1893" s="372" t="s">
        <v>2771</v>
      </c>
      <c r="G1893" s="375" t="s">
        <v>9480</v>
      </c>
      <c r="H1893" s="375" t="s">
        <v>868</v>
      </c>
      <c r="I1893" s="375" t="s">
        <v>869</v>
      </c>
      <c r="J1893" s="375">
        <v>0</v>
      </c>
      <c r="K1893" s="375">
        <v>0</v>
      </c>
      <c r="L1893" s="375">
        <v>0</v>
      </c>
      <c r="M1893" s="375">
        <v>62779.004730000001</v>
      </c>
      <c r="N1893" s="372">
        <v>0.23499999999999999</v>
      </c>
      <c r="O1893" s="703">
        <v>66.42356240452466</v>
      </c>
      <c r="P1893" s="375" t="s">
        <v>623</v>
      </c>
      <c r="Q1893" s="372" t="s">
        <v>623</v>
      </c>
      <c r="R1893" s="695">
        <v>19940930</v>
      </c>
      <c r="S1893" s="372" t="s">
        <v>12413</v>
      </c>
      <c r="T1893" s="696" t="s">
        <v>772</v>
      </c>
      <c r="U1893" s="372" t="s">
        <v>16096</v>
      </c>
      <c r="V1893" s="722">
        <v>0</v>
      </c>
      <c r="W1893" s="722">
        <v>1.1599999999999999</v>
      </c>
      <c r="X1893" s="722">
        <v>0</v>
      </c>
      <c r="Y1893" s="722">
        <v>0</v>
      </c>
      <c r="Z1893" s="382" t="s">
        <v>934</v>
      </c>
      <c r="AA1893" s="372">
        <v>375.20548939999998</v>
      </c>
      <c r="AB1893" s="372">
        <v>844.71062500000005</v>
      </c>
      <c r="AC1893" s="372">
        <v>841.43041879999998</v>
      </c>
      <c r="AD1893" s="372">
        <v>553.49435840000001</v>
      </c>
      <c r="AE1893" s="372">
        <v>0</v>
      </c>
      <c r="AF1893" s="372">
        <v>0</v>
      </c>
      <c r="AG1893" s="372">
        <v>0</v>
      </c>
      <c r="AH1893" s="372">
        <v>0</v>
      </c>
    </row>
    <row r="1894" spans="1:34">
      <c r="A1894" s="372" t="s">
        <v>12414</v>
      </c>
      <c r="B1894" s="373" t="s">
        <v>12415</v>
      </c>
      <c r="C1894" s="372" t="s">
        <v>12416</v>
      </c>
      <c r="D1894" s="374">
        <v>1101110530687</v>
      </c>
      <c r="E1894" s="372" t="s">
        <v>12417</v>
      </c>
      <c r="F1894" s="372" t="s">
        <v>7108</v>
      </c>
      <c r="G1894" s="375" t="s">
        <v>8338</v>
      </c>
      <c r="H1894" s="375" t="s">
        <v>868</v>
      </c>
      <c r="I1894" s="375" t="s">
        <v>869</v>
      </c>
      <c r="J1894" s="375">
        <v>26943.911899999999</v>
      </c>
      <c r="K1894" s="375">
        <v>-881.69245999999998</v>
      </c>
      <c r="L1894" s="375">
        <v>-1147.1070400000001</v>
      </c>
      <c r="M1894" s="375">
        <v>40178.308550000002</v>
      </c>
      <c r="N1894" s="372">
        <v>1.206</v>
      </c>
      <c r="O1894" s="703">
        <v>3.5473866817536233</v>
      </c>
      <c r="P1894" s="375" t="s">
        <v>623</v>
      </c>
      <c r="Q1894" s="375" t="s">
        <v>623</v>
      </c>
      <c r="R1894" s="695">
        <v>20060201</v>
      </c>
      <c r="S1894" s="375" t="s">
        <v>12418</v>
      </c>
      <c r="T1894" s="696" t="s">
        <v>772</v>
      </c>
      <c r="U1894" s="372" t="s">
        <v>12419</v>
      </c>
      <c r="V1894" s="722">
        <v>200.62</v>
      </c>
      <c r="W1894" s="722">
        <v>1.47</v>
      </c>
      <c r="X1894" s="722">
        <v>2.34</v>
      </c>
      <c r="Y1894" s="722" t="s">
        <v>774</v>
      </c>
      <c r="Z1894" s="382" t="s">
        <v>934</v>
      </c>
      <c r="AA1894" s="372">
        <v>229.44976389999999</v>
      </c>
      <c r="AB1894" s="372">
        <v>225.74207999999999</v>
      </c>
      <c r="AC1894" s="372">
        <v>262.87076330000002</v>
      </c>
      <c r="AD1894" s="372">
        <v>269.43911900000001</v>
      </c>
      <c r="AE1894" s="372">
        <v>0</v>
      </c>
      <c r="AF1894" s="372">
        <v>0</v>
      </c>
      <c r="AG1894" s="372">
        <v>0</v>
      </c>
      <c r="AH1894" s="372">
        <v>0</v>
      </c>
    </row>
    <row r="1895" spans="1:34">
      <c r="A1895" s="372" t="s">
        <v>12420</v>
      </c>
      <c r="B1895" s="373" t="s">
        <v>12421</v>
      </c>
      <c r="C1895" s="372" t="s">
        <v>12422</v>
      </c>
      <c r="D1895" s="374">
        <v>1101111600794</v>
      </c>
      <c r="E1895" s="372" t="s">
        <v>12423</v>
      </c>
      <c r="F1895" s="372" t="s">
        <v>6293</v>
      </c>
      <c r="G1895" s="375" t="s">
        <v>11033</v>
      </c>
      <c r="H1895" s="375" t="s">
        <v>4894</v>
      </c>
      <c r="I1895" s="375" t="s">
        <v>869</v>
      </c>
      <c r="J1895" s="375">
        <v>252508.56942000001</v>
      </c>
      <c r="K1895" s="375">
        <v>1357.9808</v>
      </c>
      <c r="L1895" s="375">
        <v>3035.0711099999999</v>
      </c>
      <c r="M1895" s="375">
        <v>103249.66985000001</v>
      </c>
      <c r="N1895" s="372">
        <v>1.194</v>
      </c>
      <c r="O1895" s="703">
        <v>46.28170519391319</v>
      </c>
      <c r="P1895" s="375" t="s">
        <v>623</v>
      </c>
      <c r="Q1895" s="372" t="s">
        <v>623</v>
      </c>
      <c r="R1895" s="695">
        <v>20020614</v>
      </c>
      <c r="S1895" s="372" t="s">
        <v>12424</v>
      </c>
      <c r="T1895" s="696">
        <v>0.20900000000000002</v>
      </c>
      <c r="U1895" s="372" t="s">
        <v>12425</v>
      </c>
      <c r="V1895" s="722">
        <v>14.94</v>
      </c>
      <c r="W1895" s="722">
        <v>0.55000000000000004</v>
      </c>
      <c r="X1895" s="722">
        <v>0.22</v>
      </c>
      <c r="Y1895" s="722">
        <v>38.35</v>
      </c>
      <c r="Z1895" s="382" t="s">
        <v>934</v>
      </c>
      <c r="AA1895" s="372">
        <v>3163.0583413999998</v>
      </c>
      <c r="AB1895" s="372">
        <v>1743.03666</v>
      </c>
      <c r="AC1895" s="372">
        <v>1962.9205168999999</v>
      </c>
      <c r="AD1895" s="372">
        <v>2525.0856942</v>
      </c>
      <c r="AE1895" s="372">
        <v>0</v>
      </c>
      <c r="AF1895" s="372">
        <v>0</v>
      </c>
      <c r="AG1895" s="372">
        <v>0</v>
      </c>
      <c r="AH1895" s="372">
        <v>0</v>
      </c>
    </row>
    <row r="1896" spans="1:34">
      <c r="A1896" s="372" t="s">
        <v>12426</v>
      </c>
      <c r="B1896" s="373" t="s">
        <v>12427</v>
      </c>
      <c r="C1896" s="372" t="s">
        <v>12428</v>
      </c>
      <c r="D1896" s="374">
        <v>1101110033839</v>
      </c>
      <c r="E1896" s="372" t="s">
        <v>12429</v>
      </c>
      <c r="F1896" s="375" t="s">
        <v>2282</v>
      </c>
      <c r="G1896" s="375" t="s">
        <v>2282</v>
      </c>
      <c r="H1896" s="375" t="s">
        <v>4894</v>
      </c>
      <c r="I1896" s="375" t="s">
        <v>869</v>
      </c>
      <c r="J1896" s="375">
        <v>151188.71937000001</v>
      </c>
      <c r="K1896" s="375">
        <v>-1086.2992899999999</v>
      </c>
      <c r="L1896" s="375">
        <v>-1600.0708099999999</v>
      </c>
      <c r="M1896" s="375">
        <v>46583.56884</v>
      </c>
      <c r="N1896" s="372">
        <v>1.0960000000000001</v>
      </c>
      <c r="O1896" s="703">
        <v>31.775470245039617</v>
      </c>
      <c r="P1896" s="375" t="s">
        <v>623</v>
      </c>
      <c r="Q1896" s="372" t="s">
        <v>623</v>
      </c>
      <c r="R1896" s="695">
        <v>19941116</v>
      </c>
      <c r="S1896" s="372" t="s">
        <v>5091</v>
      </c>
      <c r="T1896" s="696" t="s">
        <v>772</v>
      </c>
      <c r="U1896" s="372" t="s">
        <v>12430</v>
      </c>
      <c r="V1896" s="722">
        <v>0</v>
      </c>
      <c r="W1896" s="722">
        <v>1.38</v>
      </c>
      <c r="X1896" s="722">
        <v>0</v>
      </c>
      <c r="Y1896" s="722">
        <v>0</v>
      </c>
      <c r="Z1896" s="382" t="s">
        <v>934</v>
      </c>
      <c r="AA1896" s="372">
        <v>1532.3296307999999</v>
      </c>
      <c r="AB1896" s="372">
        <v>1949.3537193</v>
      </c>
      <c r="AC1896" s="372">
        <v>1945.5825295</v>
      </c>
      <c r="AD1896" s="372">
        <v>1511.8871936999999</v>
      </c>
      <c r="AE1896" s="372">
        <v>0</v>
      </c>
      <c r="AF1896" s="372">
        <v>0</v>
      </c>
      <c r="AG1896" s="372">
        <v>0</v>
      </c>
      <c r="AH1896" s="372">
        <v>0</v>
      </c>
    </row>
    <row r="1897" spans="1:34">
      <c r="A1897" s="372" t="s">
        <v>12431</v>
      </c>
      <c r="B1897" s="373" t="s">
        <v>12432</v>
      </c>
      <c r="C1897" s="372" t="s">
        <v>12433</v>
      </c>
      <c r="D1897" s="374">
        <v>1101111909865</v>
      </c>
      <c r="E1897" s="372" t="s">
        <v>12434</v>
      </c>
      <c r="F1897" s="372" t="s">
        <v>1814</v>
      </c>
      <c r="G1897" s="375" t="s">
        <v>2821</v>
      </c>
      <c r="H1897" s="375" t="s">
        <v>1693</v>
      </c>
      <c r="I1897" s="375" t="s">
        <v>869</v>
      </c>
      <c r="J1897" s="375">
        <v>25819.289870000001</v>
      </c>
      <c r="K1897" s="375">
        <v>3338.14975</v>
      </c>
      <c r="L1897" s="375">
        <v>5367.0149000000001</v>
      </c>
      <c r="M1897" s="375">
        <v>48186.025000000001</v>
      </c>
      <c r="N1897" s="372">
        <v>1.2889999999999999</v>
      </c>
      <c r="O1897" s="703">
        <v>2.8221424329136937</v>
      </c>
      <c r="P1897" s="375" t="s">
        <v>623</v>
      </c>
      <c r="Q1897" s="372" t="s">
        <v>623</v>
      </c>
      <c r="R1897" s="695">
        <v>20210819</v>
      </c>
      <c r="S1897" s="372" t="s">
        <v>12435</v>
      </c>
      <c r="T1897" s="696">
        <v>0.20900000000000002</v>
      </c>
      <c r="U1897" s="372" t="s">
        <v>12436</v>
      </c>
      <c r="V1897" s="722">
        <v>15.53</v>
      </c>
      <c r="W1897" s="722">
        <v>1.22</v>
      </c>
      <c r="X1897" s="722">
        <v>2.34</v>
      </c>
      <c r="Y1897" s="722">
        <v>12.01</v>
      </c>
      <c r="Z1897" s="382" t="s">
        <v>934</v>
      </c>
      <c r="AA1897" s="372">
        <v>148.294094</v>
      </c>
      <c r="AB1897" s="372">
        <v>176.91442119999999</v>
      </c>
      <c r="AC1897" s="372">
        <v>182.52937739999999</v>
      </c>
      <c r="AD1897" s="372">
        <v>258.1928987</v>
      </c>
      <c r="AE1897" s="372">
        <v>0</v>
      </c>
      <c r="AF1897" s="372">
        <v>0</v>
      </c>
      <c r="AG1897" s="372">
        <v>0</v>
      </c>
      <c r="AH1897" s="372">
        <v>0</v>
      </c>
    </row>
    <row r="1898" spans="1:34">
      <c r="A1898" s="372" t="s">
        <v>12437</v>
      </c>
      <c r="B1898" s="373" t="s">
        <v>12438</v>
      </c>
      <c r="C1898" s="372" t="s">
        <v>12439</v>
      </c>
      <c r="D1898" s="374">
        <v>1601110165806</v>
      </c>
      <c r="E1898" s="372" t="s">
        <v>12440</v>
      </c>
      <c r="F1898" s="372" t="s">
        <v>1443</v>
      </c>
      <c r="G1898" s="375" t="s">
        <v>12441</v>
      </c>
      <c r="H1898" s="375" t="s">
        <v>868</v>
      </c>
      <c r="I1898" s="375" t="s">
        <v>869</v>
      </c>
      <c r="J1898" s="375">
        <v>65070.075089999998</v>
      </c>
      <c r="K1898" s="375">
        <v>5207.6884099999997</v>
      </c>
      <c r="L1898" s="375">
        <v>6187.7298700000001</v>
      </c>
      <c r="M1898" s="375">
        <v>57021.495219999997</v>
      </c>
      <c r="N1898" s="372">
        <v>0.86199999999999999</v>
      </c>
      <c r="O1898" s="703">
        <v>0</v>
      </c>
      <c r="P1898" s="375" t="s">
        <v>623</v>
      </c>
      <c r="Q1898" s="372" t="s">
        <v>623</v>
      </c>
      <c r="R1898" s="695">
        <v>20190905</v>
      </c>
      <c r="S1898" s="372" t="s">
        <v>12442</v>
      </c>
      <c r="T1898" s="696">
        <v>0.20900000000000002</v>
      </c>
      <c r="U1898" s="372" t="s">
        <v>12443</v>
      </c>
      <c r="V1898" s="722">
        <v>0</v>
      </c>
      <c r="W1898" s="722">
        <v>1.04</v>
      </c>
      <c r="X1898" s="722">
        <v>0</v>
      </c>
      <c r="Y1898" s="722">
        <v>0</v>
      </c>
      <c r="Z1898" s="382" t="s">
        <v>934</v>
      </c>
      <c r="AA1898" s="372">
        <v>610.27594199999999</v>
      </c>
      <c r="AB1898" s="372">
        <v>526.58011269999997</v>
      </c>
      <c r="AC1898" s="372">
        <v>591.49129430000005</v>
      </c>
      <c r="AD1898" s="372">
        <v>650.7007509</v>
      </c>
      <c r="AE1898" s="372">
        <v>0</v>
      </c>
      <c r="AF1898" s="372">
        <v>0</v>
      </c>
      <c r="AG1898" s="372">
        <v>0</v>
      </c>
      <c r="AH1898" s="372">
        <v>0</v>
      </c>
    </row>
    <row r="1899" spans="1:34">
      <c r="A1899" s="372" t="s">
        <v>12444</v>
      </c>
      <c r="B1899" s="373" t="s">
        <v>12445</v>
      </c>
      <c r="C1899" s="372" t="s">
        <v>12446</v>
      </c>
      <c r="D1899" s="374">
        <v>1101110073877</v>
      </c>
      <c r="E1899" s="372" t="s">
        <v>12447</v>
      </c>
      <c r="F1899" s="375" t="s">
        <v>8745</v>
      </c>
      <c r="G1899" s="375" t="s">
        <v>8907</v>
      </c>
      <c r="H1899" s="375" t="s">
        <v>868</v>
      </c>
      <c r="I1899" s="375" t="s">
        <v>869</v>
      </c>
      <c r="J1899" s="375">
        <v>271101.69900000002</v>
      </c>
      <c r="K1899" s="375">
        <v>15623.14918</v>
      </c>
      <c r="L1899" s="375">
        <v>15918.576730000001</v>
      </c>
      <c r="M1899" s="375">
        <v>141674.94248999999</v>
      </c>
      <c r="N1899" s="372">
        <v>0.78900000000000003</v>
      </c>
      <c r="O1899" s="703">
        <v>18.269948220859781</v>
      </c>
      <c r="P1899" s="375" t="s">
        <v>623</v>
      </c>
      <c r="Q1899" s="372" t="s">
        <v>623</v>
      </c>
      <c r="R1899" s="695">
        <v>19941222</v>
      </c>
      <c r="S1899" s="372" t="s">
        <v>12448</v>
      </c>
      <c r="T1899" s="696">
        <v>0.20900000000000002</v>
      </c>
      <c r="U1899" s="372" t="s">
        <v>12449</v>
      </c>
      <c r="V1899" s="722">
        <v>0</v>
      </c>
      <c r="W1899" s="722">
        <v>0.46</v>
      </c>
      <c r="X1899" s="722">
        <v>0</v>
      </c>
      <c r="Y1899" s="722">
        <v>0</v>
      </c>
      <c r="Z1899" s="382" t="s">
        <v>934</v>
      </c>
      <c r="AA1899" s="372">
        <v>2122.2165909</v>
      </c>
      <c r="AB1899" s="372">
        <v>2359.4055389</v>
      </c>
      <c r="AC1899" s="372">
        <v>2759.7961983</v>
      </c>
      <c r="AD1899" s="372">
        <v>2711.0169900000001</v>
      </c>
      <c r="AE1899" s="372">
        <v>0</v>
      </c>
      <c r="AF1899" s="372">
        <v>0</v>
      </c>
      <c r="AG1899" s="372">
        <v>0</v>
      </c>
      <c r="AH1899" s="372">
        <v>0</v>
      </c>
    </row>
    <row r="1900" spans="1:34">
      <c r="A1900" s="372" t="s">
        <v>12450</v>
      </c>
      <c r="B1900" s="373" t="s">
        <v>12451</v>
      </c>
      <c r="C1900" s="372" t="s">
        <v>12452</v>
      </c>
      <c r="D1900" s="374">
        <v>1201110087834</v>
      </c>
      <c r="E1900" s="372" t="s">
        <v>12453</v>
      </c>
      <c r="F1900" s="375" t="s">
        <v>7108</v>
      </c>
      <c r="G1900" s="375" t="s">
        <v>8338</v>
      </c>
      <c r="H1900" s="375" t="s">
        <v>868</v>
      </c>
      <c r="I1900" s="375" t="s">
        <v>869</v>
      </c>
      <c r="J1900" s="375">
        <v>47640.536050000002</v>
      </c>
      <c r="K1900" s="375">
        <v>-7219.5584799999997</v>
      </c>
      <c r="L1900" s="375">
        <v>-9205.4195199999995</v>
      </c>
      <c r="M1900" s="375">
        <v>28455.3969</v>
      </c>
      <c r="N1900" s="372">
        <v>0.76100000000000001</v>
      </c>
      <c r="O1900" s="703">
        <v>76.161597628330085</v>
      </c>
      <c r="P1900" s="375" t="s">
        <v>623</v>
      </c>
      <c r="Q1900" s="372" t="s">
        <v>623</v>
      </c>
      <c r="R1900" s="695">
        <v>20000825</v>
      </c>
      <c r="S1900" s="372" t="s">
        <v>12454</v>
      </c>
      <c r="T1900" s="696" t="s">
        <v>772</v>
      </c>
      <c r="U1900" s="372" t="s">
        <v>12455</v>
      </c>
      <c r="V1900" s="722">
        <v>0</v>
      </c>
      <c r="W1900" s="722">
        <v>2.4700000000000002</v>
      </c>
      <c r="X1900" s="722">
        <v>0</v>
      </c>
      <c r="Y1900" s="722">
        <v>0</v>
      </c>
      <c r="Z1900" s="382" t="s">
        <v>934</v>
      </c>
      <c r="AA1900" s="372">
        <v>500.1926363</v>
      </c>
      <c r="AB1900" s="372">
        <v>565.95680689999995</v>
      </c>
      <c r="AC1900" s="372">
        <v>625.71779530000003</v>
      </c>
      <c r="AD1900" s="372">
        <v>476.40536049999997</v>
      </c>
      <c r="AE1900" s="372">
        <v>0</v>
      </c>
      <c r="AF1900" s="372">
        <v>0</v>
      </c>
      <c r="AG1900" s="372">
        <v>0</v>
      </c>
      <c r="AH1900" s="372">
        <v>0</v>
      </c>
    </row>
    <row r="1901" spans="1:34">
      <c r="A1901" s="372" t="s">
        <v>12456</v>
      </c>
      <c r="B1901" s="373" t="s">
        <v>12457</v>
      </c>
      <c r="C1901" s="372" t="s">
        <v>12458</v>
      </c>
      <c r="D1901" s="374">
        <v>1101110254344</v>
      </c>
      <c r="E1901" s="372" t="s">
        <v>12459</v>
      </c>
      <c r="F1901" s="372" t="s">
        <v>5680</v>
      </c>
      <c r="G1901" s="375" t="s">
        <v>5680</v>
      </c>
      <c r="H1901" s="375" t="s">
        <v>868</v>
      </c>
      <c r="I1901" s="375" t="s">
        <v>869</v>
      </c>
      <c r="J1901" s="375">
        <v>393131.71402000001</v>
      </c>
      <c r="K1901" s="375">
        <v>2775.9008399999998</v>
      </c>
      <c r="L1901" s="375">
        <v>1842.3179299999999</v>
      </c>
      <c r="M1901" s="375">
        <v>69546.501069999998</v>
      </c>
      <c r="N1901" s="372">
        <v>1.0469999999999999</v>
      </c>
      <c r="O1901" s="703">
        <v>96.253540343503275</v>
      </c>
      <c r="P1901" s="375" t="s">
        <v>16142</v>
      </c>
      <c r="Q1901" s="372" t="s">
        <v>623</v>
      </c>
      <c r="R1901" s="695">
        <v>19950515</v>
      </c>
      <c r="S1901" s="372" t="s">
        <v>12460</v>
      </c>
      <c r="T1901" s="696">
        <v>0.20900000000000002</v>
      </c>
      <c r="U1901" s="372" t="s">
        <v>16097</v>
      </c>
      <c r="V1901" s="722">
        <v>15.42</v>
      </c>
      <c r="W1901" s="722">
        <v>0.98</v>
      </c>
      <c r="X1901" s="722">
        <v>0.16</v>
      </c>
      <c r="Y1901" s="722">
        <v>93.34</v>
      </c>
      <c r="Z1901" s="382" t="s">
        <v>934</v>
      </c>
      <c r="AA1901" s="372">
        <v>3041.7946075999998</v>
      </c>
      <c r="AB1901" s="372">
        <v>3331.0157754000002</v>
      </c>
      <c r="AC1901" s="372">
        <v>3818.0999323999999</v>
      </c>
      <c r="AD1901" s="372">
        <v>3931.3171401999998</v>
      </c>
      <c r="AE1901" s="372">
        <v>0</v>
      </c>
      <c r="AF1901" s="372">
        <v>0</v>
      </c>
      <c r="AG1901" s="372">
        <v>0</v>
      </c>
      <c r="AH1901" s="372">
        <v>0</v>
      </c>
    </row>
    <row r="1902" spans="1:34">
      <c r="A1902" s="372" t="s">
        <v>12461</v>
      </c>
      <c r="B1902" s="373" t="s">
        <v>12462</v>
      </c>
      <c r="C1902" s="372" t="s">
        <v>12463</v>
      </c>
      <c r="D1902" s="374">
        <v>1311110157098</v>
      </c>
      <c r="E1902" s="372" t="s">
        <v>12464</v>
      </c>
      <c r="F1902" s="375" t="s">
        <v>1062</v>
      </c>
      <c r="G1902" s="375" t="s">
        <v>1062</v>
      </c>
      <c r="H1902" s="375" t="s">
        <v>868</v>
      </c>
      <c r="I1902" s="375" t="s">
        <v>869</v>
      </c>
      <c r="J1902" s="375">
        <v>3133.2344600000001</v>
      </c>
      <c r="K1902" s="375">
        <v>-2723.51746</v>
      </c>
      <c r="L1902" s="375">
        <v>-2813.0016500000002</v>
      </c>
      <c r="M1902" s="375">
        <v>6174.9376199999997</v>
      </c>
      <c r="N1902" s="372">
        <v>1.0209999999999999</v>
      </c>
      <c r="O1902" s="703">
        <v>1.5146510504121551</v>
      </c>
      <c r="P1902" s="375" t="s">
        <v>623</v>
      </c>
      <c r="Q1902" s="372" t="s">
        <v>623</v>
      </c>
      <c r="R1902" s="695">
        <v>20170320</v>
      </c>
      <c r="S1902" s="372" t="s">
        <v>12465</v>
      </c>
      <c r="T1902" s="696" t="s">
        <v>772</v>
      </c>
      <c r="U1902" s="372" t="s">
        <v>12466</v>
      </c>
      <c r="V1902" s="722">
        <v>0</v>
      </c>
      <c r="W1902" s="722">
        <v>13.26</v>
      </c>
      <c r="X1902" s="722">
        <v>0</v>
      </c>
      <c r="Y1902" s="722">
        <v>0</v>
      </c>
      <c r="Z1902" s="382" t="s">
        <v>934</v>
      </c>
      <c r="AA1902" s="372">
        <v>12.6171074</v>
      </c>
      <c r="AB1902" s="372">
        <v>25.639900000000001</v>
      </c>
      <c r="AC1902" s="372">
        <v>33.4540407</v>
      </c>
      <c r="AD1902" s="372">
        <v>31.332344599999999</v>
      </c>
      <c r="AE1902" s="372">
        <v>0</v>
      </c>
      <c r="AF1902" s="372">
        <v>0</v>
      </c>
      <c r="AG1902" s="372">
        <v>0</v>
      </c>
      <c r="AH1902" s="372">
        <v>0</v>
      </c>
    </row>
    <row r="1903" spans="1:34">
      <c r="A1903" s="372" t="s">
        <v>12467</v>
      </c>
      <c r="B1903" s="373" t="s">
        <v>12468</v>
      </c>
      <c r="C1903" s="372" t="s">
        <v>12469</v>
      </c>
      <c r="D1903" s="374">
        <v>1101113629841</v>
      </c>
      <c r="E1903" s="372" t="s">
        <v>12470</v>
      </c>
      <c r="F1903" s="375" t="s">
        <v>5655</v>
      </c>
      <c r="G1903" s="375" t="s">
        <v>5655</v>
      </c>
      <c r="H1903" s="375" t="s">
        <v>1547</v>
      </c>
      <c r="I1903" s="375" t="s">
        <v>869</v>
      </c>
      <c r="J1903" s="375">
        <v>41863.614130000002</v>
      </c>
      <c r="K1903" s="375">
        <v>-7787.5029199999999</v>
      </c>
      <c r="L1903" s="375">
        <v>-7819.53161</v>
      </c>
      <c r="M1903" s="375">
        <v>40101.03095</v>
      </c>
      <c r="N1903" s="372">
        <v>1.0669999999999999</v>
      </c>
      <c r="O1903" s="703">
        <v>7.510385069404232</v>
      </c>
      <c r="P1903" s="375" t="s">
        <v>623</v>
      </c>
      <c r="Q1903" s="375" t="s">
        <v>623</v>
      </c>
      <c r="R1903" s="695">
        <v>20141224</v>
      </c>
      <c r="S1903" s="375" t="s">
        <v>12471</v>
      </c>
      <c r="T1903" s="696" t="s">
        <v>772</v>
      </c>
      <c r="U1903" s="372" t="s">
        <v>12472</v>
      </c>
      <c r="V1903" s="722" t="s">
        <v>774</v>
      </c>
      <c r="W1903" s="722">
        <v>1.93</v>
      </c>
      <c r="X1903" s="722">
        <v>1.85</v>
      </c>
      <c r="Y1903" s="722" t="s">
        <v>774</v>
      </c>
      <c r="Z1903" s="382" t="s">
        <v>934</v>
      </c>
      <c r="AA1903" s="372">
        <v>346.50306519999998</v>
      </c>
      <c r="AB1903" s="372">
        <v>410.24304419999999</v>
      </c>
      <c r="AC1903" s="372">
        <v>444.22278779999999</v>
      </c>
      <c r="AD1903" s="372">
        <v>418.63614130000002</v>
      </c>
      <c r="AE1903" s="372">
        <v>500</v>
      </c>
      <c r="AF1903" s="372">
        <v>0</v>
      </c>
      <c r="AG1903" s="372">
        <v>0</v>
      </c>
      <c r="AH1903" s="372">
        <v>0</v>
      </c>
    </row>
    <row r="1904" spans="1:34">
      <c r="A1904" s="372" t="s">
        <v>12473</v>
      </c>
      <c r="B1904" s="373" t="s">
        <v>12474</v>
      </c>
      <c r="C1904" s="372" t="s">
        <v>12475</v>
      </c>
      <c r="D1904" s="374">
        <v>1101115829407</v>
      </c>
      <c r="E1904" s="372" t="s">
        <v>12476</v>
      </c>
      <c r="F1904" s="375" t="s">
        <v>1985</v>
      </c>
      <c r="G1904" s="375" t="s">
        <v>1985</v>
      </c>
      <c r="H1904" s="375" t="s">
        <v>868</v>
      </c>
      <c r="I1904" s="375" t="s">
        <v>869</v>
      </c>
      <c r="J1904" s="375">
        <v>34305.98661</v>
      </c>
      <c r="K1904" s="375">
        <v>-1919.41464</v>
      </c>
      <c r="L1904" s="375">
        <v>11348.22248</v>
      </c>
      <c r="M1904" s="375">
        <v>112343.68032</v>
      </c>
      <c r="N1904" s="372">
        <v>0.96399999999999997</v>
      </c>
      <c r="O1904" s="703">
        <v>0.80556335636139531</v>
      </c>
      <c r="P1904" s="375" t="s">
        <v>623</v>
      </c>
      <c r="Q1904" s="375" t="s">
        <v>623</v>
      </c>
      <c r="R1904" s="695">
        <v>20151118</v>
      </c>
      <c r="S1904" s="375" t="s">
        <v>12477</v>
      </c>
      <c r="T1904" s="696">
        <v>0.20900000000000002</v>
      </c>
      <c r="U1904" s="375" t="s">
        <v>12478</v>
      </c>
      <c r="V1904" s="722" t="s">
        <v>774</v>
      </c>
      <c r="W1904" s="722">
        <v>0.57999999999999996</v>
      </c>
      <c r="X1904" s="722">
        <v>1.87</v>
      </c>
      <c r="Y1904" s="722">
        <v>5.99</v>
      </c>
      <c r="Z1904" s="382" t="s">
        <v>934</v>
      </c>
      <c r="AA1904" s="372">
        <v>574.75214849999998</v>
      </c>
      <c r="AB1904" s="372">
        <v>292.45133370000002</v>
      </c>
      <c r="AC1904" s="372">
        <v>295.65637099999998</v>
      </c>
      <c r="AD1904" s="372">
        <v>343.05986610000002</v>
      </c>
      <c r="AE1904" s="372">
        <v>0</v>
      </c>
      <c r="AF1904" s="372">
        <v>0</v>
      </c>
      <c r="AG1904" s="372">
        <v>0</v>
      </c>
      <c r="AH1904" s="372">
        <v>0</v>
      </c>
    </row>
    <row r="1905" spans="1:34">
      <c r="A1905" s="372" t="s">
        <v>12479</v>
      </c>
      <c r="B1905" s="373" t="s">
        <v>12480</v>
      </c>
      <c r="C1905" s="372" t="s">
        <v>12481</v>
      </c>
      <c r="D1905" s="374">
        <v>1101110574669</v>
      </c>
      <c r="E1905" s="372" t="s">
        <v>12482</v>
      </c>
      <c r="F1905" s="372" t="s">
        <v>3039</v>
      </c>
      <c r="G1905" s="375" t="s">
        <v>3039</v>
      </c>
      <c r="H1905" s="375" t="s">
        <v>1348</v>
      </c>
      <c r="I1905" s="375" t="s">
        <v>869</v>
      </c>
      <c r="J1905" s="375">
        <v>678599.01364000002</v>
      </c>
      <c r="K1905" s="375">
        <v>12314.57797</v>
      </c>
      <c r="L1905" s="375">
        <v>9369.3064599999998</v>
      </c>
      <c r="M1905" s="375">
        <v>261423.55350000001</v>
      </c>
      <c r="N1905" s="372">
        <v>1.177</v>
      </c>
      <c r="O1905" s="703">
        <v>217.84180389902957</v>
      </c>
      <c r="P1905" s="375" t="s">
        <v>623</v>
      </c>
      <c r="Q1905" s="372" t="s">
        <v>623</v>
      </c>
      <c r="R1905" s="695">
        <v>20000111</v>
      </c>
      <c r="S1905" s="372" t="s">
        <v>12483</v>
      </c>
      <c r="T1905" s="696">
        <v>0.20900000000000002</v>
      </c>
      <c r="U1905" s="372" t="s">
        <v>12484</v>
      </c>
      <c r="V1905" s="722">
        <v>4.58</v>
      </c>
      <c r="W1905" s="722">
        <v>0.24</v>
      </c>
      <c r="X1905" s="722">
        <v>0.09</v>
      </c>
      <c r="Y1905" s="722">
        <v>15.94</v>
      </c>
      <c r="Z1905" s="382" t="s">
        <v>934</v>
      </c>
      <c r="AA1905" s="372">
        <v>5375.1387879000004</v>
      </c>
      <c r="AB1905" s="372">
        <v>5556.1754344000001</v>
      </c>
      <c r="AC1905" s="372">
        <v>7058.0348523000002</v>
      </c>
      <c r="AD1905" s="372">
        <v>6785.9901363999998</v>
      </c>
      <c r="AE1905" s="372">
        <v>0</v>
      </c>
      <c r="AF1905" s="372">
        <v>0</v>
      </c>
      <c r="AG1905" s="372">
        <v>0</v>
      </c>
      <c r="AH1905" s="372">
        <v>0</v>
      </c>
    </row>
    <row r="1906" spans="1:34">
      <c r="A1906" s="372" t="s">
        <v>12485</v>
      </c>
      <c r="B1906" s="373" t="s">
        <v>12486</v>
      </c>
      <c r="C1906" s="372" t="s">
        <v>12487</v>
      </c>
      <c r="D1906" s="374">
        <v>1341110026480</v>
      </c>
      <c r="E1906" s="372" t="s">
        <v>12488</v>
      </c>
      <c r="F1906" s="372" t="s">
        <v>887</v>
      </c>
      <c r="G1906" s="375" t="s">
        <v>887</v>
      </c>
      <c r="H1906" s="375" t="s">
        <v>868</v>
      </c>
      <c r="I1906" s="375" t="s">
        <v>869</v>
      </c>
      <c r="J1906" s="375">
        <v>575273.52839999995</v>
      </c>
      <c r="K1906" s="375">
        <v>21263.010300000002</v>
      </c>
      <c r="L1906" s="375">
        <v>19009.998820000001</v>
      </c>
      <c r="M1906" s="375">
        <v>196411.41897999999</v>
      </c>
      <c r="N1906" s="372">
        <v>1.2490000000000001</v>
      </c>
      <c r="O1906" s="703">
        <v>195.30402119893736</v>
      </c>
      <c r="P1906" s="375" t="s">
        <v>623</v>
      </c>
      <c r="Q1906" s="372" t="s">
        <v>623</v>
      </c>
      <c r="R1906" s="695">
        <v>20031024</v>
      </c>
      <c r="S1906" s="372" t="s">
        <v>12489</v>
      </c>
      <c r="T1906" s="696">
        <v>0.20900000000000002</v>
      </c>
      <c r="U1906" s="372" t="s">
        <v>12490</v>
      </c>
      <c r="V1906" s="722">
        <v>5.85</v>
      </c>
      <c r="W1906" s="722">
        <v>0.51</v>
      </c>
      <c r="X1906" s="722">
        <v>0.12</v>
      </c>
      <c r="Y1906" s="722">
        <v>8.57</v>
      </c>
      <c r="Z1906" s="382" t="s">
        <v>934</v>
      </c>
      <c r="AA1906" s="372">
        <v>3546.9392039999998</v>
      </c>
      <c r="AB1906" s="372">
        <v>3843.3556846000001</v>
      </c>
      <c r="AC1906" s="372">
        <v>4955.2237527999996</v>
      </c>
      <c r="AD1906" s="372">
        <v>5752.7352840000003</v>
      </c>
      <c r="AE1906" s="372">
        <v>0</v>
      </c>
      <c r="AF1906" s="372">
        <v>0</v>
      </c>
      <c r="AG1906" s="372">
        <v>0</v>
      </c>
      <c r="AH1906" s="372">
        <v>0</v>
      </c>
    </row>
    <row r="1907" spans="1:34">
      <c r="A1907" s="372" t="s">
        <v>12491</v>
      </c>
      <c r="B1907" s="373" t="s">
        <v>12492</v>
      </c>
      <c r="C1907" s="372" t="s">
        <v>12493</v>
      </c>
      <c r="D1907" s="374">
        <v>1201110715352</v>
      </c>
      <c r="E1907" s="372" t="s">
        <v>12494</v>
      </c>
      <c r="F1907" s="375" t="s">
        <v>1259</v>
      </c>
      <c r="G1907" s="375" t="s">
        <v>1259</v>
      </c>
      <c r="H1907" s="375" t="s">
        <v>868</v>
      </c>
      <c r="I1907" s="375" t="s">
        <v>869</v>
      </c>
      <c r="J1907" s="375">
        <v>695.69790999999998</v>
      </c>
      <c r="K1907" s="375">
        <v>-12997.66819</v>
      </c>
      <c r="L1907" s="375">
        <v>-23961.422030000002</v>
      </c>
      <c r="M1907" s="375">
        <v>20473.543659999999</v>
      </c>
      <c r="N1907" s="372">
        <v>1.121</v>
      </c>
      <c r="O1907" s="703">
        <v>6.7856595939932651</v>
      </c>
      <c r="P1907" s="375" t="s">
        <v>623</v>
      </c>
      <c r="Q1907" s="372" t="s">
        <v>623</v>
      </c>
      <c r="R1907" s="695">
        <v>20200617</v>
      </c>
      <c r="S1907" s="372" t="s">
        <v>12495</v>
      </c>
      <c r="T1907" s="696" t="s">
        <v>772</v>
      </c>
      <c r="U1907" s="372" t="s">
        <v>12496</v>
      </c>
      <c r="V1907" s="722">
        <v>0</v>
      </c>
      <c r="W1907" s="722">
        <v>3.78</v>
      </c>
      <c r="X1907" s="722">
        <v>0</v>
      </c>
      <c r="Y1907" s="722">
        <v>0</v>
      </c>
      <c r="Z1907" s="382" t="s">
        <v>934</v>
      </c>
      <c r="AA1907" s="372">
        <v>3.2000609</v>
      </c>
      <c r="AB1907" s="372">
        <v>4.3926261000000002</v>
      </c>
      <c r="AC1907" s="372">
        <v>3.9598230000000001</v>
      </c>
      <c r="AD1907" s="372">
        <v>6.9569790999999999</v>
      </c>
      <c r="AE1907" s="372">
        <v>0</v>
      </c>
      <c r="AF1907" s="372">
        <v>0</v>
      </c>
      <c r="AG1907" s="372">
        <v>0</v>
      </c>
      <c r="AH1907" s="372">
        <v>0</v>
      </c>
    </row>
    <row r="1908" spans="1:34">
      <c r="A1908" s="372" t="s">
        <v>12497</v>
      </c>
      <c r="B1908" s="373" t="s">
        <v>12498</v>
      </c>
      <c r="C1908" s="372" t="s">
        <v>12499</v>
      </c>
      <c r="D1908" s="374">
        <v>1101116679992</v>
      </c>
      <c r="E1908" s="372" t="s">
        <v>12500</v>
      </c>
      <c r="F1908" s="372" t="s">
        <v>3210</v>
      </c>
      <c r="G1908" s="375" t="s">
        <v>3211</v>
      </c>
      <c r="H1908" s="375" t="s">
        <v>1693</v>
      </c>
      <c r="I1908" s="375" t="s">
        <v>869</v>
      </c>
      <c r="J1908" s="375">
        <v>18424.903119999999</v>
      </c>
      <c r="K1908" s="375">
        <v>1382.1104499999999</v>
      </c>
      <c r="L1908" s="375">
        <v>2026.85644</v>
      </c>
      <c r="M1908" s="375">
        <v>23867.97812</v>
      </c>
      <c r="N1908" s="372" t="s">
        <v>1033</v>
      </c>
      <c r="O1908" s="703">
        <v>6.3485563401454366</v>
      </c>
      <c r="P1908" s="375" t="s">
        <v>623</v>
      </c>
      <c r="Q1908" s="375" t="s">
        <v>623</v>
      </c>
      <c r="R1908" s="695">
        <v>20221208</v>
      </c>
      <c r="S1908" s="375" t="s">
        <v>12501</v>
      </c>
      <c r="T1908" s="696">
        <v>0.20900000000000002</v>
      </c>
      <c r="U1908" s="372" t="s">
        <v>12502</v>
      </c>
      <c r="V1908" s="722">
        <v>0</v>
      </c>
      <c r="W1908" s="722">
        <v>2.2599999999999998</v>
      </c>
      <c r="X1908" s="722">
        <v>0</v>
      </c>
      <c r="Y1908" s="722">
        <v>0</v>
      </c>
      <c r="Z1908" s="382" t="s">
        <v>934</v>
      </c>
      <c r="AA1908" s="372">
        <v>130.79275150000001</v>
      </c>
      <c r="AB1908" s="372">
        <v>163.39165790000001</v>
      </c>
      <c r="AC1908" s="372">
        <v>174.0914995</v>
      </c>
      <c r="AD1908" s="372">
        <v>184.24903119999999</v>
      </c>
      <c r="AE1908" s="372">
        <v>0</v>
      </c>
      <c r="AF1908" s="372">
        <v>0</v>
      </c>
      <c r="AG1908" s="372">
        <v>0</v>
      </c>
      <c r="AH1908" s="372">
        <v>0</v>
      </c>
    </row>
    <row r="1909" spans="1:34">
      <c r="A1909" s="372" t="s">
        <v>12503</v>
      </c>
      <c r="B1909" s="373" t="s">
        <v>12504</v>
      </c>
      <c r="C1909" s="372" t="s">
        <v>12505</v>
      </c>
      <c r="D1909" s="374">
        <v>1101112029456</v>
      </c>
      <c r="E1909" s="372" t="s">
        <v>12506</v>
      </c>
      <c r="F1909" s="375" t="s">
        <v>1814</v>
      </c>
      <c r="G1909" s="375" t="s">
        <v>2821</v>
      </c>
      <c r="H1909" s="375" t="s">
        <v>1693</v>
      </c>
      <c r="I1909" s="375" t="s">
        <v>869</v>
      </c>
      <c r="J1909" s="375">
        <v>44886.674879999999</v>
      </c>
      <c r="K1909" s="375">
        <v>-3214.2540300000001</v>
      </c>
      <c r="L1909" s="375">
        <v>-1624.18876</v>
      </c>
      <c r="M1909" s="375">
        <v>51142.25131</v>
      </c>
      <c r="N1909" s="372">
        <v>1.0620000000000001</v>
      </c>
      <c r="O1909" s="703">
        <v>2.6148831220867672</v>
      </c>
      <c r="P1909" s="375" t="s">
        <v>623</v>
      </c>
      <c r="Q1909" s="372" t="s">
        <v>623</v>
      </c>
      <c r="R1909" s="695">
        <v>20070620</v>
      </c>
      <c r="S1909" s="372" t="s">
        <v>12507</v>
      </c>
      <c r="T1909" s="696" t="s">
        <v>772</v>
      </c>
      <c r="U1909" s="372" t="s">
        <v>12508</v>
      </c>
      <c r="V1909" s="722" t="s">
        <v>774</v>
      </c>
      <c r="W1909" s="722">
        <v>0.99</v>
      </c>
      <c r="X1909" s="722">
        <v>1.19</v>
      </c>
      <c r="Y1909" s="722" t="s">
        <v>774</v>
      </c>
      <c r="Z1909" s="382" t="s">
        <v>934</v>
      </c>
      <c r="AA1909" s="372">
        <v>566.91223360000004</v>
      </c>
      <c r="AB1909" s="372">
        <v>575.00385659999995</v>
      </c>
      <c r="AC1909" s="372">
        <v>535.82322390000002</v>
      </c>
      <c r="AD1909" s="372">
        <v>448.86674879999998</v>
      </c>
      <c r="AE1909" s="372">
        <v>0</v>
      </c>
      <c r="AF1909" s="372">
        <v>0</v>
      </c>
      <c r="AG1909" s="372">
        <v>0</v>
      </c>
      <c r="AH1909" s="372">
        <v>0</v>
      </c>
    </row>
    <row r="1910" spans="1:34">
      <c r="A1910" s="372" t="s">
        <v>12509</v>
      </c>
      <c r="B1910" s="373" t="s">
        <v>12510</v>
      </c>
      <c r="C1910" s="372" t="s">
        <v>12511</v>
      </c>
      <c r="D1910" s="374">
        <v>1350110040291</v>
      </c>
      <c r="E1910" s="372" t="s">
        <v>12512</v>
      </c>
      <c r="F1910" s="375" t="s">
        <v>12513</v>
      </c>
      <c r="G1910" s="375" t="s">
        <v>12514</v>
      </c>
      <c r="H1910" s="375" t="s">
        <v>868</v>
      </c>
      <c r="I1910" s="375" t="s">
        <v>869</v>
      </c>
      <c r="J1910" s="375">
        <v>228068.58546999999</v>
      </c>
      <c r="K1910" s="375">
        <v>8550.6183199999996</v>
      </c>
      <c r="L1910" s="375">
        <v>4795.8498799999998</v>
      </c>
      <c r="M1910" s="375">
        <v>107832.18717999999</v>
      </c>
      <c r="N1910" s="372">
        <v>1.095</v>
      </c>
      <c r="O1910" s="703">
        <v>132.11398324424343</v>
      </c>
      <c r="P1910" s="375" t="s">
        <v>623</v>
      </c>
      <c r="Q1910" s="375" t="s">
        <v>623</v>
      </c>
      <c r="R1910" s="695">
        <v>19991218</v>
      </c>
      <c r="S1910" s="375" t="s">
        <v>12515</v>
      </c>
      <c r="T1910" s="696">
        <v>0.20900000000000002</v>
      </c>
      <c r="U1910" s="372" t="s">
        <v>12516</v>
      </c>
      <c r="V1910" s="722">
        <v>0</v>
      </c>
      <c r="W1910" s="722">
        <v>0.55000000000000004</v>
      </c>
      <c r="X1910" s="722">
        <v>0</v>
      </c>
      <c r="Y1910" s="722">
        <v>0</v>
      </c>
      <c r="Z1910" s="382" t="s">
        <v>934</v>
      </c>
      <c r="AA1910" s="372">
        <v>564.9579774</v>
      </c>
      <c r="AB1910" s="372">
        <v>562.23518379999996</v>
      </c>
      <c r="AC1910" s="372">
        <v>2173.1929203999998</v>
      </c>
      <c r="AD1910" s="372">
        <v>2280.6858547000002</v>
      </c>
      <c r="AE1910" s="372">
        <v>0</v>
      </c>
      <c r="AF1910" s="372">
        <v>0</v>
      </c>
      <c r="AG1910" s="372">
        <v>0</v>
      </c>
      <c r="AH1910" s="372">
        <v>0</v>
      </c>
    </row>
    <row r="1911" spans="1:34">
      <c r="A1911" s="372" t="s">
        <v>12517</v>
      </c>
      <c r="B1911" s="373" t="s">
        <v>12518</v>
      </c>
      <c r="C1911" s="372" t="s">
        <v>12519</v>
      </c>
      <c r="D1911" s="374">
        <v>1101111079155</v>
      </c>
      <c r="E1911" s="372" t="s">
        <v>12520</v>
      </c>
      <c r="F1911" s="372" t="s">
        <v>1443</v>
      </c>
      <c r="G1911" s="375" t="s">
        <v>12521</v>
      </c>
      <c r="H1911" s="375" t="s">
        <v>868</v>
      </c>
      <c r="I1911" s="375" t="s">
        <v>869</v>
      </c>
      <c r="J1911" s="375">
        <v>16437.046600000001</v>
      </c>
      <c r="K1911" s="375">
        <v>6214.35815</v>
      </c>
      <c r="L1911" s="375">
        <v>7755.1143400000001</v>
      </c>
      <c r="M1911" s="375">
        <v>57063.99037</v>
      </c>
      <c r="N1911" s="372" t="s">
        <v>1033</v>
      </c>
      <c r="O1911" s="703">
        <v>0</v>
      </c>
      <c r="P1911" s="375" t="s">
        <v>623</v>
      </c>
      <c r="Q1911" s="375" t="s">
        <v>623</v>
      </c>
      <c r="R1911" s="695">
        <v>20071226</v>
      </c>
      <c r="S1911" s="375" t="s">
        <v>12522</v>
      </c>
      <c r="T1911" s="696">
        <v>0.20900000000000002</v>
      </c>
      <c r="U1911" s="372" t="s">
        <v>12523</v>
      </c>
      <c r="V1911" s="722">
        <v>0</v>
      </c>
      <c r="W1911" s="722">
        <v>0.96</v>
      </c>
      <c r="X1911" s="722">
        <v>0</v>
      </c>
      <c r="Y1911" s="722">
        <v>0</v>
      </c>
      <c r="Z1911" s="382" t="s">
        <v>934</v>
      </c>
      <c r="AA1911" s="372">
        <v>210.3541797</v>
      </c>
      <c r="AB1911" s="372">
        <v>243.7893541</v>
      </c>
      <c r="AC1911" s="372">
        <v>204.33366770000001</v>
      </c>
      <c r="AD1911" s="372">
        <v>164.37046599999999</v>
      </c>
      <c r="AE1911" s="372">
        <v>0</v>
      </c>
      <c r="AF1911" s="372">
        <v>0</v>
      </c>
      <c r="AG1911" s="372">
        <v>0</v>
      </c>
      <c r="AH1911" s="372">
        <v>0</v>
      </c>
    </row>
    <row r="1912" spans="1:34">
      <c r="A1912" s="372" t="s">
        <v>12524</v>
      </c>
      <c r="B1912" s="373" t="s">
        <v>12525</v>
      </c>
      <c r="C1912" s="372" t="s">
        <v>12526</v>
      </c>
      <c r="D1912" s="374">
        <v>1101111144073</v>
      </c>
      <c r="E1912" s="372" t="s">
        <v>12527</v>
      </c>
      <c r="F1912" s="375" t="s">
        <v>3228</v>
      </c>
      <c r="G1912" s="375" t="s">
        <v>3229</v>
      </c>
      <c r="H1912" s="375" t="s">
        <v>853</v>
      </c>
      <c r="I1912" s="375" t="s">
        <v>755</v>
      </c>
      <c r="J1912" s="375">
        <v>316765.79473000002</v>
      </c>
      <c r="K1912" s="375">
        <v>-4219.0751</v>
      </c>
      <c r="L1912" s="375">
        <v>-15903.24109</v>
      </c>
      <c r="M1912" s="375">
        <v>87779.516180000006</v>
      </c>
      <c r="N1912" s="372">
        <v>0.84299999999999997</v>
      </c>
      <c r="O1912" s="703">
        <v>194.10211152219446</v>
      </c>
      <c r="P1912" s="375" t="s">
        <v>623</v>
      </c>
      <c r="Q1912" s="372" t="s">
        <v>623</v>
      </c>
      <c r="R1912" s="695">
        <v>20110621</v>
      </c>
      <c r="S1912" s="372" t="s">
        <v>12528</v>
      </c>
      <c r="T1912" s="696" t="s">
        <v>772</v>
      </c>
      <c r="U1912" s="372" t="s">
        <v>12529</v>
      </c>
      <c r="V1912" s="722">
        <v>115.23</v>
      </c>
      <c r="W1912" s="722">
        <v>0.61</v>
      </c>
      <c r="X1912" s="722">
        <v>0.2</v>
      </c>
      <c r="Y1912" s="722" t="s">
        <v>774</v>
      </c>
      <c r="Z1912" s="382" t="s">
        <v>934</v>
      </c>
      <c r="AA1912" s="372">
        <v>2202.1437225999998</v>
      </c>
      <c r="AB1912" s="372">
        <v>2076.6525559000002</v>
      </c>
      <c r="AC1912" s="372">
        <v>2714.7974829</v>
      </c>
      <c r="AD1912" s="372">
        <v>3167.6579473000002</v>
      </c>
      <c r="AE1912" s="372">
        <v>0</v>
      </c>
      <c r="AF1912" s="372">
        <v>0</v>
      </c>
      <c r="AG1912" s="372">
        <v>0</v>
      </c>
      <c r="AH1912" s="372">
        <v>0</v>
      </c>
    </row>
    <row r="1913" spans="1:34">
      <c r="A1913" s="372" t="s">
        <v>12530</v>
      </c>
      <c r="B1913" s="373" t="s">
        <v>12531</v>
      </c>
      <c r="C1913" s="372" t="s">
        <v>12532</v>
      </c>
      <c r="D1913" s="374">
        <v>1101110139190</v>
      </c>
      <c r="E1913" s="372" t="s">
        <v>12533</v>
      </c>
      <c r="F1913" s="375" t="s">
        <v>2112</v>
      </c>
      <c r="G1913" s="375" t="s">
        <v>2112</v>
      </c>
      <c r="H1913" s="375" t="s">
        <v>817</v>
      </c>
      <c r="I1913" s="375" t="s">
        <v>755</v>
      </c>
      <c r="J1913" s="375">
        <v>163633.90203</v>
      </c>
      <c r="K1913" s="375">
        <v>-3436.8281999999999</v>
      </c>
      <c r="L1913" s="375">
        <v>18692.909169999999</v>
      </c>
      <c r="M1913" s="375">
        <v>183924.06625999999</v>
      </c>
      <c r="N1913" s="372">
        <v>1.046</v>
      </c>
      <c r="O1913" s="703">
        <v>56.373918708947713</v>
      </c>
      <c r="P1913" s="375" t="s">
        <v>623</v>
      </c>
      <c r="Q1913" s="372" t="s">
        <v>623</v>
      </c>
      <c r="R1913" s="695">
        <v>19941105</v>
      </c>
      <c r="S1913" s="372" t="s">
        <v>12534</v>
      </c>
      <c r="T1913" s="696">
        <v>0.20900000000000002</v>
      </c>
      <c r="U1913" s="372" t="s">
        <v>12535</v>
      </c>
      <c r="V1913" s="722">
        <v>0</v>
      </c>
      <c r="W1913" s="722">
        <v>0.34</v>
      </c>
      <c r="X1913" s="722">
        <v>0</v>
      </c>
      <c r="Y1913" s="722">
        <v>0</v>
      </c>
      <c r="Z1913" s="382" t="s">
        <v>934</v>
      </c>
      <c r="AA1913" s="372">
        <v>1526.780669</v>
      </c>
      <c r="AB1913" s="372">
        <v>2048.7326754000001</v>
      </c>
      <c r="AC1913" s="372">
        <v>1922.0673065999999</v>
      </c>
      <c r="AD1913" s="372">
        <v>1636.3390202999999</v>
      </c>
      <c r="AE1913" s="372">
        <v>0</v>
      </c>
      <c r="AF1913" s="372">
        <v>0</v>
      </c>
      <c r="AG1913" s="372">
        <v>0</v>
      </c>
      <c r="AH1913" s="372">
        <v>0</v>
      </c>
    </row>
    <row r="1914" spans="1:34">
      <c r="A1914" s="372" t="s">
        <v>12536</v>
      </c>
      <c r="B1914" s="373" t="s">
        <v>12537</v>
      </c>
      <c r="C1914" s="372" t="s">
        <v>12538</v>
      </c>
      <c r="D1914" s="374">
        <v>1101110038326</v>
      </c>
      <c r="E1914" s="372" t="s">
        <v>12539</v>
      </c>
      <c r="F1914" s="372" t="s">
        <v>1089</v>
      </c>
      <c r="G1914" s="375" t="s">
        <v>5366</v>
      </c>
      <c r="H1914" s="375" t="s">
        <v>823</v>
      </c>
      <c r="I1914" s="375" t="s">
        <v>755</v>
      </c>
      <c r="J1914" s="375">
        <v>376919.43738000002</v>
      </c>
      <c r="K1914" s="375">
        <v>3992.2649500000002</v>
      </c>
      <c r="L1914" s="375">
        <v>12905.7907</v>
      </c>
      <c r="M1914" s="375">
        <v>156661.8591</v>
      </c>
      <c r="N1914" s="372">
        <v>1.163</v>
      </c>
      <c r="O1914" s="703">
        <v>44.352221282584964</v>
      </c>
      <c r="P1914" s="375" t="s">
        <v>623</v>
      </c>
      <c r="Q1914" s="372" t="s">
        <v>623</v>
      </c>
      <c r="R1914" s="695">
        <v>20110428</v>
      </c>
      <c r="S1914" s="372" t="s">
        <v>12540</v>
      </c>
      <c r="T1914" s="696">
        <v>0.20900000000000002</v>
      </c>
      <c r="U1914" s="372" t="s">
        <v>12541</v>
      </c>
      <c r="V1914" s="722">
        <v>0</v>
      </c>
      <c r="W1914" s="722">
        <v>0.4</v>
      </c>
      <c r="X1914" s="722">
        <v>0</v>
      </c>
      <c r="Y1914" s="722">
        <v>0</v>
      </c>
      <c r="Z1914" s="382" t="s">
        <v>934</v>
      </c>
      <c r="AA1914" s="372">
        <v>2882.3015713</v>
      </c>
      <c r="AB1914" s="372">
        <v>2682.5176096999999</v>
      </c>
      <c r="AC1914" s="372">
        <v>2837.0251616</v>
      </c>
      <c r="AD1914" s="372">
        <v>3769.1943738</v>
      </c>
      <c r="AE1914" s="372">
        <v>0</v>
      </c>
      <c r="AF1914" s="372">
        <v>0</v>
      </c>
      <c r="AG1914" s="372">
        <v>0</v>
      </c>
      <c r="AH1914" s="372">
        <v>0</v>
      </c>
    </row>
    <row r="1915" spans="1:34">
      <c r="A1915" s="372" t="s">
        <v>12542</v>
      </c>
      <c r="B1915" s="373" t="s">
        <v>12543</v>
      </c>
      <c r="C1915" s="372" t="s">
        <v>12544</v>
      </c>
      <c r="D1915" s="374">
        <v>1101110522618</v>
      </c>
      <c r="E1915" s="372" t="s">
        <v>12545</v>
      </c>
      <c r="F1915" s="375" t="s">
        <v>2674</v>
      </c>
      <c r="G1915" s="375" t="s">
        <v>2674</v>
      </c>
      <c r="H1915" s="375" t="s">
        <v>1481</v>
      </c>
      <c r="I1915" s="375" t="s">
        <v>755</v>
      </c>
      <c r="J1915" s="375">
        <v>140483.42389000001</v>
      </c>
      <c r="K1915" s="375">
        <v>7151.1609799999997</v>
      </c>
      <c r="L1915" s="375">
        <v>7045.7152500000002</v>
      </c>
      <c r="M1915" s="375">
        <v>173866.98561</v>
      </c>
      <c r="N1915" s="372">
        <v>1.042</v>
      </c>
      <c r="O1915" s="703">
        <v>65.940272468212626</v>
      </c>
      <c r="P1915" s="375" t="s">
        <v>623</v>
      </c>
      <c r="Q1915" s="375" t="s">
        <v>623</v>
      </c>
      <c r="R1915" s="695">
        <v>19900914</v>
      </c>
      <c r="S1915" s="372" t="s">
        <v>12546</v>
      </c>
      <c r="T1915" s="696">
        <v>0.20900000000000002</v>
      </c>
      <c r="U1915" s="372" t="s">
        <v>12547</v>
      </c>
      <c r="V1915" s="722">
        <v>9.7200000000000006</v>
      </c>
      <c r="W1915" s="722">
        <v>0.51</v>
      </c>
      <c r="X1915" s="722">
        <v>0.48</v>
      </c>
      <c r="Y1915" s="722">
        <v>19.02</v>
      </c>
      <c r="Z1915" s="382" t="s">
        <v>934</v>
      </c>
      <c r="AA1915" s="372">
        <v>1156.3755911999999</v>
      </c>
      <c r="AB1915" s="372">
        <v>1280.1497236</v>
      </c>
      <c r="AC1915" s="372">
        <v>1526.1020312999999</v>
      </c>
      <c r="AD1915" s="372">
        <v>1404.8342388999999</v>
      </c>
      <c r="AE1915" s="372">
        <v>0</v>
      </c>
      <c r="AF1915" s="372">
        <v>0</v>
      </c>
      <c r="AG1915" s="372">
        <v>0</v>
      </c>
      <c r="AH1915" s="372">
        <v>0</v>
      </c>
    </row>
    <row r="1916" spans="1:34">
      <c r="A1916" s="372" t="s">
        <v>12548</v>
      </c>
      <c r="B1916" s="373" t="s">
        <v>12549</v>
      </c>
      <c r="C1916" s="372" t="s">
        <v>12550</v>
      </c>
      <c r="D1916" s="374">
        <v>1347110000333</v>
      </c>
      <c r="E1916" s="372" t="s">
        <v>12551</v>
      </c>
      <c r="F1916" s="372" t="s">
        <v>7276</v>
      </c>
      <c r="G1916" s="375" t="s">
        <v>7276</v>
      </c>
      <c r="H1916" s="375" t="s">
        <v>3998</v>
      </c>
      <c r="I1916" s="375" t="s">
        <v>755</v>
      </c>
      <c r="J1916" s="375">
        <v>178308.05893999999</v>
      </c>
      <c r="K1916" s="375">
        <v>7375.3393299999998</v>
      </c>
      <c r="L1916" s="375">
        <v>18014.068340000002</v>
      </c>
      <c r="M1916" s="375">
        <v>224134.97594999999</v>
      </c>
      <c r="N1916" s="372">
        <v>0.70899999999999996</v>
      </c>
      <c r="O1916" s="703">
        <v>1.5098924384470651</v>
      </c>
      <c r="P1916" s="375" t="s">
        <v>623</v>
      </c>
      <c r="Q1916" s="372" t="s">
        <v>623</v>
      </c>
      <c r="R1916" s="695">
        <v>20061017</v>
      </c>
      <c r="S1916" s="372" t="s">
        <v>12552</v>
      </c>
      <c r="T1916" s="696">
        <v>0.20900000000000002</v>
      </c>
      <c r="U1916" s="372" t="s">
        <v>12553</v>
      </c>
      <c r="V1916" s="722">
        <v>0</v>
      </c>
      <c r="W1916" s="722">
        <v>0.28000000000000003</v>
      </c>
      <c r="X1916" s="722">
        <v>0</v>
      </c>
      <c r="Y1916" s="722">
        <v>0</v>
      </c>
      <c r="Z1916" s="382" t="s">
        <v>934</v>
      </c>
      <c r="AA1916" s="372">
        <v>1463.3101709</v>
      </c>
      <c r="AB1916" s="372">
        <v>1381.3718137999999</v>
      </c>
      <c r="AC1916" s="372">
        <v>1744.6409177999999</v>
      </c>
      <c r="AD1916" s="372">
        <v>1783.0805894</v>
      </c>
      <c r="AE1916" s="372">
        <v>0</v>
      </c>
      <c r="AF1916" s="372">
        <v>0</v>
      </c>
      <c r="AG1916" s="372">
        <v>0</v>
      </c>
      <c r="AH1916" s="372">
        <v>0</v>
      </c>
    </row>
    <row r="1917" spans="1:34">
      <c r="A1917" s="372" t="s">
        <v>12554</v>
      </c>
      <c r="B1917" s="373" t="s">
        <v>12555</v>
      </c>
      <c r="C1917" s="372" t="s">
        <v>12556</v>
      </c>
      <c r="D1917" s="374">
        <v>1243110015051</v>
      </c>
      <c r="E1917" s="372" t="s">
        <v>12557</v>
      </c>
      <c r="F1917" s="375" t="s">
        <v>1472</v>
      </c>
      <c r="G1917" s="375" t="s">
        <v>5698</v>
      </c>
      <c r="H1917" s="375" t="s">
        <v>916</v>
      </c>
      <c r="I1917" s="375" t="s">
        <v>755</v>
      </c>
      <c r="J1917" s="375">
        <v>668410.64066000003</v>
      </c>
      <c r="K1917" s="375">
        <v>8724.9851999999992</v>
      </c>
      <c r="L1917" s="375">
        <v>-17836.960139999999</v>
      </c>
      <c r="M1917" s="375">
        <v>84604.264750000002</v>
      </c>
      <c r="N1917" s="372">
        <v>0.92</v>
      </c>
      <c r="O1917" s="703">
        <v>493.32827708341063</v>
      </c>
      <c r="P1917" s="375" t="s">
        <v>623</v>
      </c>
      <c r="Q1917" s="372" t="s">
        <v>623</v>
      </c>
      <c r="R1917" s="695">
        <v>19890725</v>
      </c>
      <c r="S1917" s="372" t="s">
        <v>12558</v>
      </c>
      <c r="T1917" s="696" t="s">
        <v>772</v>
      </c>
      <c r="U1917" s="372" t="s">
        <v>12559</v>
      </c>
      <c r="V1917" s="722">
        <v>9.27</v>
      </c>
      <c r="W1917" s="722">
        <v>0.96</v>
      </c>
      <c r="X1917" s="722">
        <v>0.12</v>
      </c>
      <c r="Y1917" s="722" t="s">
        <v>774</v>
      </c>
      <c r="Z1917" s="382" t="s">
        <v>934</v>
      </c>
      <c r="AA1917" s="372">
        <v>6152.5883911999999</v>
      </c>
      <c r="AB1917" s="372">
        <v>7762.5156411999997</v>
      </c>
      <c r="AC1917" s="372">
        <v>8581.3176089999997</v>
      </c>
      <c r="AD1917" s="372">
        <v>6684.1064065999999</v>
      </c>
      <c r="AE1917" s="372">
        <v>0</v>
      </c>
      <c r="AF1917" s="372">
        <v>0</v>
      </c>
      <c r="AG1917" s="372">
        <v>0</v>
      </c>
      <c r="AH1917" s="372">
        <v>0</v>
      </c>
    </row>
    <row r="1918" spans="1:34">
      <c r="A1918" s="372" t="s">
        <v>12560</v>
      </c>
      <c r="B1918" s="373" t="s">
        <v>12561</v>
      </c>
      <c r="C1918" s="372" t="s">
        <v>12562</v>
      </c>
      <c r="D1918" s="374">
        <v>1101117417458</v>
      </c>
      <c r="E1918" s="372" t="s">
        <v>12563</v>
      </c>
      <c r="F1918" s="372" t="s">
        <v>1195</v>
      </c>
      <c r="G1918" s="375" t="s">
        <v>3144</v>
      </c>
      <c r="H1918" s="375" t="s">
        <v>1388</v>
      </c>
      <c r="I1918" s="375" t="s">
        <v>869</v>
      </c>
      <c r="J1918" s="375">
        <v>16178.82495</v>
      </c>
      <c r="K1918" s="375">
        <v>-8559.6226200000001</v>
      </c>
      <c r="L1918" s="375">
        <v>-7498.6415900000002</v>
      </c>
      <c r="M1918" s="375">
        <v>21806.31925</v>
      </c>
      <c r="N1918" s="372">
        <v>0.80500000000000005</v>
      </c>
      <c r="O1918" s="703">
        <v>25.252131423124606</v>
      </c>
      <c r="P1918" s="375" t="s">
        <v>623</v>
      </c>
      <c r="Q1918" s="372" t="s">
        <v>623</v>
      </c>
      <c r="R1918" s="695">
        <v>20200622</v>
      </c>
      <c r="S1918" s="372" t="s">
        <v>12564</v>
      </c>
      <c r="T1918" s="696" t="s">
        <v>772</v>
      </c>
      <c r="U1918" s="372" t="s">
        <v>12565</v>
      </c>
      <c r="V1918" s="722" t="s">
        <v>774</v>
      </c>
      <c r="W1918" s="722">
        <v>3.09</v>
      </c>
      <c r="X1918" s="722">
        <v>3.7</v>
      </c>
      <c r="Y1918" s="722" t="s">
        <v>774</v>
      </c>
      <c r="Z1918" s="382" t="s">
        <v>934</v>
      </c>
      <c r="AA1918" s="372">
        <v>361.60149940000002</v>
      </c>
      <c r="AB1918" s="372">
        <v>378.55500669999998</v>
      </c>
      <c r="AC1918" s="372">
        <v>329.43720400000001</v>
      </c>
      <c r="AD1918" s="372">
        <v>161.78824950000001</v>
      </c>
      <c r="AE1918" s="372">
        <v>0</v>
      </c>
      <c r="AF1918" s="372">
        <v>0</v>
      </c>
      <c r="AG1918" s="372">
        <v>0</v>
      </c>
      <c r="AH1918" s="372">
        <v>0</v>
      </c>
    </row>
    <row r="1919" spans="1:34">
      <c r="A1919" s="372" t="s">
        <v>12566</v>
      </c>
      <c r="B1919" s="373" t="s">
        <v>12567</v>
      </c>
      <c r="C1919" s="372" t="s">
        <v>12568</v>
      </c>
      <c r="D1919" s="374">
        <v>1601110001167</v>
      </c>
      <c r="E1919" s="372" t="s">
        <v>12569</v>
      </c>
      <c r="F1919" s="372" t="s">
        <v>4879</v>
      </c>
      <c r="G1919" s="375" t="s">
        <v>4879</v>
      </c>
      <c r="H1919" s="375" t="s">
        <v>1327</v>
      </c>
      <c r="I1919" s="375" t="s">
        <v>755</v>
      </c>
      <c r="J1919" s="375">
        <v>634838.09417000005</v>
      </c>
      <c r="K1919" s="375">
        <v>5680.8125399999999</v>
      </c>
      <c r="L1919" s="375">
        <v>13385.73645</v>
      </c>
      <c r="M1919" s="375">
        <v>182519.53023</v>
      </c>
      <c r="N1919" s="372">
        <v>1.042</v>
      </c>
      <c r="O1919" s="703">
        <v>274.75268372750821</v>
      </c>
      <c r="P1919" s="375" t="s">
        <v>623</v>
      </c>
      <c r="Q1919" s="372" t="s">
        <v>623</v>
      </c>
      <c r="R1919" s="695">
        <v>19881010</v>
      </c>
      <c r="S1919" s="372" t="s">
        <v>12570</v>
      </c>
      <c r="T1919" s="696">
        <v>0.20900000000000002</v>
      </c>
      <c r="U1919" s="372" t="s">
        <v>12571</v>
      </c>
      <c r="V1919" s="722">
        <v>10.34</v>
      </c>
      <c r="W1919" s="722">
        <v>0.33</v>
      </c>
      <c r="X1919" s="722">
        <v>0.1</v>
      </c>
      <c r="Y1919" s="722">
        <v>5.54</v>
      </c>
      <c r="Z1919" s="382" t="s">
        <v>934</v>
      </c>
      <c r="AA1919" s="372">
        <v>3885.5813839000002</v>
      </c>
      <c r="AB1919" s="372">
        <v>4804.7519751999998</v>
      </c>
      <c r="AC1919" s="372">
        <v>6123.2238513000002</v>
      </c>
      <c r="AD1919" s="372">
        <v>6348.3809417000002</v>
      </c>
      <c r="AE1919" s="372">
        <v>0</v>
      </c>
      <c r="AF1919" s="372">
        <v>0</v>
      </c>
      <c r="AG1919" s="372">
        <v>0</v>
      </c>
      <c r="AH1919" s="372">
        <v>0</v>
      </c>
    </row>
    <row r="1920" spans="1:34">
      <c r="A1920" s="372" t="s">
        <v>12572</v>
      </c>
      <c r="B1920" s="373" t="s">
        <v>12573</v>
      </c>
      <c r="C1920" s="372" t="s">
        <v>12574</v>
      </c>
      <c r="D1920" s="374">
        <v>1101111773799</v>
      </c>
      <c r="E1920" s="372" t="s">
        <v>12575</v>
      </c>
      <c r="F1920" s="372" t="s">
        <v>5328</v>
      </c>
      <c r="G1920" s="375" t="s">
        <v>5328</v>
      </c>
      <c r="H1920" s="375" t="s">
        <v>868</v>
      </c>
      <c r="I1920" s="375" t="s">
        <v>869</v>
      </c>
      <c r="J1920" s="375">
        <v>176102.43345000001</v>
      </c>
      <c r="K1920" s="375">
        <v>11123.087530000001</v>
      </c>
      <c r="L1920" s="375">
        <v>10469.39257</v>
      </c>
      <c r="M1920" s="375">
        <v>75712.625700000004</v>
      </c>
      <c r="N1920" s="372">
        <v>0.78600000000000003</v>
      </c>
      <c r="O1920" s="703">
        <v>12.925229406565172</v>
      </c>
      <c r="P1920" s="375" t="s">
        <v>623</v>
      </c>
      <c r="Q1920" s="372" t="s">
        <v>623</v>
      </c>
      <c r="R1920" s="695">
        <v>20180723</v>
      </c>
      <c r="S1920" s="372" t="s">
        <v>12576</v>
      </c>
      <c r="T1920" s="696">
        <v>0.20900000000000002</v>
      </c>
      <c r="U1920" s="372" t="s">
        <v>12577</v>
      </c>
      <c r="V1920" s="722">
        <v>4.0199999999999996</v>
      </c>
      <c r="W1920" s="722">
        <v>0.8</v>
      </c>
      <c r="X1920" s="722">
        <v>0.35</v>
      </c>
      <c r="Y1920" s="722">
        <v>7.24</v>
      </c>
      <c r="Z1920" s="382" t="s">
        <v>934</v>
      </c>
      <c r="AA1920" s="372">
        <v>1234.6230639</v>
      </c>
      <c r="AB1920" s="372">
        <v>1087.0466704999999</v>
      </c>
      <c r="AC1920" s="372">
        <v>1431.1638178999999</v>
      </c>
      <c r="AD1920" s="372">
        <v>1761.0243344999999</v>
      </c>
      <c r="AE1920" s="372">
        <v>0</v>
      </c>
      <c r="AF1920" s="372">
        <v>0</v>
      </c>
      <c r="AG1920" s="372">
        <v>0</v>
      </c>
      <c r="AH1920" s="372">
        <v>0</v>
      </c>
    </row>
    <row r="1921" spans="1:34">
      <c r="A1921" s="372" t="s">
        <v>12578</v>
      </c>
      <c r="B1921" s="373" t="s">
        <v>12579</v>
      </c>
      <c r="C1921" s="372" t="s">
        <v>12580</v>
      </c>
      <c r="D1921" s="374">
        <v>1812110008538</v>
      </c>
      <c r="E1921" s="372" t="s">
        <v>12581</v>
      </c>
      <c r="F1921" s="372" t="s">
        <v>2368</v>
      </c>
      <c r="G1921" s="375" t="s">
        <v>2368</v>
      </c>
      <c r="H1921" s="375" t="s">
        <v>868</v>
      </c>
      <c r="I1921" s="375" t="s">
        <v>869</v>
      </c>
      <c r="J1921" s="375">
        <v>220981.85235999999</v>
      </c>
      <c r="K1921" s="375">
        <v>-13575.024299999999</v>
      </c>
      <c r="L1921" s="375">
        <v>-17359.945650000001</v>
      </c>
      <c r="M1921" s="375">
        <v>36627.811529999999</v>
      </c>
      <c r="N1921" s="372" t="s">
        <v>1033</v>
      </c>
      <c r="O1921" s="703">
        <v>248.5748472792348</v>
      </c>
      <c r="P1921" s="375" t="s">
        <v>623</v>
      </c>
      <c r="Q1921" s="375" t="s">
        <v>623</v>
      </c>
      <c r="R1921" s="695">
        <v>20140812</v>
      </c>
      <c r="S1921" s="375" t="s">
        <v>12582</v>
      </c>
      <c r="T1921" s="696" t="s">
        <v>772</v>
      </c>
      <c r="U1921" s="372" t="s">
        <v>12583</v>
      </c>
      <c r="V1921" s="722" t="s">
        <v>774</v>
      </c>
      <c r="W1921" s="722">
        <v>2.1800000000000002</v>
      </c>
      <c r="X1921" s="722">
        <v>0.36</v>
      </c>
      <c r="Y1921" s="722" t="s">
        <v>774</v>
      </c>
      <c r="Z1921" s="382" t="s">
        <v>934</v>
      </c>
      <c r="AA1921" s="372">
        <v>1659.6847700000001</v>
      </c>
      <c r="AB1921" s="372">
        <v>1890.2378097000001</v>
      </c>
      <c r="AC1921" s="372">
        <v>2324.9684679000002</v>
      </c>
      <c r="AD1921" s="372">
        <v>2209.8185235999999</v>
      </c>
      <c r="AE1921" s="372">
        <v>2980</v>
      </c>
      <c r="AF1921" s="372">
        <v>3324</v>
      </c>
      <c r="AG1921" s="372">
        <v>0</v>
      </c>
      <c r="AH1921" s="372">
        <v>0</v>
      </c>
    </row>
    <row r="1922" spans="1:34">
      <c r="A1922" s="372" t="s">
        <v>12584</v>
      </c>
      <c r="B1922" s="373" t="s">
        <v>12585</v>
      </c>
      <c r="C1922" s="372" t="s">
        <v>12586</v>
      </c>
      <c r="D1922" s="374">
        <v>1201110000323</v>
      </c>
      <c r="E1922" s="372" t="s">
        <v>12587</v>
      </c>
      <c r="F1922" s="375" t="s">
        <v>1881</v>
      </c>
      <c r="G1922" s="375" t="s">
        <v>1882</v>
      </c>
      <c r="H1922" s="375" t="s">
        <v>797</v>
      </c>
      <c r="I1922" s="375" t="s">
        <v>755</v>
      </c>
      <c r="J1922" s="375">
        <v>749497.56363999995</v>
      </c>
      <c r="K1922" s="375">
        <v>-21498.74451</v>
      </c>
      <c r="L1922" s="375">
        <v>-30983.826010000001</v>
      </c>
      <c r="M1922" s="375">
        <v>281351.81102000002</v>
      </c>
      <c r="N1922" s="372">
        <v>0.52</v>
      </c>
      <c r="O1922" s="703">
        <v>882.02105570599463</v>
      </c>
      <c r="P1922" s="375" t="s">
        <v>623</v>
      </c>
      <c r="Q1922" s="372" t="s">
        <v>623</v>
      </c>
      <c r="R1922" s="695">
        <v>20161202</v>
      </c>
      <c r="S1922" s="372" t="s">
        <v>12588</v>
      </c>
      <c r="T1922" s="696" t="s">
        <v>772</v>
      </c>
      <c r="U1922" s="372" t="s">
        <v>12589</v>
      </c>
      <c r="V1922" s="722">
        <v>19.09</v>
      </c>
      <c r="W1922" s="722">
        <v>0.24</v>
      </c>
      <c r="X1922" s="722">
        <v>0.09</v>
      </c>
      <c r="Y1922" s="722" t="s">
        <v>774</v>
      </c>
      <c r="Z1922" s="382" t="s">
        <v>934</v>
      </c>
      <c r="AA1922" s="372">
        <v>5726.7423332999997</v>
      </c>
      <c r="AB1922" s="372">
        <v>5622.1339066999999</v>
      </c>
      <c r="AC1922" s="372">
        <v>7782.5450916999998</v>
      </c>
      <c r="AD1922" s="372">
        <v>7494.9756364000004</v>
      </c>
      <c r="AE1922" s="372">
        <v>0</v>
      </c>
      <c r="AF1922" s="372">
        <v>0</v>
      </c>
      <c r="AG1922" s="372">
        <v>0</v>
      </c>
      <c r="AH1922" s="372">
        <v>0</v>
      </c>
    </row>
    <row r="1923" spans="1:34">
      <c r="A1923" s="372" t="s">
        <v>12590</v>
      </c>
      <c r="B1923" s="373" t="s">
        <v>12591</v>
      </c>
      <c r="C1923" s="372" t="s">
        <v>12592</v>
      </c>
      <c r="D1923" s="374">
        <v>1101110339691</v>
      </c>
      <c r="E1923" s="372" t="s">
        <v>12593</v>
      </c>
      <c r="F1923" s="375" t="s">
        <v>2126</v>
      </c>
      <c r="G1923" s="375" t="s">
        <v>2126</v>
      </c>
      <c r="H1923" s="375" t="s">
        <v>902</v>
      </c>
      <c r="I1923" s="375" t="s">
        <v>869</v>
      </c>
      <c r="J1923" s="375">
        <v>25058.409619999999</v>
      </c>
      <c r="K1923" s="375">
        <v>10471.00071</v>
      </c>
      <c r="L1923" s="375">
        <v>9120.1627499999995</v>
      </c>
      <c r="M1923" s="375">
        <v>135505.52580999999</v>
      </c>
      <c r="N1923" s="372">
        <v>0.92400000000000004</v>
      </c>
      <c r="O1923" s="703">
        <v>43.577681840582784</v>
      </c>
      <c r="P1923" s="375" t="s">
        <v>623</v>
      </c>
      <c r="Q1923" s="372" t="s">
        <v>623</v>
      </c>
      <c r="R1923" s="695">
        <v>19930614</v>
      </c>
      <c r="S1923" s="372" t="s">
        <v>12594</v>
      </c>
      <c r="T1923" s="696">
        <v>0.20900000000000002</v>
      </c>
      <c r="U1923" s="372" t="s">
        <v>12595</v>
      </c>
      <c r="V1923" s="722">
        <v>0</v>
      </c>
      <c r="W1923" s="722">
        <v>0.46</v>
      </c>
      <c r="X1923" s="722">
        <v>0</v>
      </c>
      <c r="Y1923" s="722">
        <v>0</v>
      </c>
      <c r="Z1923" s="382" t="s">
        <v>934</v>
      </c>
      <c r="AA1923" s="372">
        <v>133.68699580000001</v>
      </c>
      <c r="AB1923" s="372">
        <v>113.95965080000001</v>
      </c>
      <c r="AC1923" s="372">
        <v>72.170295600000003</v>
      </c>
      <c r="AD1923" s="372">
        <v>250.5840962</v>
      </c>
      <c r="AE1923" s="372">
        <v>0</v>
      </c>
      <c r="AF1923" s="372">
        <v>0</v>
      </c>
      <c r="AG1923" s="372">
        <v>0</v>
      </c>
      <c r="AH1923" s="372">
        <v>0</v>
      </c>
    </row>
    <row r="1924" spans="1:34">
      <c r="A1924" s="372" t="s">
        <v>12596</v>
      </c>
      <c r="B1924" s="373" t="s">
        <v>12597</v>
      </c>
      <c r="C1924" s="372" t="s">
        <v>12598</v>
      </c>
      <c r="D1924" s="374">
        <v>1301110028935</v>
      </c>
      <c r="E1924" s="372" t="s">
        <v>12599</v>
      </c>
      <c r="F1924" s="375" t="s">
        <v>12303</v>
      </c>
      <c r="G1924" s="375" t="s">
        <v>12303</v>
      </c>
      <c r="H1924" s="375" t="s">
        <v>868</v>
      </c>
      <c r="I1924" s="375" t="s">
        <v>869</v>
      </c>
      <c r="J1924" s="375">
        <v>458516.75598000002</v>
      </c>
      <c r="K1924" s="375">
        <v>3234.9737700000001</v>
      </c>
      <c r="L1924" s="375">
        <v>-11460.03847</v>
      </c>
      <c r="M1924" s="375">
        <v>371300.72827000002</v>
      </c>
      <c r="N1924" s="372">
        <v>0.92400000000000004</v>
      </c>
      <c r="O1924" s="703">
        <v>495.59950983758051</v>
      </c>
      <c r="P1924" s="375" t="s">
        <v>623</v>
      </c>
      <c r="Q1924" s="372" t="s">
        <v>623</v>
      </c>
      <c r="R1924" s="695">
        <v>20000502</v>
      </c>
      <c r="S1924" s="372" t="s">
        <v>12600</v>
      </c>
      <c r="T1924" s="696" t="s">
        <v>772</v>
      </c>
      <c r="U1924" s="372" t="s">
        <v>16098</v>
      </c>
      <c r="V1924" s="722">
        <v>17.809999999999999</v>
      </c>
      <c r="W1924" s="722">
        <v>0.31</v>
      </c>
      <c r="X1924" s="722">
        <v>0.14000000000000001</v>
      </c>
      <c r="Y1924" s="722" t="s">
        <v>774</v>
      </c>
      <c r="Z1924" s="382" t="s">
        <v>934</v>
      </c>
      <c r="AA1924" s="372">
        <v>4135.1147266999997</v>
      </c>
      <c r="AB1924" s="372">
        <v>4748.7648418999997</v>
      </c>
      <c r="AC1924" s="372">
        <v>5075.5761978999999</v>
      </c>
      <c r="AD1924" s="372">
        <v>4585.1675598000002</v>
      </c>
      <c r="AE1924" s="372">
        <v>0</v>
      </c>
      <c r="AF1924" s="372">
        <v>0</v>
      </c>
      <c r="AG1924" s="372">
        <v>0</v>
      </c>
      <c r="AH1924" s="372">
        <v>0</v>
      </c>
    </row>
    <row r="1925" spans="1:34">
      <c r="A1925" s="372" t="s">
        <v>12601</v>
      </c>
      <c r="B1925" s="373" t="s">
        <v>12602</v>
      </c>
      <c r="C1925" s="372" t="s">
        <v>12603</v>
      </c>
      <c r="D1925" s="374">
        <v>1101118466280</v>
      </c>
      <c r="E1925" s="372" t="s">
        <v>12604</v>
      </c>
      <c r="F1925" s="375" t="s">
        <v>12303</v>
      </c>
      <c r="G1925" s="375" t="s">
        <v>12605</v>
      </c>
      <c r="H1925" s="375" t="s">
        <v>3998</v>
      </c>
      <c r="I1925" s="375" t="s">
        <v>755</v>
      </c>
      <c r="J1925" s="375">
        <v>168785.61327</v>
      </c>
      <c r="K1925" s="375">
        <v>-4071.7700399999999</v>
      </c>
      <c r="L1925" s="375">
        <v>1120.0599</v>
      </c>
      <c r="M1925" s="375">
        <v>191891.57983999999</v>
      </c>
      <c r="N1925" s="372" t="s">
        <v>1033</v>
      </c>
      <c r="O1925" s="703">
        <v>20.714083509528582</v>
      </c>
      <c r="P1925" s="375" t="s">
        <v>623</v>
      </c>
      <c r="Q1925" s="372" t="s">
        <v>623</v>
      </c>
      <c r="R1925" s="695">
        <v>20221128</v>
      </c>
      <c r="S1925" s="372" t="s">
        <v>12606</v>
      </c>
      <c r="T1925" s="696">
        <v>0.20900000000000002</v>
      </c>
      <c r="U1925" s="372" t="s">
        <v>12607</v>
      </c>
      <c r="V1925" s="722">
        <v>0</v>
      </c>
      <c r="W1925" s="722">
        <v>0.39</v>
      </c>
      <c r="X1925" s="722">
        <v>0</v>
      </c>
      <c r="Y1925" s="722">
        <v>0</v>
      </c>
      <c r="Z1925" s="382" t="s">
        <v>934</v>
      </c>
      <c r="AA1925" s="372">
        <v>0</v>
      </c>
      <c r="AB1925" s="372">
        <v>0</v>
      </c>
      <c r="AC1925" s="372">
        <v>292.21282150000002</v>
      </c>
      <c r="AD1925" s="372">
        <v>1687.8561327</v>
      </c>
      <c r="AE1925" s="372">
        <v>0</v>
      </c>
      <c r="AF1925" s="372">
        <v>0</v>
      </c>
      <c r="AG1925" s="372">
        <v>0</v>
      </c>
      <c r="AH1925" s="372">
        <v>0</v>
      </c>
    </row>
    <row r="1926" spans="1:34">
      <c r="A1926" s="372" t="s">
        <v>12608</v>
      </c>
      <c r="B1926" s="373" t="s">
        <v>12609</v>
      </c>
      <c r="C1926" s="372" t="s">
        <v>12610</v>
      </c>
      <c r="D1926" s="374">
        <v>1156110001401</v>
      </c>
      <c r="E1926" s="372" t="s">
        <v>12611</v>
      </c>
      <c r="F1926" s="375" t="s">
        <v>12513</v>
      </c>
      <c r="G1926" s="375" t="s">
        <v>12514</v>
      </c>
      <c r="H1926" s="375" t="s">
        <v>868</v>
      </c>
      <c r="I1926" s="375" t="s">
        <v>869</v>
      </c>
      <c r="J1926" s="375">
        <v>86280.033370000005</v>
      </c>
      <c r="K1926" s="375">
        <v>1178.6626200000001</v>
      </c>
      <c r="L1926" s="375">
        <v>2572.6677599999998</v>
      </c>
      <c r="M1926" s="375">
        <v>60193.769800000002</v>
      </c>
      <c r="N1926" s="372">
        <v>0.99199999999999999</v>
      </c>
      <c r="O1926" s="703">
        <v>55.452819437671273</v>
      </c>
      <c r="P1926" s="375" t="s">
        <v>623</v>
      </c>
      <c r="Q1926" s="372" t="s">
        <v>623</v>
      </c>
      <c r="R1926" s="695">
        <v>19921222</v>
      </c>
      <c r="S1926" s="372" t="s">
        <v>12612</v>
      </c>
      <c r="T1926" s="696">
        <v>0.20900000000000002</v>
      </c>
      <c r="U1926" s="372" t="s">
        <v>12613</v>
      </c>
      <c r="V1926" s="722">
        <v>13.05</v>
      </c>
      <c r="W1926" s="722">
        <v>0.89</v>
      </c>
      <c r="X1926" s="722">
        <v>0.63</v>
      </c>
      <c r="Y1926" s="722">
        <v>26.57</v>
      </c>
      <c r="Z1926" s="382" t="s">
        <v>934</v>
      </c>
      <c r="AA1926" s="372">
        <v>869.05996100000004</v>
      </c>
      <c r="AB1926" s="372">
        <v>876.92633479999995</v>
      </c>
      <c r="AC1926" s="372">
        <v>902.80280010000001</v>
      </c>
      <c r="AD1926" s="372">
        <v>862.80033370000001</v>
      </c>
      <c r="AE1926" s="372">
        <v>0</v>
      </c>
      <c r="AF1926" s="372">
        <v>0</v>
      </c>
      <c r="AG1926" s="372">
        <v>0</v>
      </c>
      <c r="AH1926" s="372">
        <v>0</v>
      </c>
    </row>
    <row r="1927" spans="1:34">
      <c r="A1927" s="372" t="s">
        <v>12614</v>
      </c>
      <c r="B1927" s="373" t="s">
        <v>12615</v>
      </c>
      <c r="C1927" s="372" t="s">
        <v>12616</v>
      </c>
      <c r="D1927" s="374">
        <v>1101115877480</v>
      </c>
      <c r="E1927" s="372" t="s">
        <v>12617</v>
      </c>
      <c r="F1927" s="375" t="s">
        <v>2742</v>
      </c>
      <c r="G1927" s="375" t="s">
        <v>2742</v>
      </c>
      <c r="H1927" s="375" t="s">
        <v>1348</v>
      </c>
      <c r="I1927" s="375" t="s">
        <v>869</v>
      </c>
      <c r="J1927" s="375">
        <v>4350.8732499999996</v>
      </c>
      <c r="K1927" s="375">
        <v>-13425.1144</v>
      </c>
      <c r="L1927" s="375">
        <v>-13175.433069999999</v>
      </c>
      <c r="M1927" s="375">
        <v>16234.121059999999</v>
      </c>
      <c r="N1927" s="372">
        <v>0.95299999999999996</v>
      </c>
      <c r="O1927" s="703">
        <v>20.965035126798423</v>
      </c>
      <c r="P1927" s="375" t="s">
        <v>623</v>
      </c>
      <c r="Q1927" s="372" t="s">
        <v>623</v>
      </c>
      <c r="R1927" s="695">
        <v>20201210</v>
      </c>
      <c r="S1927" s="372" t="s">
        <v>12618</v>
      </c>
      <c r="T1927" s="696" t="s">
        <v>772</v>
      </c>
      <c r="U1927" s="372" t="s">
        <v>12619</v>
      </c>
      <c r="V1927" s="722" t="s">
        <v>774</v>
      </c>
      <c r="W1927" s="722">
        <v>4.4000000000000004</v>
      </c>
      <c r="X1927" s="722">
        <v>16.45</v>
      </c>
      <c r="Y1927" s="722" t="s">
        <v>774</v>
      </c>
      <c r="Z1927" s="382" t="s">
        <v>934</v>
      </c>
      <c r="AA1927" s="372">
        <v>24.792770399999998</v>
      </c>
      <c r="AB1927" s="372">
        <v>71.631972899999994</v>
      </c>
      <c r="AC1927" s="372">
        <v>110.1755714</v>
      </c>
      <c r="AD1927" s="372">
        <v>43.508732500000001</v>
      </c>
      <c r="AE1927" s="372">
        <v>0</v>
      </c>
      <c r="AF1927" s="372">
        <v>0</v>
      </c>
      <c r="AG1927" s="372">
        <v>0</v>
      </c>
      <c r="AH1927" s="372">
        <v>0</v>
      </c>
    </row>
    <row r="1928" spans="1:34">
      <c r="A1928" s="372" t="s">
        <v>12620</v>
      </c>
      <c r="B1928" s="373" t="s">
        <v>12621</v>
      </c>
      <c r="C1928" s="372" t="s">
        <v>12622</v>
      </c>
      <c r="D1928" s="374">
        <v>1101110028939</v>
      </c>
      <c r="E1928" s="372" t="s">
        <v>12623</v>
      </c>
      <c r="F1928" s="372" t="s">
        <v>1881</v>
      </c>
      <c r="G1928" s="375" t="s">
        <v>1882</v>
      </c>
      <c r="H1928" s="375" t="s">
        <v>797</v>
      </c>
      <c r="I1928" s="375" t="s">
        <v>755</v>
      </c>
      <c r="J1928" s="375">
        <v>649418.49300999998</v>
      </c>
      <c r="K1928" s="375">
        <v>4502.7957299999998</v>
      </c>
      <c r="L1928" s="375">
        <v>11665.261990000001</v>
      </c>
      <c r="M1928" s="375">
        <v>196052.73801</v>
      </c>
      <c r="N1928" s="372">
        <v>0.74199999999999999</v>
      </c>
      <c r="O1928" s="703">
        <v>260.95591070474541</v>
      </c>
      <c r="P1928" s="375" t="s">
        <v>623</v>
      </c>
      <c r="Q1928" s="375" t="s">
        <v>623</v>
      </c>
      <c r="R1928" s="695">
        <v>19900915</v>
      </c>
      <c r="S1928" s="375" t="s">
        <v>12624</v>
      </c>
      <c r="T1928" s="696">
        <v>0.20900000000000002</v>
      </c>
      <c r="U1928" s="372" t="s">
        <v>16099</v>
      </c>
      <c r="V1928" s="722">
        <v>5.28</v>
      </c>
      <c r="W1928" s="722">
        <v>0.34</v>
      </c>
      <c r="X1928" s="722">
        <v>0.1</v>
      </c>
      <c r="Y1928" s="722">
        <v>8.7100000000000009</v>
      </c>
      <c r="Z1928" s="382" t="s">
        <v>934</v>
      </c>
      <c r="AA1928" s="372">
        <v>5307.8695009000003</v>
      </c>
      <c r="AB1928" s="372">
        <v>5214.4097456</v>
      </c>
      <c r="AC1928" s="372">
        <v>6141.7227581999996</v>
      </c>
      <c r="AD1928" s="372">
        <v>6494.1849301000002</v>
      </c>
      <c r="AE1928" s="372">
        <v>0</v>
      </c>
      <c r="AF1928" s="372">
        <v>0</v>
      </c>
      <c r="AG1928" s="372">
        <v>0</v>
      </c>
      <c r="AH1928" s="372">
        <v>0</v>
      </c>
    </row>
    <row r="1929" spans="1:34">
      <c r="A1929" s="372" t="s">
        <v>12625</v>
      </c>
      <c r="B1929" s="373" t="s">
        <v>12626</v>
      </c>
      <c r="C1929" s="372" t="s">
        <v>12627</v>
      </c>
      <c r="D1929" s="374">
        <v>1101111539597</v>
      </c>
      <c r="E1929" s="372" t="s">
        <v>12628</v>
      </c>
      <c r="F1929" s="375" t="s">
        <v>6673</v>
      </c>
      <c r="G1929" s="375" t="s">
        <v>6673</v>
      </c>
      <c r="H1929" s="375" t="s">
        <v>1388</v>
      </c>
      <c r="I1929" s="375" t="s">
        <v>869</v>
      </c>
      <c r="J1929" s="375">
        <v>131416.44085000001</v>
      </c>
      <c r="K1929" s="375">
        <v>-819.79231000000004</v>
      </c>
      <c r="L1929" s="375">
        <v>-2765.9801299999999</v>
      </c>
      <c r="M1929" s="375">
        <v>87842.564480000001</v>
      </c>
      <c r="N1929" s="372">
        <v>0.74199999999999999</v>
      </c>
      <c r="O1929" s="703">
        <v>1.2167252252980301</v>
      </c>
      <c r="P1929" s="375" t="s">
        <v>623</v>
      </c>
      <c r="Q1929" s="372" t="s">
        <v>623</v>
      </c>
      <c r="R1929" s="695">
        <v>20000718</v>
      </c>
      <c r="S1929" s="372" t="s">
        <v>12629</v>
      </c>
      <c r="T1929" s="696" t="s">
        <v>772</v>
      </c>
      <c r="U1929" s="372" t="s">
        <v>12630</v>
      </c>
      <c r="V1929" s="722">
        <v>0</v>
      </c>
      <c r="W1929" s="722">
        <v>0.53</v>
      </c>
      <c r="X1929" s="722">
        <v>0</v>
      </c>
      <c r="Y1929" s="722">
        <v>0</v>
      </c>
      <c r="Z1929" s="382" t="s">
        <v>934</v>
      </c>
      <c r="AA1929" s="372">
        <v>1036.8313333000001</v>
      </c>
      <c r="AB1929" s="372">
        <v>959.28421879999996</v>
      </c>
      <c r="AC1929" s="372">
        <v>1049.4224248</v>
      </c>
      <c r="AD1929" s="372">
        <v>1314.1644085</v>
      </c>
      <c r="AE1929" s="372">
        <v>0</v>
      </c>
      <c r="AF1929" s="372">
        <v>0</v>
      </c>
      <c r="AG1929" s="372">
        <v>0</v>
      </c>
      <c r="AH1929" s="372">
        <v>0</v>
      </c>
    </row>
    <row r="1930" spans="1:34">
      <c r="A1930" s="372" t="s">
        <v>12631</v>
      </c>
      <c r="B1930" s="373" t="s">
        <v>12632</v>
      </c>
      <c r="C1930" s="372" t="s">
        <v>12633</v>
      </c>
      <c r="D1930" s="374">
        <v>1101114256924</v>
      </c>
      <c r="E1930" s="372" t="s">
        <v>12634</v>
      </c>
      <c r="F1930" s="372" t="s">
        <v>2692</v>
      </c>
      <c r="G1930" s="375" t="s">
        <v>2692</v>
      </c>
      <c r="H1930" s="375" t="s">
        <v>868</v>
      </c>
      <c r="I1930" s="375" t="s">
        <v>869</v>
      </c>
      <c r="J1930" s="375">
        <v>58163.177759999999</v>
      </c>
      <c r="K1930" s="375">
        <v>8503.0981699999993</v>
      </c>
      <c r="L1930" s="375">
        <v>8696.5207399999999</v>
      </c>
      <c r="M1930" s="375">
        <v>39654.507120000002</v>
      </c>
      <c r="N1930" s="372">
        <v>0.67200000000000004</v>
      </c>
      <c r="O1930" s="703">
        <v>40.371350273082776</v>
      </c>
      <c r="P1930" s="375" t="s">
        <v>623</v>
      </c>
      <c r="Q1930" s="372" t="s">
        <v>623</v>
      </c>
      <c r="R1930" s="695">
        <v>20180201</v>
      </c>
      <c r="S1930" s="372" t="s">
        <v>12635</v>
      </c>
      <c r="T1930" s="696">
        <v>0.20900000000000002</v>
      </c>
      <c r="U1930" s="372" t="s">
        <v>12636</v>
      </c>
      <c r="V1930" s="722">
        <v>6.15</v>
      </c>
      <c r="W1930" s="722">
        <v>1.79</v>
      </c>
      <c r="X1930" s="722">
        <v>1.19</v>
      </c>
      <c r="Y1930" s="722">
        <v>10.1</v>
      </c>
      <c r="Z1930" s="382" t="s">
        <v>934</v>
      </c>
      <c r="AA1930" s="372">
        <v>266.97239539999998</v>
      </c>
      <c r="AB1930" s="372">
        <v>215.28383160000001</v>
      </c>
      <c r="AC1930" s="372">
        <v>380.31771170000002</v>
      </c>
      <c r="AD1930" s="372">
        <v>581.63177759999996</v>
      </c>
      <c r="AE1930" s="372">
        <v>611</v>
      </c>
      <c r="AF1930" s="372">
        <v>654</v>
      </c>
      <c r="AG1930" s="372">
        <v>0</v>
      </c>
      <c r="AH1930" s="372">
        <v>0</v>
      </c>
    </row>
    <row r="1931" spans="1:34">
      <c r="A1931" s="372" t="s">
        <v>12637</v>
      </c>
      <c r="B1931" s="373" t="s">
        <v>12638</v>
      </c>
      <c r="C1931" s="372" t="s">
        <v>12639</v>
      </c>
      <c r="D1931" s="374">
        <v>1412110006738</v>
      </c>
      <c r="E1931" s="372" t="s">
        <v>12640</v>
      </c>
      <c r="F1931" s="372" t="s">
        <v>2098</v>
      </c>
      <c r="G1931" s="375" t="s">
        <v>2098</v>
      </c>
      <c r="H1931" s="375" t="s">
        <v>868</v>
      </c>
      <c r="I1931" s="375" t="s">
        <v>869</v>
      </c>
      <c r="J1931" s="375">
        <v>186158.77583</v>
      </c>
      <c r="K1931" s="375">
        <v>7145.65373</v>
      </c>
      <c r="L1931" s="375">
        <v>1915.52406</v>
      </c>
      <c r="M1931" s="375">
        <v>93667.678889999996</v>
      </c>
      <c r="N1931" s="372">
        <v>1.0920000000000001</v>
      </c>
      <c r="O1931" s="703">
        <v>35.778977418275304</v>
      </c>
      <c r="P1931" s="375" t="s">
        <v>623</v>
      </c>
      <c r="Q1931" s="375" t="s">
        <v>623</v>
      </c>
      <c r="R1931" s="695">
        <v>19991222</v>
      </c>
      <c r="S1931" s="375" t="s">
        <v>12641</v>
      </c>
      <c r="T1931" s="696">
        <v>0.20900000000000002</v>
      </c>
      <c r="U1931" s="372" t="s">
        <v>12642</v>
      </c>
      <c r="V1931" s="722">
        <v>5.43</v>
      </c>
      <c r="W1931" s="722">
        <v>0.68</v>
      </c>
      <c r="X1931" s="722">
        <v>0.32</v>
      </c>
      <c r="Y1931" s="722" t="s">
        <v>774</v>
      </c>
      <c r="Z1931" s="382" t="s">
        <v>934</v>
      </c>
      <c r="AA1931" s="372">
        <v>1471.8441330000001</v>
      </c>
      <c r="AB1931" s="372">
        <v>2078.5648461999999</v>
      </c>
      <c r="AC1931" s="372">
        <v>2110.8743426000001</v>
      </c>
      <c r="AD1931" s="372">
        <v>1861.5877582999999</v>
      </c>
      <c r="AE1931" s="372">
        <v>0</v>
      </c>
      <c r="AF1931" s="372">
        <v>0</v>
      </c>
      <c r="AG1931" s="372">
        <v>0</v>
      </c>
      <c r="AH1931" s="372">
        <v>0</v>
      </c>
    </row>
    <row r="1932" spans="1:34">
      <c r="A1932" s="372" t="s">
        <v>12643</v>
      </c>
      <c r="B1932" s="373" t="s">
        <v>12644</v>
      </c>
      <c r="C1932" s="372" t="s">
        <v>12645</v>
      </c>
      <c r="D1932" s="374">
        <v>1350110029881</v>
      </c>
      <c r="E1932" s="372" t="s">
        <v>12646</v>
      </c>
      <c r="F1932" s="375" t="s">
        <v>12647</v>
      </c>
      <c r="G1932" s="375" t="s">
        <v>12648</v>
      </c>
      <c r="H1932" s="375" t="s">
        <v>817</v>
      </c>
      <c r="I1932" s="375" t="s">
        <v>755</v>
      </c>
      <c r="J1932" s="375">
        <v>233179.26918999999</v>
      </c>
      <c r="K1932" s="375">
        <v>452.95361000000003</v>
      </c>
      <c r="L1932" s="375">
        <v>-11603.5831</v>
      </c>
      <c r="M1932" s="375">
        <v>123995.65947</v>
      </c>
      <c r="N1932" s="372">
        <v>0.875</v>
      </c>
      <c r="O1932" s="703">
        <v>174.11912561301452</v>
      </c>
      <c r="P1932" s="375" t="s">
        <v>623</v>
      </c>
      <c r="Q1932" s="372" t="s">
        <v>623</v>
      </c>
      <c r="R1932" s="695">
        <v>19960130</v>
      </c>
      <c r="S1932" s="372" t="s">
        <v>12649</v>
      </c>
      <c r="T1932" s="696" t="s">
        <v>772</v>
      </c>
      <c r="U1932" s="372" t="s">
        <v>12650</v>
      </c>
      <c r="V1932" s="722">
        <v>0</v>
      </c>
      <c r="W1932" s="722">
        <v>0.52</v>
      </c>
      <c r="X1932" s="722">
        <v>0</v>
      </c>
      <c r="Y1932" s="722">
        <v>0</v>
      </c>
      <c r="Z1932" s="382" t="s">
        <v>934</v>
      </c>
      <c r="AA1932" s="372">
        <v>1946.8374421000001</v>
      </c>
      <c r="AB1932" s="372">
        <v>2616.3639395</v>
      </c>
      <c r="AC1932" s="372">
        <v>2756.7921252000001</v>
      </c>
      <c r="AD1932" s="372">
        <v>2331.7926919000001</v>
      </c>
      <c r="AE1932" s="372">
        <v>0</v>
      </c>
      <c r="AF1932" s="372">
        <v>0</v>
      </c>
      <c r="AG1932" s="372">
        <v>0</v>
      </c>
      <c r="AH1932" s="372">
        <v>0</v>
      </c>
    </row>
    <row r="1933" spans="1:34">
      <c r="A1933" s="372" t="s">
        <v>12651</v>
      </c>
      <c r="B1933" s="373" t="s">
        <v>12652</v>
      </c>
      <c r="C1933" s="372" t="s">
        <v>12653</v>
      </c>
      <c r="D1933" s="374">
        <v>1101110271596</v>
      </c>
      <c r="E1933" s="372" t="s">
        <v>12654</v>
      </c>
      <c r="F1933" s="375" t="s">
        <v>11143</v>
      </c>
      <c r="G1933" s="375" t="s">
        <v>11143</v>
      </c>
      <c r="H1933" s="375" t="s">
        <v>1327</v>
      </c>
      <c r="I1933" s="375" t="s">
        <v>755</v>
      </c>
      <c r="J1933" s="375">
        <v>0</v>
      </c>
      <c r="K1933" s="375">
        <v>0</v>
      </c>
      <c r="L1933" s="375">
        <v>0</v>
      </c>
      <c r="M1933" s="375">
        <v>217962.94416000001</v>
      </c>
      <c r="N1933" s="372">
        <v>1.1000000000000001</v>
      </c>
      <c r="O1933" s="703">
        <v>126.36197461801382</v>
      </c>
      <c r="P1933" s="375" t="s">
        <v>623</v>
      </c>
      <c r="Q1933" s="375" t="s">
        <v>623</v>
      </c>
      <c r="R1933" s="695">
        <v>20120629</v>
      </c>
      <c r="S1933" s="375" t="s">
        <v>12655</v>
      </c>
      <c r="T1933" s="696" t="s">
        <v>772</v>
      </c>
      <c r="U1933" s="372" t="s">
        <v>12656</v>
      </c>
      <c r="V1933" s="722">
        <v>0</v>
      </c>
      <c r="W1933" s="722">
        <v>0.28999999999999998</v>
      </c>
      <c r="X1933" s="722">
        <v>0</v>
      </c>
      <c r="Y1933" s="722">
        <v>0</v>
      </c>
      <c r="Z1933" s="382" t="s">
        <v>934</v>
      </c>
      <c r="AA1933" s="372">
        <v>2144.5696438999998</v>
      </c>
      <c r="AB1933" s="372">
        <v>1746.1493029000001</v>
      </c>
      <c r="AC1933" s="372">
        <v>2011.1616988999999</v>
      </c>
      <c r="AD1933" s="372">
        <v>1760.238656</v>
      </c>
      <c r="AE1933" s="372">
        <v>0</v>
      </c>
      <c r="AF1933" s="372">
        <v>0</v>
      </c>
      <c r="AG1933" s="372">
        <v>0</v>
      </c>
      <c r="AH1933" s="372">
        <v>0</v>
      </c>
    </row>
    <row r="1934" spans="1:34">
      <c r="A1934" s="372" t="s">
        <v>12657</v>
      </c>
      <c r="B1934" s="373" t="s">
        <v>12658</v>
      </c>
      <c r="C1934" s="372" t="s">
        <v>12659</v>
      </c>
      <c r="D1934" s="374">
        <v>1311110051034</v>
      </c>
      <c r="E1934" s="372" t="s">
        <v>12660</v>
      </c>
      <c r="F1934" s="375" t="s">
        <v>1985</v>
      </c>
      <c r="G1934" s="375" t="s">
        <v>1985</v>
      </c>
      <c r="H1934" s="375" t="s">
        <v>868</v>
      </c>
      <c r="I1934" s="375" t="s">
        <v>869</v>
      </c>
      <c r="J1934" s="375">
        <v>3689.0644600000001</v>
      </c>
      <c r="K1934" s="375">
        <v>-6695.3622599999999</v>
      </c>
      <c r="L1934" s="375">
        <v>-6345.8433400000004</v>
      </c>
      <c r="M1934" s="375">
        <v>23566.329109999999</v>
      </c>
      <c r="N1934" s="372">
        <v>1.393</v>
      </c>
      <c r="O1934" s="703">
        <v>0.1115019762603582</v>
      </c>
      <c r="P1934" s="375" t="s">
        <v>16142</v>
      </c>
      <c r="Q1934" s="372" t="s">
        <v>16145</v>
      </c>
      <c r="R1934" s="695">
        <v>20160310</v>
      </c>
      <c r="S1934" s="372" t="s">
        <v>12661</v>
      </c>
      <c r="T1934" s="696" t="s">
        <v>772</v>
      </c>
      <c r="U1934" s="372" t="s">
        <v>12662</v>
      </c>
      <c r="V1934" s="722" t="s">
        <v>774</v>
      </c>
      <c r="W1934" s="722">
        <v>3.38</v>
      </c>
      <c r="X1934" s="722">
        <v>18.47</v>
      </c>
      <c r="Y1934" s="722" t="s">
        <v>774</v>
      </c>
      <c r="Z1934" s="382" t="s">
        <v>934</v>
      </c>
      <c r="AA1934" s="372">
        <v>161.14977949999999</v>
      </c>
      <c r="AB1934" s="372">
        <v>223.0473552</v>
      </c>
      <c r="AC1934" s="372">
        <v>124.5630996</v>
      </c>
      <c r="AD1934" s="372">
        <v>36.890644600000002</v>
      </c>
      <c r="AE1934" s="372">
        <v>0</v>
      </c>
      <c r="AF1934" s="372">
        <v>0</v>
      </c>
      <c r="AG1934" s="372">
        <v>0</v>
      </c>
      <c r="AH1934" s="372">
        <v>0</v>
      </c>
    </row>
    <row r="1935" spans="1:34">
      <c r="A1935" s="372" t="s">
        <v>12663</v>
      </c>
      <c r="B1935" s="373" t="s">
        <v>12664</v>
      </c>
      <c r="C1935" s="372" t="s">
        <v>12665</v>
      </c>
      <c r="D1935" s="374">
        <v>1545110001571</v>
      </c>
      <c r="E1935" s="372" t="s">
        <v>12666</v>
      </c>
      <c r="F1935" s="372" t="s">
        <v>2888</v>
      </c>
      <c r="G1935" s="375" t="s">
        <v>12667</v>
      </c>
      <c r="H1935" s="375" t="s">
        <v>868</v>
      </c>
      <c r="I1935" s="375" t="s">
        <v>869</v>
      </c>
      <c r="J1935" s="375">
        <v>78148.269260000001</v>
      </c>
      <c r="K1935" s="375">
        <v>4439.72768</v>
      </c>
      <c r="L1935" s="375">
        <v>5750.91525</v>
      </c>
      <c r="M1935" s="375">
        <v>100050.7429</v>
      </c>
      <c r="N1935" s="372">
        <v>1.0620000000000001</v>
      </c>
      <c r="O1935" s="703">
        <v>0.8703764544538547</v>
      </c>
      <c r="P1935" s="375" t="s">
        <v>623</v>
      </c>
      <c r="Q1935" s="375" t="s">
        <v>623</v>
      </c>
      <c r="R1935" s="695">
        <v>19931214</v>
      </c>
      <c r="S1935" s="375" t="s">
        <v>12668</v>
      </c>
      <c r="T1935" s="696">
        <v>0.20900000000000002</v>
      </c>
      <c r="U1935" s="372" t="s">
        <v>12669</v>
      </c>
      <c r="V1935" s="722">
        <v>0</v>
      </c>
      <c r="W1935" s="722">
        <v>0.61</v>
      </c>
      <c r="X1935" s="722">
        <v>0</v>
      </c>
      <c r="Y1935" s="722">
        <v>0</v>
      </c>
      <c r="Z1935" s="382" t="s">
        <v>934</v>
      </c>
      <c r="AA1935" s="372">
        <v>590.19698740000001</v>
      </c>
      <c r="AB1935" s="372">
        <v>666.15076109999995</v>
      </c>
      <c r="AC1935" s="372">
        <v>760.51374310000006</v>
      </c>
      <c r="AD1935" s="372">
        <v>781.48269259999995</v>
      </c>
      <c r="AE1935" s="372">
        <v>0</v>
      </c>
      <c r="AF1935" s="372">
        <v>0</v>
      </c>
      <c r="AG1935" s="372">
        <v>0</v>
      </c>
      <c r="AH1935" s="372">
        <v>0</v>
      </c>
    </row>
    <row r="1936" spans="1:34">
      <c r="A1936" s="372" t="s">
        <v>12670</v>
      </c>
      <c r="B1936" s="373" t="s">
        <v>12671</v>
      </c>
      <c r="C1936" s="372" t="s">
        <v>12672</v>
      </c>
      <c r="D1936" s="374">
        <v>1101110061228</v>
      </c>
      <c r="E1936" s="372" t="s">
        <v>12673</v>
      </c>
      <c r="F1936" s="372" t="s">
        <v>2729</v>
      </c>
      <c r="G1936" s="375" t="s">
        <v>12674</v>
      </c>
      <c r="H1936" s="375" t="s">
        <v>1481</v>
      </c>
      <c r="I1936" s="375" t="s">
        <v>755</v>
      </c>
      <c r="J1936" s="375">
        <v>216447.81612</v>
      </c>
      <c r="K1936" s="375">
        <v>5170.0814</v>
      </c>
      <c r="L1936" s="375">
        <v>2376.2494900000002</v>
      </c>
      <c r="M1936" s="375">
        <v>269063.78752000001</v>
      </c>
      <c r="N1936" s="372">
        <v>0.95499999999999996</v>
      </c>
      <c r="O1936" s="703">
        <v>69.342290039441593</v>
      </c>
      <c r="P1936" s="375" t="s">
        <v>623</v>
      </c>
      <c r="Q1936" s="375" t="s">
        <v>623</v>
      </c>
      <c r="R1936" s="695">
        <v>20160330</v>
      </c>
      <c r="S1936" s="375" t="s">
        <v>12675</v>
      </c>
      <c r="T1936" s="696">
        <v>0.20900000000000002</v>
      </c>
      <c r="U1936" s="372" t="s">
        <v>12676</v>
      </c>
      <c r="V1936" s="722">
        <v>5.37</v>
      </c>
      <c r="W1936" s="722">
        <v>0.2</v>
      </c>
      <c r="X1936" s="722">
        <v>0.25</v>
      </c>
      <c r="Y1936" s="722">
        <v>26.94</v>
      </c>
      <c r="Z1936" s="382" t="s">
        <v>934</v>
      </c>
      <c r="AA1936" s="372">
        <v>1860.7086489000001</v>
      </c>
      <c r="AB1936" s="372">
        <v>2266.0627709</v>
      </c>
      <c r="AC1936" s="372">
        <v>2412.4119145</v>
      </c>
      <c r="AD1936" s="372">
        <v>2164.4781612000002</v>
      </c>
      <c r="AE1936" s="372">
        <v>0</v>
      </c>
      <c r="AF1936" s="372">
        <v>0</v>
      </c>
      <c r="AG1936" s="372">
        <v>0</v>
      </c>
      <c r="AH1936" s="372">
        <v>0</v>
      </c>
    </row>
    <row r="1937" spans="1:34">
      <c r="A1937" s="372" t="s">
        <v>12677</v>
      </c>
      <c r="B1937" s="373" t="s">
        <v>12678</v>
      </c>
      <c r="C1937" s="372" t="s">
        <v>12679</v>
      </c>
      <c r="D1937" s="374">
        <v>1243110003379</v>
      </c>
      <c r="E1937" s="372" t="s">
        <v>12680</v>
      </c>
      <c r="F1937" s="375" t="s">
        <v>2037</v>
      </c>
      <c r="G1937" s="375" t="s">
        <v>2037</v>
      </c>
      <c r="H1937" s="375" t="s">
        <v>797</v>
      </c>
      <c r="I1937" s="375" t="s">
        <v>755</v>
      </c>
      <c r="J1937" s="375">
        <v>421732.45804</v>
      </c>
      <c r="K1937" s="375">
        <v>13298.98018</v>
      </c>
      <c r="L1937" s="375">
        <v>7712.5377900000003</v>
      </c>
      <c r="M1937" s="375">
        <v>125141.85232000001</v>
      </c>
      <c r="N1937" s="372">
        <v>0.96499999999999997</v>
      </c>
      <c r="O1937" s="703">
        <v>223.52858604153587</v>
      </c>
      <c r="P1937" s="375" t="s">
        <v>623</v>
      </c>
      <c r="Q1937" s="372" t="s">
        <v>623</v>
      </c>
      <c r="R1937" s="695">
        <v>20171208</v>
      </c>
      <c r="S1937" s="372" t="s">
        <v>12681</v>
      </c>
      <c r="T1937" s="696">
        <v>0.20900000000000002</v>
      </c>
      <c r="U1937" s="372" t="s">
        <v>12682</v>
      </c>
      <c r="V1937" s="722">
        <v>4.9400000000000004</v>
      </c>
      <c r="W1937" s="722">
        <v>0.51</v>
      </c>
      <c r="X1937" s="722">
        <v>0.15</v>
      </c>
      <c r="Y1937" s="722">
        <v>8.3800000000000008</v>
      </c>
      <c r="Z1937" s="382" t="s">
        <v>934</v>
      </c>
      <c r="AA1937" s="372">
        <v>3215.4908722999999</v>
      </c>
      <c r="AB1937" s="372">
        <v>3545.9052603</v>
      </c>
      <c r="AC1937" s="372">
        <v>3978.8309774999998</v>
      </c>
      <c r="AD1937" s="372">
        <v>4217.3245803999998</v>
      </c>
      <c r="AE1937" s="372">
        <v>0</v>
      </c>
      <c r="AF1937" s="372">
        <v>0</v>
      </c>
      <c r="AG1937" s="372">
        <v>0</v>
      </c>
      <c r="AH1937" s="372">
        <v>0</v>
      </c>
    </row>
    <row r="1938" spans="1:34">
      <c r="A1938" s="372" t="s">
        <v>12683</v>
      </c>
      <c r="B1938" s="373" t="s">
        <v>12684</v>
      </c>
      <c r="C1938" s="372" t="s">
        <v>12685</v>
      </c>
      <c r="D1938" s="374">
        <v>1101111907760</v>
      </c>
      <c r="E1938" s="372" t="s">
        <v>12686</v>
      </c>
      <c r="F1938" s="375" t="s">
        <v>1124</v>
      </c>
      <c r="G1938" s="375" t="s">
        <v>3333</v>
      </c>
      <c r="H1938" s="375" t="s">
        <v>1348</v>
      </c>
      <c r="I1938" s="375" t="s">
        <v>869</v>
      </c>
      <c r="J1938" s="375">
        <v>21948.99048</v>
      </c>
      <c r="K1938" s="375">
        <v>-4342.0564299999996</v>
      </c>
      <c r="L1938" s="375">
        <v>-5595.9337400000004</v>
      </c>
      <c r="M1938" s="375">
        <v>26277.552339999998</v>
      </c>
      <c r="N1938" s="372">
        <v>0.58699999999999997</v>
      </c>
      <c r="O1938" s="703">
        <v>9.3668696582160713</v>
      </c>
      <c r="P1938" s="375" t="s">
        <v>623</v>
      </c>
      <c r="Q1938" s="372" t="s">
        <v>623</v>
      </c>
      <c r="R1938" s="695">
        <v>20111226</v>
      </c>
      <c r="S1938" s="372" t="s">
        <v>12687</v>
      </c>
      <c r="T1938" s="696" t="s">
        <v>772</v>
      </c>
      <c r="U1938" s="372" t="s">
        <v>12688</v>
      </c>
      <c r="V1938" s="722" t="s">
        <v>774</v>
      </c>
      <c r="W1938" s="722">
        <v>2.0699999999999998</v>
      </c>
      <c r="X1938" s="722">
        <v>2.2999999999999998</v>
      </c>
      <c r="Y1938" s="722" t="s">
        <v>774</v>
      </c>
      <c r="Z1938" s="382" t="s">
        <v>934</v>
      </c>
      <c r="AA1938" s="372">
        <v>152.8568606</v>
      </c>
      <c r="AB1938" s="372">
        <v>229.91546529999999</v>
      </c>
      <c r="AC1938" s="372">
        <v>169.8107751</v>
      </c>
      <c r="AD1938" s="372">
        <v>219.48990480000001</v>
      </c>
      <c r="AE1938" s="372">
        <v>0</v>
      </c>
      <c r="AF1938" s="372">
        <v>0</v>
      </c>
      <c r="AG1938" s="372">
        <v>0</v>
      </c>
      <c r="AH1938" s="372">
        <v>0</v>
      </c>
    </row>
    <row r="1939" spans="1:34">
      <c r="A1939" s="372" t="s">
        <v>12689</v>
      </c>
      <c r="B1939" s="373" t="s">
        <v>12690</v>
      </c>
      <c r="C1939" s="372" t="s">
        <v>12691</v>
      </c>
      <c r="D1939" s="374">
        <v>1101111908338</v>
      </c>
      <c r="E1939" s="372" t="s">
        <v>12692</v>
      </c>
      <c r="F1939" s="375" t="s">
        <v>3941</v>
      </c>
      <c r="G1939" s="375" t="s">
        <v>6406</v>
      </c>
      <c r="H1939" s="375" t="s">
        <v>868</v>
      </c>
      <c r="I1939" s="375" t="s">
        <v>869</v>
      </c>
      <c r="J1939" s="375">
        <v>21394.730370000001</v>
      </c>
      <c r="K1939" s="375">
        <v>1632.9761900000001</v>
      </c>
      <c r="L1939" s="375">
        <v>3966.41905</v>
      </c>
      <c r="M1939" s="375">
        <v>64015.921499999997</v>
      </c>
      <c r="N1939" s="372">
        <v>0.59599999999999997</v>
      </c>
      <c r="O1939" s="703">
        <v>4.3062243850793713</v>
      </c>
      <c r="P1939" s="375" t="s">
        <v>623</v>
      </c>
      <c r="Q1939" s="372" t="s">
        <v>623</v>
      </c>
      <c r="R1939" s="695">
        <v>20191022</v>
      </c>
      <c r="S1939" s="375" t="s">
        <v>12693</v>
      </c>
      <c r="T1939" s="696">
        <v>0.20900000000000002</v>
      </c>
      <c r="U1939" s="372" t="s">
        <v>12694</v>
      </c>
      <c r="V1939" s="722">
        <v>29.75</v>
      </c>
      <c r="W1939" s="722">
        <v>1.04</v>
      </c>
      <c r="X1939" s="722">
        <v>3.21</v>
      </c>
      <c r="Y1939" s="722">
        <v>20.72</v>
      </c>
      <c r="Z1939" s="382" t="s">
        <v>934</v>
      </c>
      <c r="AA1939" s="372">
        <v>394.08554229999999</v>
      </c>
      <c r="AB1939" s="372">
        <v>390.27506829999999</v>
      </c>
      <c r="AC1939" s="372">
        <v>261.13221449999998</v>
      </c>
      <c r="AD1939" s="372">
        <v>213.94730369999999</v>
      </c>
      <c r="AE1939" s="372">
        <v>0</v>
      </c>
      <c r="AF1939" s="372">
        <v>0</v>
      </c>
      <c r="AG1939" s="372">
        <v>0</v>
      </c>
      <c r="AH1939" s="372">
        <v>0</v>
      </c>
    </row>
    <row r="1940" spans="1:34">
      <c r="A1940" s="372" t="s">
        <v>12695</v>
      </c>
      <c r="B1940" s="373" t="s">
        <v>12696</v>
      </c>
      <c r="C1940" s="372" t="s">
        <v>12697</v>
      </c>
      <c r="D1940" s="374">
        <v>1350110030490</v>
      </c>
      <c r="E1940" s="372" t="s">
        <v>12698</v>
      </c>
      <c r="F1940" s="372" t="s">
        <v>4682</v>
      </c>
      <c r="G1940" s="375" t="s">
        <v>4682</v>
      </c>
      <c r="H1940" s="375" t="s">
        <v>868</v>
      </c>
      <c r="I1940" s="375" t="s">
        <v>869</v>
      </c>
      <c r="J1940" s="375">
        <v>12110.80694</v>
      </c>
      <c r="K1940" s="375">
        <v>-2017.9287999999999</v>
      </c>
      <c r="L1940" s="375">
        <v>-1464.0506800000001</v>
      </c>
      <c r="M1940" s="375">
        <v>31072.15249</v>
      </c>
      <c r="N1940" s="372">
        <v>0.97299999999999998</v>
      </c>
      <c r="O1940" s="703">
        <v>0.35179927305396491</v>
      </c>
      <c r="P1940" s="375" t="s">
        <v>16142</v>
      </c>
      <c r="Q1940" s="372" t="s">
        <v>16145</v>
      </c>
      <c r="R1940" s="695">
        <v>20020122</v>
      </c>
      <c r="S1940" s="372" t="s">
        <v>12699</v>
      </c>
      <c r="T1940" s="696" t="s">
        <v>772</v>
      </c>
      <c r="U1940" s="372" t="s">
        <v>12700</v>
      </c>
      <c r="V1940" s="722">
        <v>0</v>
      </c>
      <c r="W1940" s="722">
        <v>1.61</v>
      </c>
      <c r="X1940" s="722">
        <v>0</v>
      </c>
      <c r="Y1940" s="722">
        <v>0</v>
      </c>
      <c r="Z1940" s="382" t="s">
        <v>934</v>
      </c>
      <c r="AA1940" s="372">
        <v>189.9912271</v>
      </c>
      <c r="AB1940" s="372">
        <v>169.12382890000001</v>
      </c>
      <c r="AC1940" s="372">
        <v>153.48596140000001</v>
      </c>
      <c r="AD1940" s="372">
        <v>121.10806940000001</v>
      </c>
      <c r="AE1940" s="372">
        <v>0</v>
      </c>
      <c r="AF1940" s="372">
        <v>0</v>
      </c>
      <c r="AG1940" s="372">
        <v>0</v>
      </c>
      <c r="AH1940" s="372">
        <v>0</v>
      </c>
    </row>
    <row r="1941" spans="1:34">
      <c r="A1941" s="372" t="s">
        <v>12701</v>
      </c>
      <c r="B1941" s="373" t="s">
        <v>12702</v>
      </c>
      <c r="C1941" s="372" t="s">
        <v>12703</v>
      </c>
      <c r="D1941" s="374">
        <v>1101111883225</v>
      </c>
      <c r="E1941" s="372" t="s">
        <v>12704</v>
      </c>
      <c r="F1941" s="372" t="s">
        <v>6673</v>
      </c>
      <c r="G1941" s="375" t="s">
        <v>6673</v>
      </c>
      <c r="H1941" s="375" t="s">
        <v>1388</v>
      </c>
      <c r="I1941" s="375" t="s">
        <v>869</v>
      </c>
      <c r="J1941" s="375">
        <v>83354.203779999996</v>
      </c>
      <c r="K1941" s="375">
        <v>-2603.1851099999999</v>
      </c>
      <c r="L1941" s="375">
        <v>2440.45829</v>
      </c>
      <c r="M1941" s="375">
        <v>131938.42084999999</v>
      </c>
      <c r="N1941" s="372">
        <v>0.81799999999999995</v>
      </c>
      <c r="O1941" s="703">
        <v>22.699729469622437</v>
      </c>
      <c r="P1941" s="375" t="s">
        <v>623</v>
      </c>
      <c r="Q1941" s="372" t="s">
        <v>623</v>
      </c>
      <c r="R1941" s="695">
        <v>20011130</v>
      </c>
      <c r="S1941" s="372" t="s">
        <v>12705</v>
      </c>
      <c r="T1941" s="696">
        <v>0.20900000000000002</v>
      </c>
      <c r="U1941" s="372" t="s">
        <v>12706</v>
      </c>
      <c r="V1941" s="722" t="s">
        <v>774</v>
      </c>
      <c r="W1941" s="722">
        <v>0.44</v>
      </c>
      <c r="X1941" s="722">
        <v>0.7</v>
      </c>
      <c r="Y1941" s="722">
        <v>73.349999999999994</v>
      </c>
      <c r="Z1941" s="382" t="s">
        <v>934</v>
      </c>
      <c r="AA1941" s="372">
        <v>809.25043219999998</v>
      </c>
      <c r="AB1941" s="372">
        <v>857.32205950000002</v>
      </c>
      <c r="AC1941" s="372">
        <v>896.38154229999998</v>
      </c>
      <c r="AD1941" s="372">
        <v>833.5420378</v>
      </c>
      <c r="AE1941" s="372">
        <v>0</v>
      </c>
      <c r="AF1941" s="372">
        <v>0</v>
      </c>
      <c r="AG1941" s="372">
        <v>0</v>
      </c>
      <c r="AH1941" s="372">
        <v>0</v>
      </c>
    </row>
    <row r="1942" spans="1:34">
      <c r="A1942" s="372" t="s">
        <v>12707</v>
      </c>
      <c r="B1942" s="373" t="s">
        <v>12708</v>
      </c>
      <c r="C1942" s="372" t="s">
        <v>12709</v>
      </c>
      <c r="D1942" s="374">
        <v>1615110006118</v>
      </c>
      <c r="E1942" s="372" t="s">
        <v>12710</v>
      </c>
      <c r="F1942" s="375" t="s">
        <v>8745</v>
      </c>
      <c r="G1942" s="375" t="s">
        <v>8907</v>
      </c>
      <c r="H1942" s="375" t="s">
        <v>868</v>
      </c>
      <c r="I1942" s="375" t="s">
        <v>869</v>
      </c>
      <c r="J1942" s="375">
        <v>157015.52734999999</v>
      </c>
      <c r="K1942" s="375">
        <v>6539.2902299999996</v>
      </c>
      <c r="L1942" s="375">
        <v>9381.5928999999996</v>
      </c>
      <c r="M1942" s="375">
        <v>178639.85188999999</v>
      </c>
      <c r="N1942" s="372">
        <v>0.84099999999999997</v>
      </c>
      <c r="O1942" s="703">
        <v>1.6949361096739719</v>
      </c>
      <c r="P1942" s="375" t="s">
        <v>623</v>
      </c>
      <c r="Q1942" s="372" t="s">
        <v>623</v>
      </c>
      <c r="R1942" s="695">
        <v>20010803</v>
      </c>
      <c r="S1942" s="375" t="s">
        <v>12711</v>
      </c>
      <c r="T1942" s="696">
        <v>0.20900000000000002</v>
      </c>
      <c r="U1942" s="375" t="s">
        <v>12712</v>
      </c>
      <c r="V1942" s="722">
        <v>4.82</v>
      </c>
      <c r="W1942" s="722">
        <v>0.36</v>
      </c>
      <c r="X1942" s="722">
        <v>0.42</v>
      </c>
      <c r="Y1942" s="722">
        <v>8.9600000000000009</v>
      </c>
      <c r="Z1942" s="382" t="s">
        <v>934</v>
      </c>
      <c r="AA1942" s="372">
        <v>1415.0684621</v>
      </c>
      <c r="AB1942" s="372">
        <v>1500.3479892</v>
      </c>
      <c r="AC1942" s="372">
        <v>1742.3767442000001</v>
      </c>
      <c r="AD1942" s="372">
        <v>1570.1552735</v>
      </c>
      <c r="AE1942" s="372">
        <v>0</v>
      </c>
      <c r="AF1942" s="372">
        <v>0</v>
      </c>
      <c r="AG1942" s="372">
        <v>0</v>
      </c>
      <c r="AH1942" s="372">
        <v>0</v>
      </c>
    </row>
    <row r="1943" spans="1:34">
      <c r="A1943" s="372" t="s">
        <v>12713</v>
      </c>
      <c r="B1943" s="373" t="s">
        <v>12714</v>
      </c>
      <c r="C1943" s="372" t="s">
        <v>12715</v>
      </c>
      <c r="D1943" s="374">
        <v>1801110004753</v>
      </c>
      <c r="E1943" s="372" t="s">
        <v>12716</v>
      </c>
      <c r="F1943" s="375" t="s">
        <v>2771</v>
      </c>
      <c r="G1943" s="375" t="s">
        <v>6574</v>
      </c>
      <c r="H1943" s="375" t="s">
        <v>817</v>
      </c>
      <c r="I1943" s="375" t="s">
        <v>755</v>
      </c>
      <c r="J1943" s="375">
        <v>212953.62062</v>
      </c>
      <c r="K1943" s="375">
        <v>23494.981830000001</v>
      </c>
      <c r="L1943" s="375">
        <v>18290.157490000001</v>
      </c>
      <c r="M1943" s="375">
        <v>195197.85771000001</v>
      </c>
      <c r="N1943" s="372">
        <v>1.0980000000000001</v>
      </c>
      <c r="O1943" s="703">
        <v>41.888584710743807</v>
      </c>
      <c r="P1943" s="375" t="s">
        <v>623</v>
      </c>
      <c r="Q1943" s="372" t="s">
        <v>623</v>
      </c>
      <c r="R1943" s="695">
        <v>20030128</v>
      </c>
      <c r="S1943" s="372" t="s">
        <v>12717</v>
      </c>
      <c r="T1943" s="696">
        <v>0.20900000000000002</v>
      </c>
      <c r="U1943" s="372" t="s">
        <v>12014</v>
      </c>
      <c r="V1943" s="722">
        <v>0</v>
      </c>
      <c r="W1943" s="722">
        <v>0.31</v>
      </c>
      <c r="X1943" s="722">
        <v>0</v>
      </c>
      <c r="Y1943" s="722">
        <v>0</v>
      </c>
      <c r="Z1943" s="382" t="s">
        <v>934</v>
      </c>
      <c r="AA1943" s="372">
        <v>1762.0656678</v>
      </c>
      <c r="AB1943" s="372">
        <v>2071.4275959000001</v>
      </c>
      <c r="AC1943" s="372">
        <v>2616.8716174000001</v>
      </c>
      <c r="AD1943" s="372">
        <v>2129.5362061999999</v>
      </c>
      <c r="AE1943" s="372">
        <v>0</v>
      </c>
      <c r="AF1943" s="372">
        <v>0</v>
      </c>
      <c r="AG1943" s="372">
        <v>0</v>
      </c>
      <c r="AH1943" s="372">
        <v>0</v>
      </c>
    </row>
    <row r="1944" spans="1:34">
      <c r="A1944" s="372" t="s">
        <v>12718</v>
      </c>
      <c r="B1944" s="373" t="s">
        <v>12719</v>
      </c>
      <c r="C1944" s="372" t="s">
        <v>12720</v>
      </c>
      <c r="D1944" s="374">
        <v>1101110822993</v>
      </c>
      <c r="E1944" s="372" t="s">
        <v>12721</v>
      </c>
      <c r="F1944" s="375" t="s">
        <v>2450</v>
      </c>
      <c r="G1944" s="375" t="s">
        <v>12722</v>
      </c>
      <c r="H1944" s="375" t="s">
        <v>1050</v>
      </c>
      <c r="I1944" s="375" t="s">
        <v>755</v>
      </c>
      <c r="J1944" s="375">
        <v>212126.26426</v>
      </c>
      <c r="K1944" s="375">
        <v>9058.7409800000005</v>
      </c>
      <c r="L1944" s="375">
        <v>6576.1429200000002</v>
      </c>
      <c r="M1944" s="375">
        <v>106427.03045999999</v>
      </c>
      <c r="N1944" s="372">
        <v>0.871</v>
      </c>
      <c r="O1944" s="703">
        <v>234.80826434782608</v>
      </c>
      <c r="P1944" s="375" t="s">
        <v>623</v>
      </c>
      <c r="Q1944" s="372" t="s">
        <v>623</v>
      </c>
      <c r="R1944" s="695">
        <v>20010724</v>
      </c>
      <c r="S1944" s="372" t="s">
        <v>12723</v>
      </c>
      <c r="T1944" s="696">
        <v>0.20900000000000002</v>
      </c>
      <c r="U1944" s="372" t="s">
        <v>12724</v>
      </c>
      <c r="V1944" s="722">
        <v>9.69</v>
      </c>
      <c r="W1944" s="722">
        <v>0.56999999999999995</v>
      </c>
      <c r="X1944" s="722">
        <v>0.28999999999999998</v>
      </c>
      <c r="Y1944" s="722">
        <v>10.029999999999999</v>
      </c>
      <c r="Z1944" s="382" t="s">
        <v>934</v>
      </c>
      <c r="AA1944" s="372">
        <v>2049.9613408999999</v>
      </c>
      <c r="AB1944" s="372">
        <v>2339.8944504999999</v>
      </c>
      <c r="AC1944" s="372">
        <v>2545.7873601000001</v>
      </c>
      <c r="AD1944" s="372">
        <v>2121.2626426000002</v>
      </c>
      <c r="AE1944" s="372">
        <v>2791</v>
      </c>
      <c r="AF1944" s="372">
        <v>0</v>
      </c>
      <c r="AG1944" s="372">
        <v>0</v>
      </c>
      <c r="AH1944" s="372">
        <v>0</v>
      </c>
    </row>
    <row r="1945" spans="1:34">
      <c r="A1945" s="372" t="s">
        <v>12725</v>
      </c>
      <c r="B1945" s="373" t="s">
        <v>12726</v>
      </c>
      <c r="C1945" s="372" t="s">
        <v>12727</v>
      </c>
      <c r="D1945" s="374">
        <v>1341110000822</v>
      </c>
      <c r="E1945" s="372" t="s">
        <v>12728</v>
      </c>
      <c r="F1945" s="372" t="s">
        <v>887</v>
      </c>
      <c r="G1945" s="375" t="s">
        <v>887</v>
      </c>
      <c r="H1945" s="375" t="s">
        <v>797</v>
      </c>
      <c r="I1945" s="375" t="s">
        <v>755</v>
      </c>
      <c r="J1945" s="375">
        <v>113444.15485000001</v>
      </c>
      <c r="K1945" s="375">
        <v>2038.28637</v>
      </c>
      <c r="L1945" s="375">
        <v>451.28771</v>
      </c>
      <c r="M1945" s="375">
        <v>27893.784759999999</v>
      </c>
      <c r="N1945" s="372">
        <v>0.90900000000000003</v>
      </c>
      <c r="O1945" s="703">
        <v>61.905619668974118</v>
      </c>
      <c r="P1945" s="375" t="s">
        <v>623</v>
      </c>
      <c r="Q1945" s="372" t="s">
        <v>623</v>
      </c>
      <c r="R1945" s="695">
        <v>19890825</v>
      </c>
      <c r="S1945" s="372" t="s">
        <v>12729</v>
      </c>
      <c r="T1945" s="696">
        <v>0.20900000000000002</v>
      </c>
      <c r="U1945" s="372" t="s">
        <v>12730</v>
      </c>
      <c r="V1945" s="722">
        <v>0</v>
      </c>
      <c r="W1945" s="722">
        <v>2.37</v>
      </c>
      <c r="X1945" s="722">
        <v>0</v>
      </c>
      <c r="Y1945" s="722">
        <v>0</v>
      </c>
      <c r="Z1945" s="382" t="s">
        <v>934</v>
      </c>
      <c r="AA1945" s="372">
        <v>759.48847239999998</v>
      </c>
      <c r="AB1945" s="372">
        <v>991.83663200000001</v>
      </c>
      <c r="AC1945" s="372">
        <v>1005.0193426</v>
      </c>
      <c r="AD1945" s="372">
        <v>1134.4415485</v>
      </c>
      <c r="AE1945" s="372">
        <v>0</v>
      </c>
      <c r="AF1945" s="372">
        <v>0</v>
      </c>
      <c r="AG1945" s="372">
        <v>0</v>
      </c>
      <c r="AH1945" s="372">
        <v>0</v>
      </c>
    </row>
    <row r="1946" spans="1:34">
      <c r="A1946" s="372" t="s">
        <v>12731</v>
      </c>
      <c r="B1946" s="373" t="s">
        <v>12732</v>
      </c>
      <c r="C1946" s="372" t="s">
        <v>12733</v>
      </c>
      <c r="D1946" s="374">
        <v>1543110001997</v>
      </c>
      <c r="E1946" s="372" t="s">
        <v>12734</v>
      </c>
      <c r="F1946" s="375" t="s">
        <v>4016</v>
      </c>
      <c r="G1946" s="375" t="s">
        <v>11433</v>
      </c>
      <c r="H1946" s="375" t="s">
        <v>868</v>
      </c>
      <c r="I1946" s="375" t="s">
        <v>869</v>
      </c>
      <c r="J1946" s="375">
        <v>399000.34009999997</v>
      </c>
      <c r="K1946" s="375">
        <v>21020.113359999999</v>
      </c>
      <c r="L1946" s="375">
        <v>14314.527539999999</v>
      </c>
      <c r="M1946" s="375">
        <v>109773.7772</v>
      </c>
      <c r="N1946" s="372">
        <v>0.752</v>
      </c>
      <c r="O1946" s="703">
        <v>198.70299660818927</v>
      </c>
      <c r="P1946" s="375" t="s">
        <v>623</v>
      </c>
      <c r="Q1946" s="375" t="s">
        <v>623</v>
      </c>
      <c r="R1946" s="695">
        <v>20171204</v>
      </c>
      <c r="S1946" s="375" t="s">
        <v>12735</v>
      </c>
      <c r="T1946" s="696">
        <v>0.20900000000000002</v>
      </c>
      <c r="U1946" s="372" t="s">
        <v>12736</v>
      </c>
      <c r="V1946" s="722">
        <v>4.3099999999999996</v>
      </c>
      <c r="W1946" s="722">
        <v>0.78</v>
      </c>
      <c r="X1946" s="722">
        <v>0.16</v>
      </c>
      <c r="Y1946" s="722">
        <v>4.67</v>
      </c>
      <c r="Z1946" s="382" t="s">
        <v>934</v>
      </c>
      <c r="AA1946" s="372">
        <v>3030.9205348999999</v>
      </c>
      <c r="AB1946" s="372">
        <v>3635.6683991</v>
      </c>
      <c r="AC1946" s="372">
        <v>4023.9002165000002</v>
      </c>
      <c r="AD1946" s="372">
        <v>3990.0034009999999</v>
      </c>
      <c r="AE1946" s="372">
        <v>0</v>
      </c>
      <c r="AF1946" s="372">
        <v>0</v>
      </c>
      <c r="AG1946" s="372">
        <v>0</v>
      </c>
      <c r="AH1946" s="372">
        <v>0</v>
      </c>
    </row>
    <row r="1947" spans="1:34">
      <c r="A1947" s="372" t="s">
        <v>12737</v>
      </c>
      <c r="B1947" s="373" t="s">
        <v>12738</v>
      </c>
      <c r="C1947" s="372" t="s">
        <v>12739</v>
      </c>
      <c r="D1947" s="374">
        <v>1701110273433</v>
      </c>
      <c r="E1947" s="372" t="s">
        <v>12740</v>
      </c>
      <c r="F1947" s="372" t="s">
        <v>1782</v>
      </c>
      <c r="G1947" s="375" t="s">
        <v>1782</v>
      </c>
      <c r="H1947" s="375" t="s">
        <v>868</v>
      </c>
      <c r="I1947" s="375" t="s">
        <v>869</v>
      </c>
      <c r="J1947" s="375">
        <v>15680.55205</v>
      </c>
      <c r="K1947" s="375">
        <v>-1244.87175</v>
      </c>
      <c r="L1947" s="375">
        <v>-6439.8211000000001</v>
      </c>
      <c r="M1947" s="375">
        <v>6219.6609099999996</v>
      </c>
      <c r="N1947" s="372">
        <v>0.77</v>
      </c>
      <c r="O1947" s="703">
        <v>10.050589912786986</v>
      </c>
      <c r="P1947" s="375" t="s">
        <v>623</v>
      </c>
      <c r="Q1947" s="372" t="s">
        <v>623</v>
      </c>
      <c r="R1947" s="695">
        <v>20181214</v>
      </c>
      <c r="S1947" s="372" t="s">
        <v>12741</v>
      </c>
      <c r="T1947" s="696" t="s">
        <v>772</v>
      </c>
      <c r="U1947" s="372" t="s">
        <v>12742</v>
      </c>
      <c r="V1947" s="722">
        <v>0</v>
      </c>
      <c r="W1947" s="722">
        <v>9.66</v>
      </c>
      <c r="X1947" s="722">
        <v>0</v>
      </c>
      <c r="Y1947" s="722">
        <v>0</v>
      </c>
      <c r="Z1947" s="382" t="s">
        <v>934</v>
      </c>
      <c r="AA1947" s="372">
        <v>38.665959200000003</v>
      </c>
      <c r="AB1947" s="372">
        <v>32.143638899999999</v>
      </c>
      <c r="AC1947" s="372">
        <v>77.941758899999996</v>
      </c>
      <c r="AD1947" s="372">
        <v>156.8055205</v>
      </c>
      <c r="AE1947" s="372">
        <v>0</v>
      </c>
      <c r="AF1947" s="372">
        <v>0</v>
      </c>
      <c r="AG1947" s="372">
        <v>0</v>
      </c>
      <c r="AH1947" s="372">
        <v>0</v>
      </c>
    </row>
    <row r="1948" spans="1:34">
      <c r="A1948" s="372" t="s">
        <v>12743</v>
      </c>
      <c r="B1948" s="373" t="s">
        <v>12744</v>
      </c>
      <c r="C1948" s="372" t="s">
        <v>16197</v>
      </c>
      <c r="D1948" s="374">
        <v>1101110327555</v>
      </c>
      <c r="E1948" s="372" t="s">
        <v>16100</v>
      </c>
      <c r="F1948" s="372" t="s">
        <v>4892</v>
      </c>
      <c r="G1948" s="375" t="s">
        <v>12745</v>
      </c>
      <c r="H1948" s="375" t="s">
        <v>4894</v>
      </c>
      <c r="I1948" s="375" t="s">
        <v>869</v>
      </c>
      <c r="J1948" s="375">
        <v>1863679.5920599999</v>
      </c>
      <c r="K1948" s="375">
        <v>-21587.161940000002</v>
      </c>
      <c r="L1948" s="375">
        <v>-31216.293310000001</v>
      </c>
      <c r="M1948" s="375">
        <v>218336.57715</v>
      </c>
      <c r="N1948" s="372">
        <v>0.90200000000000002</v>
      </c>
      <c r="O1948" s="703">
        <v>339.37019442492721</v>
      </c>
      <c r="P1948" s="375" t="s">
        <v>623</v>
      </c>
      <c r="Q1948" s="372" t="s">
        <v>623</v>
      </c>
      <c r="R1948" s="695">
        <v>19991224</v>
      </c>
      <c r="S1948" s="375" t="s">
        <v>12746</v>
      </c>
      <c r="T1948" s="696" t="s">
        <v>772</v>
      </c>
      <c r="U1948" s="372" t="s">
        <v>12747</v>
      </c>
      <c r="V1948" s="722" t="s">
        <v>774</v>
      </c>
      <c r="W1948" s="722">
        <v>0.28000000000000003</v>
      </c>
      <c r="X1948" s="722">
        <v>0.03</v>
      </c>
      <c r="Y1948" s="722" t="s">
        <v>774</v>
      </c>
      <c r="Z1948" s="382" t="s">
        <v>934</v>
      </c>
      <c r="AA1948" s="372">
        <v>11357.509872799999</v>
      </c>
      <c r="AB1948" s="372">
        <v>13079.216625499999</v>
      </c>
      <c r="AC1948" s="372">
        <v>15233.3346767</v>
      </c>
      <c r="AD1948" s="372">
        <v>18636.795920600001</v>
      </c>
      <c r="AE1948" s="372">
        <v>16510</v>
      </c>
      <c r="AF1948" s="372">
        <v>16080</v>
      </c>
      <c r="AG1948" s="372">
        <v>0</v>
      </c>
      <c r="AH1948" s="372">
        <v>0</v>
      </c>
    </row>
    <row r="1949" spans="1:34">
      <c r="A1949" s="372" t="s">
        <v>12748</v>
      </c>
      <c r="B1949" s="373" t="s">
        <v>12749</v>
      </c>
      <c r="C1949" s="372" t="s">
        <v>12750</v>
      </c>
      <c r="D1949" s="374">
        <v>1801110068668</v>
      </c>
      <c r="E1949" s="372" t="s">
        <v>12751</v>
      </c>
      <c r="F1949" s="375" t="s">
        <v>1761</v>
      </c>
      <c r="G1949" s="375" t="s">
        <v>1761</v>
      </c>
      <c r="H1949" s="375" t="s">
        <v>3127</v>
      </c>
      <c r="I1949" s="375" t="s">
        <v>869</v>
      </c>
      <c r="J1949" s="375">
        <v>159946.40070999999</v>
      </c>
      <c r="K1949" s="375">
        <v>-1589.4337499999999</v>
      </c>
      <c r="L1949" s="375">
        <v>-328.77418</v>
      </c>
      <c r="M1949" s="375">
        <v>114457.62354</v>
      </c>
      <c r="N1949" s="372">
        <v>0.81599999999999995</v>
      </c>
      <c r="O1949" s="703">
        <v>60.850884502553981</v>
      </c>
      <c r="P1949" s="375" t="s">
        <v>623</v>
      </c>
      <c r="Q1949" s="372" t="s">
        <v>623</v>
      </c>
      <c r="R1949" s="695">
        <v>19931230</v>
      </c>
      <c r="S1949" s="372" t="s">
        <v>12752</v>
      </c>
      <c r="T1949" s="696" t="s">
        <v>772</v>
      </c>
      <c r="U1949" s="372" t="s">
        <v>16101</v>
      </c>
      <c r="V1949" s="722">
        <v>68.16</v>
      </c>
      <c r="W1949" s="722">
        <v>0.53</v>
      </c>
      <c r="X1949" s="722">
        <v>0.38</v>
      </c>
      <c r="Y1949" s="722" t="s">
        <v>774</v>
      </c>
      <c r="Z1949" s="382" t="s">
        <v>934</v>
      </c>
      <c r="AA1949" s="372">
        <v>1397.7198934999999</v>
      </c>
      <c r="AB1949" s="372">
        <v>1503.9072117999999</v>
      </c>
      <c r="AC1949" s="372">
        <v>1709.7264992999999</v>
      </c>
      <c r="AD1949" s="372">
        <v>1599.4640070999999</v>
      </c>
      <c r="AE1949" s="372">
        <v>0</v>
      </c>
      <c r="AF1949" s="372">
        <v>0</v>
      </c>
      <c r="AG1949" s="372">
        <v>0</v>
      </c>
      <c r="AH1949" s="372">
        <v>0</v>
      </c>
    </row>
    <row r="1950" spans="1:34">
      <c r="A1950" s="372" t="s">
        <v>12753</v>
      </c>
      <c r="B1950" s="373" t="s">
        <v>12754</v>
      </c>
      <c r="C1950" s="372" t="s">
        <v>12755</v>
      </c>
      <c r="D1950" s="374">
        <v>1101113572636</v>
      </c>
      <c r="E1950" s="372" t="s">
        <v>12756</v>
      </c>
      <c r="F1950" s="375" t="s">
        <v>3708</v>
      </c>
      <c r="G1950" s="375" t="s">
        <v>3708</v>
      </c>
      <c r="H1950" s="375" t="s">
        <v>1348</v>
      </c>
      <c r="I1950" s="375" t="s">
        <v>869</v>
      </c>
      <c r="J1950" s="375">
        <v>0</v>
      </c>
      <c r="K1950" s="375">
        <v>-12197.950639999999</v>
      </c>
      <c r="L1950" s="375">
        <v>-11611.435380000001</v>
      </c>
      <c r="M1950" s="375">
        <v>40495.260880000002</v>
      </c>
      <c r="N1950" s="372">
        <v>1.2410000000000001</v>
      </c>
      <c r="O1950" s="703">
        <v>23.204724307968146</v>
      </c>
      <c r="P1950" s="375" t="s">
        <v>623</v>
      </c>
      <c r="Q1950" s="372" t="s">
        <v>623</v>
      </c>
      <c r="R1950" s="695">
        <v>20190220</v>
      </c>
      <c r="S1950" s="372" t="s">
        <v>12757</v>
      </c>
      <c r="T1950" s="696" t="s">
        <v>772</v>
      </c>
      <c r="U1950" s="372" t="s">
        <v>12758</v>
      </c>
      <c r="V1950" s="722">
        <v>0</v>
      </c>
      <c r="W1950" s="722">
        <v>1.5</v>
      </c>
      <c r="X1950" s="722">
        <v>0</v>
      </c>
      <c r="Y1950" s="722">
        <v>0</v>
      </c>
      <c r="Z1950" s="382" t="s">
        <v>774</v>
      </c>
      <c r="AA1950" s="372">
        <v>0</v>
      </c>
      <c r="AB1950" s="372">
        <v>9.0909090999999993</v>
      </c>
      <c r="AC1950" s="372">
        <v>4.8</v>
      </c>
      <c r="AD1950" s="372">
        <v>0</v>
      </c>
      <c r="AE1950" s="372">
        <v>0</v>
      </c>
      <c r="AF1950" s="372">
        <v>0</v>
      </c>
      <c r="AG1950" s="372">
        <v>0</v>
      </c>
      <c r="AH1950" s="372">
        <v>0</v>
      </c>
    </row>
    <row r="1951" spans="1:34">
      <c r="A1951" s="372" t="s">
        <v>12759</v>
      </c>
      <c r="B1951" s="373" t="s">
        <v>12760</v>
      </c>
      <c r="C1951" s="372" t="s">
        <v>12761</v>
      </c>
      <c r="D1951" s="374">
        <v>1311110053874</v>
      </c>
      <c r="E1951" s="372" t="s">
        <v>12762</v>
      </c>
      <c r="F1951" s="372" t="s">
        <v>7518</v>
      </c>
      <c r="G1951" s="375" t="s">
        <v>7518</v>
      </c>
      <c r="H1951" s="375" t="s">
        <v>1348</v>
      </c>
      <c r="I1951" s="375" t="s">
        <v>869</v>
      </c>
      <c r="J1951" s="375">
        <v>96737.112179999996</v>
      </c>
      <c r="K1951" s="375">
        <v>-20664.99726</v>
      </c>
      <c r="L1951" s="375">
        <v>-27771.448980000001</v>
      </c>
      <c r="M1951" s="375">
        <v>106792.97036000001</v>
      </c>
      <c r="N1951" s="372">
        <v>0.80600000000000005</v>
      </c>
      <c r="O1951" s="703">
        <v>164.91355831184185</v>
      </c>
      <c r="P1951" s="375" t="s">
        <v>623</v>
      </c>
      <c r="Q1951" s="372" t="s">
        <v>623</v>
      </c>
      <c r="R1951" s="695">
        <v>20141217</v>
      </c>
      <c r="S1951" s="372" t="s">
        <v>12763</v>
      </c>
      <c r="T1951" s="696" t="s">
        <v>772</v>
      </c>
      <c r="U1951" s="372" t="s">
        <v>12764</v>
      </c>
      <c r="V1951" s="722" t="s">
        <v>774</v>
      </c>
      <c r="W1951" s="722">
        <v>0.94</v>
      </c>
      <c r="X1951" s="722">
        <v>0.83</v>
      </c>
      <c r="Y1951" s="722" t="s">
        <v>774</v>
      </c>
      <c r="Z1951" s="382" t="s">
        <v>934</v>
      </c>
      <c r="AA1951" s="372">
        <v>844.37232349999999</v>
      </c>
      <c r="AB1951" s="372">
        <v>977.90760160000002</v>
      </c>
      <c r="AC1951" s="372">
        <v>1105.350117</v>
      </c>
      <c r="AD1951" s="372">
        <v>967.37112179999997</v>
      </c>
      <c r="AE1951" s="372">
        <v>0</v>
      </c>
      <c r="AF1951" s="372">
        <v>0</v>
      </c>
      <c r="AG1951" s="372">
        <v>0</v>
      </c>
      <c r="AH1951" s="372">
        <v>0</v>
      </c>
    </row>
    <row r="1952" spans="1:34">
      <c r="A1952" s="372" t="s">
        <v>12765</v>
      </c>
      <c r="B1952" s="373" t="s">
        <v>12766</v>
      </c>
      <c r="C1952" s="372" t="s">
        <v>12767</v>
      </c>
      <c r="D1952" s="374">
        <v>1601110265995</v>
      </c>
      <c r="E1952" s="372" t="s">
        <v>12768</v>
      </c>
      <c r="F1952" s="372" t="s">
        <v>2147</v>
      </c>
      <c r="G1952" s="375" t="s">
        <v>4273</v>
      </c>
      <c r="H1952" s="375" t="s">
        <v>868</v>
      </c>
      <c r="I1952" s="375" t="s">
        <v>869</v>
      </c>
      <c r="J1952" s="375">
        <v>20391.168320000001</v>
      </c>
      <c r="K1952" s="375">
        <v>-4810.5884999999998</v>
      </c>
      <c r="L1952" s="375">
        <v>-5382.3355799999999</v>
      </c>
      <c r="M1952" s="375">
        <v>32027.45868</v>
      </c>
      <c r="N1952" s="372">
        <v>0.83899999999999997</v>
      </c>
      <c r="O1952" s="703">
        <v>42.680523536238177</v>
      </c>
      <c r="P1952" s="375" t="s">
        <v>623</v>
      </c>
      <c r="Q1952" s="372" t="s">
        <v>623</v>
      </c>
      <c r="R1952" s="695">
        <v>20201222</v>
      </c>
      <c r="S1952" s="372" t="s">
        <v>9032</v>
      </c>
      <c r="T1952" s="696" t="s">
        <v>772</v>
      </c>
      <c r="U1952" s="372" t="s">
        <v>12769</v>
      </c>
      <c r="V1952" s="722" t="s">
        <v>774</v>
      </c>
      <c r="W1952" s="722">
        <v>1.73</v>
      </c>
      <c r="X1952" s="722">
        <v>2.71</v>
      </c>
      <c r="Y1952" s="722" t="s">
        <v>774</v>
      </c>
      <c r="Z1952" s="382" t="s">
        <v>934</v>
      </c>
      <c r="AA1952" s="372">
        <v>86.849473000000003</v>
      </c>
      <c r="AB1952" s="372">
        <v>158.8716781</v>
      </c>
      <c r="AC1952" s="372">
        <v>204.58017810000001</v>
      </c>
      <c r="AD1952" s="372">
        <v>203.9116832</v>
      </c>
      <c r="AE1952" s="372">
        <v>0</v>
      </c>
      <c r="AF1952" s="372">
        <v>0</v>
      </c>
      <c r="AG1952" s="372">
        <v>0</v>
      </c>
      <c r="AH1952" s="372">
        <v>0</v>
      </c>
    </row>
    <row r="1953" spans="1:34">
      <c r="A1953" s="372" t="s">
        <v>12770</v>
      </c>
      <c r="B1953" s="373" t="s">
        <v>12771</v>
      </c>
      <c r="C1953" s="372" t="s">
        <v>12772</v>
      </c>
      <c r="D1953" s="374">
        <v>1101115794494</v>
      </c>
      <c r="E1953" s="372" t="s">
        <v>12773</v>
      </c>
      <c r="F1953" s="372" t="s">
        <v>1897</v>
      </c>
      <c r="G1953" s="375" t="s">
        <v>1897</v>
      </c>
      <c r="H1953" s="375" t="s">
        <v>4894</v>
      </c>
      <c r="I1953" s="375" t="s">
        <v>869</v>
      </c>
      <c r="J1953" s="375">
        <v>37388.366840000002</v>
      </c>
      <c r="K1953" s="375">
        <v>-7170.5011100000002</v>
      </c>
      <c r="L1953" s="375">
        <v>4715.2909</v>
      </c>
      <c r="M1953" s="375">
        <v>122608.59891</v>
      </c>
      <c r="N1953" s="372">
        <v>0.72699999999999998</v>
      </c>
      <c r="O1953" s="703">
        <v>0.70854343666175668</v>
      </c>
      <c r="P1953" s="375" t="s">
        <v>16142</v>
      </c>
      <c r="Q1953" s="372" t="s">
        <v>16145</v>
      </c>
      <c r="R1953" s="695">
        <v>20151022</v>
      </c>
      <c r="S1953" s="372" t="s">
        <v>9098</v>
      </c>
      <c r="T1953" s="696">
        <v>0.20900000000000002</v>
      </c>
      <c r="U1953" s="372" t="s">
        <v>16102</v>
      </c>
      <c r="V1953" s="722" t="s">
        <v>774</v>
      </c>
      <c r="W1953" s="722">
        <v>0.45</v>
      </c>
      <c r="X1953" s="722">
        <v>1.36</v>
      </c>
      <c r="Y1953" s="722" t="s">
        <v>774</v>
      </c>
      <c r="Z1953" s="382" t="s">
        <v>934</v>
      </c>
      <c r="AA1953" s="372">
        <v>497.74499600000001</v>
      </c>
      <c r="AB1953" s="372">
        <v>491.41456390000002</v>
      </c>
      <c r="AC1953" s="372">
        <v>560.82241850000003</v>
      </c>
      <c r="AD1953" s="372">
        <v>373.88366839999998</v>
      </c>
      <c r="AE1953" s="372">
        <v>0</v>
      </c>
      <c r="AF1953" s="372">
        <v>0</v>
      </c>
      <c r="AG1953" s="372">
        <v>0</v>
      </c>
      <c r="AH1953" s="372">
        <v>0</v>
      </c>
    </row>
    <row r="1954" spans="1:34">
      <c r="A1954" s="372" t="s">
        <v>12774</v>
      </c>
      <c r="B1954" s="373" t="s">
        <v>12775</v>
      </c>
      <c r="C1954" s="372" t="s">
        <v>12776</v>
      </c>
      <c r="D1954" s="374">
        <v>1753110000126</v>
      </c>
      <c r="E1954" s="372" t="s">
        <v>12777</v>
      </c>
      <c r="F1954" s="372" t="s">
        <v>1854</v>
      </c>
      <c r="G1954" s="375" t="s">
        <v>1854</v>
      </c>
      <c r="H1954" s="375" t="s">
        <v>1388</v>
      </c>
      <c r="I1954" s="375" t="s">
        <v>869</v>
      </c>
      <c r="J1954" s="375">
        <v>90534.369609999994</v>
      </c>
      <c r="K1954" s="375">
        <v>-6309.1331</v>
      </c>
      <c r="L1954" s="375">
        <v>-19331.892520000001</v>
      </c>
      <c r="M1954" s="375">
        <v>36987.328009999997</v>
      </c>
      <c r="N1954" s="372" t="s">
        <v>1033</v>
      </c>
      <c r="O1954" s="703">
        <v>12.775753920871976</v>
      </c>
      <c r="P1954" s="375" t="s">
        <v>623</v>
      </c>
      <c r="Q1954" s="375" t="s">
        <v>623</v>
      </c>
      <c r="R1954" s="695">
        <v>19970626</v>
      </c>
      <c r="S1954" s="375" t="s">
        <v>12778</v>
      </c>
      <c r="T1954" s="696" t="s">
        <v>772</v>
      </c>
      <c r="U1954" s="372" t="s">
        <v>12779</v>
      </c>
      <c r="V1954" s="722" t="s">
        <v>774</v>
      </c>
      <c r="W1954" s="722">
        <v>1.81</v>
      </c>
      <c r="X1954" s="722">
        <v>0.61</v>
      </c>
      <c r="Y1954" s="722" t="s">
        <v>774</v>
      </c>
      <c r="Z1954" s="382" t="s">
        <v>934</v>
      </c>
      <c r="AA1954" s="372">
        <v>511.1335196</v>
      </c>
      <c r="AB1954" s="372">
        <v>714.5008851</v>
      </c>
      <c r="AC1954" s="372">
        <v>1097.9117670000001</v>
      </c>
      <c r="AD1954" s="372">
        <v>905.34369609999999</v>
      </c>
      <c r="AE1954" s="372">
        <v>0</v>
      </c>
      <c r="AF1954" s="372">
        <v>0</v>
      </c>
      <c r="AG1954" s="372">
        <v>0</v>
      </c>
      <c r="AH1954" s="372">
        <v>0</v>
      </c>
    </row>
    <row r="1955" spans="1:34">
      <c r="A1955" s="372" t="s">
        <v>12780</v>
      </c>
      <c r="B1955" s="373" t="s">
        <v>12781</v>
      </c>
      <c r="C1955" s="372" t="s">
        <v>12782</v>
      </c>
      <c r="D1955" s="374">
        <v>1101116860442</v>
      </c>
      <c r="E1955" s="372" t="s">
        <v>12783</v>
      </c>
      <c r="F1955" s="375" t="s">
        <v>1062</v>
      </c>
      <c r="G1955" s="375" t="s">
        <v>1062</v>
      </c>
      <c r="H1955" s="375" t="s">
        <v>868</v>
      </c>
      <c r="I1955" s="375" t="s">
        <v>869</v>
      </c>
      <c r="J1955" s="375">
        <v>29614.740089999999</v>
      </c>
      <c r="K1955" s="375">
        <v>7122.65715</v>
      </c>
      <c r="L1955" s="375">
        <v>7156.8783599999997</v>
      </c>
      <c r="M1955" s="375">
        <v>32624.76987</v>
      </c>
      <c r="N1955" s="372">
        <v>0.94399999999999995</v>
      </c>
      <c r="O1955" s="703">
        <v>11.211523396281372</v>
      </c>
      <c r="P1955" s="375" t="s">
        <v>623</v>
      </c>
      <c r="Q1955" s="372" t="s">
        <v>623</v>
      </c>
      <c r="R1955" s="695">
        <v>20181205</v>
      </c>
      <c r="S1955" s="372" t="s">
        <v>12784</v>
      </c>
      <c r="T1955" s="696">
        <v>0.20900000000000002</v>
      </c>
      <c r="U1955" s="372" t="s">
        <v>12785</v>
      </c>
      <c r="V1955" s="722">
        <v>7.28</v>
      </c>
      <c r="W1955" s="722">
        <v>1.79</v>
      </c>
      <c r="X1955" s="722">
        <v>2.1</v>
      </c>
      <c r="Y1955" s="722">
        <v>11.32</v>
      </c>
      <c r="Z1955" s="382" t="s">
        <v>934</v>
      </c>
      <c r="AA1955" s="372">
        <v>120.1765477</v>
      </c>
      <c r="AB1955" s="372">
        <v>177.20824350000001</v>
      </c>
      <c r="AC1955" s="372">
        <v>267.47721810000002</v>
      </c>
      <c r="AD1955" s="372">
        <v>296.14740089999998</v>
      </c>
      <c r="AE1955" s="372">
        <v>419</v>
      </c>
      <c r="AF1955" s="372">
        <v>530</v>
      </c>
      <c r="AG1955" s="372">
        <v>0</v>
      </c>
      <c r="AH1955" s="372">
        <v>0</v>
      </c>
    </row>
    <row r="1956" spans="1:34">
      <c r="A1956" s="372" t="s">
        <v>12786</v>
      </c>
      <c r="B1956" s="373" t="s">
        <v>12787</v>
      </c>
      <c r="C1956" s="372" t="s">
        <v>12788</v>
      </c>
      <c r="D1956" s="374">
        <v>1601110243678</v>
      </c>
      <c r="E1956" s="372" t="s">
        <v>12789</v>
      </c>
      <c r="F1956" s="372" t="s">
        <v>1368</v>
      </c>
      <c r="G1956" s="375" t="s">
        <v>1368</v>
      </c>
      <c r="H1956" s="375" t="s">
        <v>868</v>
      </c>
      <c r="I1956" s="375" t="s">
        <v>869</v>
      </c>
      <c r="J1956" s="375">
        <v>53601.594100000002</v>
      </c>
      <c r="K1956" s="375">
        <v>4460.2795100000003</v>
      </c>
      <c r="L1956" s="375">
        <v>6470.4336300000004</v>
      </c>
      <c r="M1956" s="375">
        <v>76533.986109999998</v>
      </c>
      <c r="N1956" s="372">
        <v>0.92200000000000004</v>
      </c>
      <c r="O1956" s="703">
        <v>3.9030936349229011</v>
      </c>
      <c r="P1956" s="375" t="s">
        <v>623</v>
      </c>
      <c r="Q1956" s="372" t="s">
        <v>623</v>
      </c>
      <c r="R1956" s="695">
        <v>20200921</v>
      </c>
      <c r="S1956" s="372" t="s">
        <v>12791</v>
      </c>
      <c r="T1956" s="696">
        <v>0.20900000000000002</v>
      </c>
      <c r="U1956" s="372" t="s">
        <v>12792</v>
      </c>
      <c r="V1956" s="722">
        <v>6.47</v>
      </c>
      <c r="W1956" s="722">
        <v>0.66</v>
      </c>
      <c r="X1956" s="722">
        <v>0.95</v>
      </c>
      <c r="Y1956" s="722">
        <v>8.57</v>
      </c>
      <c r="Z1956" s="382" t="s">
        <v>934</v>
      </c>
      <c r="AA1956" s="372">
        <v>375.55717559999999</v>
      </c>
      <c r="AB1956" s="372">
        <v>367.9140362</v>
      </c>
      <c r="AC1956" s="372">
        <v>452.66822989999997</v>
      </c>
      <c r="AD1956" s="372">
        <v>536.015941</v>
      </c>
      <c r="AE1956" s="372">
        <v>0</v>
      </c>
      <c r="AF1956" s="372">
        <v>0</v>
      </c>
      <c r="AG1956" s="372">
        <v>0</v>
      </c>
      <c r="AH1956" s="372">
        <v>0</v>
      </c>
    </row>
    <row r="1957" spans="1:34">
      <c r="A1957" s="372" t="s">
        <v>12793</v>
      </c>
      <c r="B1957" s="373" t="s">
        <v>12794</v>
      </c>
      <c r="C1957" s="372" t="s">
        <v>12795</v>
      </c>
      <c r="D1957" s="374">
        <v>1201110007204</v>
      </c>
      <c r="E1957" s="372" t="s">
        <v>12796</v>
      </c>
      <c r="F1957" s="372" t="s">
        <v>5674</v>
      </c>
      <c r="G1957" s="375" t="s">
        <v>5674</v>
      </c>
      <c r="H1957" s="375" t="s">
        <v>868</v>
      </c>
      <c r="I1957" s="375" t="s">
        <v>869</v>
      </c>
      <c r="J1957" s="375">
        <v>141948.41652999999</v>
      </c>
      <c r="K1957" s="375">
        <v>597.88427000000001</v>
      </c>
      <c r="L1957" s="375">
        <v>454.13249000000002</v>
      </c>
      <c r="M1957" s="375">
        <v>145468.33598</v>
      </c>
      <c r="N1957" s="372">
        <v>1.171</v>
      </c>
      <c r="O1957" s="703">
        <v>8.45338711705066</v>
      </c>
      <c r="P1957" s="375" t="s">
        <v>623</v>
      </c>
      <c r="Q1957" s="375" t="s">
        <v>623</v>
      </c>
      <c r="R1957" s="695">
        <v>20010116</v>
      </c>
      <c r="S1957" s="375" t="s">
        <v>12797</v>
      </c>
      <c r="T1957" s="696">
        <v>0.20900000000000002</v>
      </c>
      <c r="U1957" s="372" t="s">
        <v>12798</v>
      </c>
      <c r="V1957" s="722">
        <v>0</v>
      </c>
      <c r="W1957" s="722">
        <v>0.43</v>
      </c>
      <c r="X1957" s="722">
        <v>0</v>
      </c>
      <c r="Y1957" s="722">
        <v>0</v>
      </c>
      <c r="Z1957" s="382" t="s">
        <v>934</v>
      </c>
      <c r="AA1957" s="372">
        <v>1327.9871596999999</v>
      </c>
      <c r="AB1957" s="372">
        <v>1472.7473653</v>
      </c>
      <c r="AC1957" s="372">
        <v>1589.3939508999999</v>
      </c>
      <c r="AD1957" s="372">
        <v>1419.4841653000001</v>
      </c>
      <c r="AE1957" s="372">
        <v>0</v>
      </c>
      <c r="AF1957" s="372">
        <v>0</v>
      </c>
      <c r="AG1957" s="372">
        <v>0</v>
      </c>
      <c r="AH1957" s="372">
        <v>0</v>
      </c>
    </row>
    <row r="1958" spans="1:34">
      <c r="A1958" s="372" t="s">
        <v>12799</v>
      </c>
      <c r="B1958" s="373" t="s">
        <v>12800</v>
      </c>
      <c r="C1958" s="372" t="s">
        <v>12801</v>
      </c>
      <c r="D1958" s="374">
        <v>1211110142596</v>
      </c>
      <c r="E1958" s="372" t="s">
        <v>12802</v>
      </c>
      <c r="F1958" s="372" t="s">
        <v>982</v>
      </c>
      <c r="G1958" s="375" t="s">
        <v>983</v>
      </c>
      <c r="H1958" s="375" t="s">
        <v>1693</v>
      </c>
      <c r="I1958" s="375" t="s">
        <v>869</v>
      </c>
      <c r="J1958" s="375">
        <v>28789.79218</v>
      </c>
      <c r="K1958" s="375">
        <v>-1871.49188</v>
      </c>
      <c r="L1958" s="375">
        <v>46.560969999999998</v>
      </c>
      <c r="M1958" s="375">
        <v>43606.368670000003</v>
      </c>
      <c r="N1958" s="372">
        <v>0.57399999999999995</v>
      </c>
      <c r="O1958" s="703">
        <v>31.884817686924499</v>
      </c>
      <c r="P1958" s="375" t="s">
        <v>16142</v>
      </c>
      <c r="Q1958" s="375" t="s">
        <v>16145</v>
      </c>
      <c r="R1958" s="695">
        <v>20110729</v>
      </c>
      <c r="S1958" s="375" t="s">
        <v>12803</v>
      </c>
      <c r="T1958" s="696">
        <v>9.9000000000000005E-2</v>
      </c>
      <c r="U1958" s="372" t="s">
        <v>12804</v>
      </c>
      <c r="V1958" s="722" t="s">
        <v>774</v>
      </c>
      <c r="W1958" s="722">
        <v>1.18</v>
      </c>
      <c r="X1958" s="722">
        <v>1.73</v>
      </c>
      <c r="Y1958" s="722">
        <v>610.70000000000005</v>
      </c>
      <c r="Z1958" s="382" t="s">
        <v>934</v>
      </c>
      <c r="AA1958" s="372">
        <v>369.83857210000002</v>
      </c>
      <c r="AB1958" s="372">
        <v>277.98623850000001</v>
      </c>
      <c r="AC1958" s="372">
        <v>283.55416050000002</v>
      </c>
      <c r="AD1958" s="372">
        <v>287.89792180000001</v>
      </c>
      <c r="AE1958" s="372">
        <v>0</v>
      </c>
      <c r="AF1958" s="372">
        <v>0</v>
      </c>
      <c r="AG1958" s="372">
        <v>0</v>
      </c>
      <c r="AH1958" s="372">
        <v>0</v>
      </c>
    </row>
    <row r="1959" spans="1:34">
      <c r="A1959" s="372" t="s">
        <v>12805</v>
      </c>
      <c r="B1959" s="373" t="s">
        <v>12806</v>
      </c>
      <c r="C1959" s="372" t="s">
        <v>12807</v>
      </c>
      <c r="D1959" s="374">
        <v>1701110022781</v>
      </c>
      <c r="E1959" s="372" t="s">
        <v>12808</v>
      </c>
      <c r="F1959" s="372" t="s">
        <v>5742</v>
      </c>
      <c r="G1959" s="375" t="s">
        <v>5742</v>
      </c>
      <c r="H1959" s="375" t="s">
        <v>754</v>
      </c>
      <c r="I1959" s="375" t="s">
        <v>755</v>
      </c>
      <c r="J1959" s="375">
        <v>586298.30599999998</v>
      </c>
      <c r="K1959" s="375">
        <v>43062.857020000003</v>
      </c>
      <c r="L1959" s="375">
        <v>37417.472710000002</v>
      </c>
      <c r="M1959" s="375">
        <v>118206.06435</v>
      </c>
      <c r="N1959" s="372">
        <v>0.75800000000000001</v>
      </c>
      <c r="O1959" s="703">
        <v>183.00020594700391</v>
      </c>
      <c r="P1959" s="375" t="s">
        <v>623</v>
      </c>
      <c r="Q1959" s="372" t="s">
        <v>623</v>
      </c>
      <c r="R1959" s="695">
        <v>19960731</v>
      </c>
      <c r="S1959" s="372" t="s">
        <v>12809</v>
      </c>
      <c r="T1959" s="696">
        <v>0.23100000000000001</v>
      </c>
      <c r="U1959" s="372" t="s">
        <v>12810</v>
      </c>
      <c r="V1959" s="722">
        <v>2.59</v>
      </c>
      <c r="W1959" s="722">
        <v>0.56000000000000005</v>
      </c>
      <c r="X1959" s="722">
        <v>0.11</v>
      </c>
      <c r="Y1959" s="722">
        <v>2.21</v>
      </c>
      <c r="Z1959" s="382" t="s">
        <v>934</v>
      </c>
      <c r="AA1959" s="372">
        <v>3463.9944753</v>
      </c>
      <c r="AB1959" s="372">
        <v>4027.3309915999998</v>
      </c>
      <c r="AC1959" s="372">
        <v>4696.6679077999997</v>
      </c>
      <c r="AD1959" s="372">
        <v>5862.9830599999996</v>
      </c>
      <c r="AE1959" s="372">
        <v>0</v>
      </c>
      <c r="AF1959" s="372">
        <v>0</v>
      </c>
      <c r="AG1959" s="372">
        <v>0</v>
      </c>
      <c r="AH1959" s="372">
        <v>0</v>
      </c>
    </row>
    <row r="1960" spans="1:34">
      <c r="A1960" s="372" t="s">
        <v>12811</v>
      </c>
      <c r="B1960" s="373" t="s">
        <v>12812</v>
      </c>
      <c r="C1960" s="372" t="s">
        <v>12813</v>
      </c>
      <c r="D1960" s="374">
        <v>1345110132792</v>
      </c>
      <c r="E1960" s="372" t="s">
        <v>12814</v>
      </c>
      <c r="F1960" s="375" t="s">
        <v>2098</v>
      </c>
      <c r="G1960" s="375" t="s">
        <v>2098</v>
      </c>
      <c r="H1960" s="375" t="s">
        <v>868</v>
      </c>
      <c r="I1960" s="375" t="s">
        <v>869</v>
      </c>
      <c r="J1960" s="375">
        <v>0</v>
      </c>
      <c r="K1960" s="375">
        <v>0</v>
      </c>
      <c r="L1960" s="375">
        <v>0</v>
      </c>
      <c r="M1960" s="375">
        <v>55922.179020000003</v>
      </c>
      <c r="N1960" s="372">
        <v>1.1919999999999999</v>
      </c>
      <c r="O1960" s="703">
        <v>7.4435261133331476</v>
      </c>
      <c r="P1960" s="375" t="s">
        <v>623</v>
      </c>
      <c r="Q1960" s="372" t="s">
        <v>623</v>
      </c>
      <c r="R1960" s="695">
        <v>20220204</v>
      </c>
      <c r="S1960" s="372" t="s">
        <v>12641</v>
      </c>
      <c r="T1960" s="696" t="s">
        <v>772</v>
      </c>
      <c r="U1960" s="372" t="s">
        <v>12815</v>
      </c>
      <c r="V1960" s="722">
        <v>0</v>
      </c>
      <c r="W1960" s="722">
        <v>1.1499999999999999</v>
      </c>
      <c r="X1960" s="722">
        <v>0</v>
      </c>
      <c r="Y1960" s="722">
        <v>0</v>
      </c>
      <c r="Z1960" s="382" t="s">
        <v>934</v>
      </c>
      <c r="AA1960" s="372">
        <v>153.4858108</v>
      </c>
      <c r="AB1960" s="372">
        <v>177.4780744</v>
      </c>
      <c r="AC1960" s="372">
        <v>216.0902878</v>
      </c>
      <c r="AD1960" s="372">
        <v>351.98119910000003</v>
      </c>
      <c r="AE1960" s="372">
        <v>0</v>
      </c>
      <c r="AF1960" s="372">
        <v>0</v>
      </c>
      <c r="AG1960" s="372">
        <v>0</v>
      </c>
      <c r="AH1960" s="372">
        <v>0</v>
      </c>
    </row>
    <row r="1961" spans="1:34">
      <c r="A1961" s="372" t="s">
        <v>12816</v>
      </c>
      <c r="B1961" s="373" t="s">
        <v>12817</v>
      </c>
      <c r="C1961" s="372" t="s">
        <v>12818</v>
      </c>
      <c r="D1961" s="374">
        <v>1101110036148</v>
      </c>
      <c r="E1961" s="372" t="s">
        <v>12819</v>
      </c>
      <c r="F1961" s="372" t="s">
        <v>5353</v>
      </c>
      <c r="G1961" s="375" t="s">
        <v>5353</v>
      </c>
      <c r="H1961" s="375" t="s">
        <v>868</v>
      </c>
      <c r="I1961" s="375" t="s">
        <v>869</v>
      </c>
      <c r="J1961" s="375">
        <v>105014.55738</v>
      </c>
      <c r="K1961" s="375">
        <v>7684.21396</v>
      </c>
      <c r="L1961" s="375">
        <v>9545.5256100000006</v>
      </c>
      <c r="M1961" s="375">
        <v>76679.35673</v>
      </c>
      <c r="N1961" s="372">
        <v>1.0369999999999999</v>
      </c>
      <c r="O1961" s="703">
        <v>20.384814123269866</v>
      </c>
      <c r="P1961" s="375" t="s">
        <v>623</v>
      </c>
      <c r="Q1961" s="375" t="s">
        <v>623</v>
      </c>
      <c r="R1961" s="695">
        <v>19920725</v>
      </c>
      <c r="S1961" s="375" t="s">
        <v>6831</v>
      </c>
      <c r="T1961" s="696">
        <v>0.20900000000000002</v>
      </c>
      <c r="U1961" s="372" t="s">
        <v>12820</v>
      </c>
      <c r="V1961" s="722">
        <v>5.97</v>
      </c>
      <c r="W1961" s="722">
        <v>0.79</v>
      </c>
      <c r="X1961" s="722">
        <v>0.56999999999999995</v>
      </c>
      <c r="Y1961" s="722">
        <v>5.95</v>
      </c>
      <c r="Z1961" s="382" t="s">
        <v>934</v>
      </c>
      <c r="AA1961" s="372">
        <v>851.68570560000001</v>
      </c>
      <c r="AB1961" s="372">
        <v>843.74637749999999</v>
      </c>
      <c r="AC1961" s="372">
        <v>992.35803610000005</v>
      </c>
      <c r="AD1961" s="372">
        <v>1050.1455738</v>
      </c>
      <c r="AE1961" s="372">
        <v>0</v>
      </c>
      <c r="AF1961" s="372">
        <v>0</v>
      </c>
      <c r="AG1961" s="372">
        <v>0</v>
      </c>
      <c r="AH1961" s="372">
        <v>0</v>
      </c>
    </row>
    <row r="1962" spans="1:34">
      <c r="A1962" s="372" t="s">
        <v>12821</v>
      </c>
      <c r="B1962" s="373" t="s">
        <v>12822</v>
      </c>
      <c r="C1962" s="372" t="s">
        <v>12823</v>
      </c>
      <c r="D1962" s="374">
        <v>1101110307870</v>
      </c>
      <c r="E1962" s="372" t="s">
        <v>12824</v>
      </c>
      <c r="F1962" s="372" t="s">
        <v>982</v>
      </c>
      <c r="G1962" s="375" t="s">
        <v>983</v>
      </c>
      <c r="H1962" s="375" t="s">
        <v>1693</v>
      </c>
      <c r="I1962" s="375" t="s">
        <v>869</v>
      </c>
      <c r="J1962" s="375">
        <v>392451.83422999998</v>
      </c>
      <c r="K1962" s="375">
        <v>8408.9709000000003</v>
      </c>
      <c r="L1962" s="375">
        <v>8843.9568400000007</v>
      </c>
      <c r="M1962" s="375">
        <v>64984.261169999998</v>
      </c>
      <c r="N1962" s="372">
        <v>0.56399999999999995</v>
      </c>
      <c r="O1962" s="703">
        <v>36.061166268085373</v>
      </c>
      <c r="P1962" s="375" t="s">
        <v>623</v>
      </c>
      <c r="Q1962" s="375" t="s">
        <v>623</v>
      </c>
      <c r="R1962" s="695">
        <v>20000411</v>
      </c>
      <c r="S1962" s="375" t="s">
        <v>12825</v>
      </c>
      <c r="T1962" s="696">
        <v>0.20900000000000002</v>
      </c>
      <c r="U1962" s="372" t="s">
        <v>12826</v>
      </c>
      <c r="V1962" s="722">
        <v>4.6399999999999997</v>
      </c>
      <c r="W1962" s="722">
        <v>0.92</v>
      </c>
      <c r="X1962" s="722">
        <v>0.15</v>
      </c>
      <c r="Y1962" s="722">
        <v>10.69</v>
      </c>
      <c r="Z1962" s="382" t="s">
        <v>934</v>
      </c>
      <c r="AA1962" s="372">
        <v>1199.5754030000001</v>
      </c>
      <c r="AB1962" s="372">
        <v>2425.8936758999998</v>
      </c>
      <c r="AC1962" s="372">
        <v>3252.1448058999999</v>
      </c>
      <c r="AD1962" s="372">
        <v>3924.5183422999999</v>
      </c>
      <c r="AE1962" s="372">
        <v>5131</v>
      </c>
      <c r="AF1962" s="372">
        <v>0</v>
      </c>
      <c r="AG1962" s="372">
        <v>0</v>
      </c>
      <c r="AH1962" s="372">
        <v>0</v>
      </c>
    </row>
    <row r="1963" spans="1:34">
      <c r="A1963" s="372" t="s">
        <v>12827</v>
      </c>
      <c r="B1963" s="373" t="s">
        <v>12828</v>
      </c>
      <c r="C1963" s="372" t="s">
        <v>12829</v>
      </c>
      <c r="D1963" s="374">
        <v>1101110042393</v>
      </c>
      <c r="E1963" s="372" t="s">
        <v>12829</v>
      </c>
      <c r="F1963" s="372" t="s">
        <v>5655</v>
      </c>
      <c r="G1963" s="375" t="s">
        <v>5655</v>
      </c>
      <c r="H1963" s="375" t="s">
        <v>823</v>
      </c>
      <c r="I1963" s="375" t="s">
        <v>755</v>
      </c>
      <c r="J1963" s="375">
        <v>36300.281499999997</v>
      </c>
      <c r="K1963" s="375">
        <v>-17444.415720000001</v>
      </c>
      <c r="L1963" s="375">
        <v>36839.486929999999</v>
      </c>
      <c r="M1963" s="375">
        <v>108609.94577999999</v>
      </c>
      <c r="N1963" s="372">
        <v>0.80400000000000005</v>
      </c>
      <c r="O1963" s="703">
        <v>35.14784519301773</v>
      </c>
      <c r="P1963" s="375" t="s">
        <v>16142</v>
      </c>
      <c r="Q1963" s="372" t="s">
        <v>16145</v>
      </c>
      <c r="R1963" s="695">
        <v>19731218</v>
      </c>
      <c r="S1963" s="372" t="s">
        <v>12830</v>
      </c>
      <c r="T1963" s="696">
        <v>0.23100000000000001</v>
      </c>
      <c r="U1963" s="372" t="s">
        <v>12831</v>
      </c>
      <c r="V1963" s="722" t="s">
        <v>774</v>
      </c>
      <c r="W1963" s="722">
        <v>0.53</v>
      </c>
      <c r="X1963" s="722">
        <v>1.59</v>
      </c>
      <c r="Y1963" s="722">
        <v>1.61</v>
      </c>
      <c r="Z1963" s="382" t="s">
        <v>934</v>
      </c>
      <c r="AA1963" s="372">
        <v>810.49278890000005</v>
      </c>
      <c r="AB1963" s="372">
        <v>600.07423249999999</v>
      </c>
      <c r="AC1963" s="372">
        <v>467.94198790000002</v>
      </c>
      <c r="AD1963" s="372">
        <v>363.002815</v>
      </c>
      <c r="AE1963" s="372">
        <v>0</v>
      </c>
      <c r="AF1963" s="372">
        <v>0</v>
      </c>
      <c r="AG1963" s="372">
        <v>0</v>
      </c>
      <c r="AH1963" s="372">
        <v>0</v>
      </c>
    </row>
    <row r="1964" spans="1:34">
      <c r="A1964" s="372" t="s">
        <v>12832</v>
      </c>
      <c r="B1964" s="373" t="s">
        <v>12833</v>
      </c>
      <c r="C1964" s="372" t="s">
        <v>12834</v>
      </c>
      <c r="D1964" s="374">
        <v>1301110038918</v>
      </c>
      <c r="E1964" s="372" t="s">
        <v>12835</v>
      </c>
      <c r="F1964" s="375" t="s">
        <v>770</v>
      </c>
      <c r="G1964" s="375" t="s">
        <v>770</v>
      </c>
      <c r="H1964" s="375" t="s">
        <v>1388</v>
      </c>
      <c r="I1964" s="375" t="s">
        <v>869</v>
      </c>
      <c r="J1964" s="375">
        <v>171236.88167</v>
      </c>
      <c r="K1964" s="375">
        <v>2742.0207599999999</v>
      </c>
      <c r="L1964" s="375">
        <v>5074.5191400000003</v>
      </c>
      <c r="M1964" s="375">
        <v>97803.951310000004</v>
      </c>
      <c r="N1964" s="372">
        <v>0.98799999999999999</v>
      </c>
      <c r="O1964" s="703">
        <v>18.076593222814157</v>
      </c>
      <c r="P1964" s="375" t="s">
        <v>623</v>
      </c>
      <c r="Q1964" s="375" t="s">
        <v>623</v>
      </c>
      <c r="R1964" s="695">
        <v>20060808</v>
      </c>
      <c r="S1964" s="375" t="s">
        <v>12836</v>
      </c>
      <c r="T1964" s="696">
        <v>0.20900000000000002</v>
      </c>
      <c r="U1964" s="372" t="s">
        <v>12837</v>
      </c>
      <c r="V1964" s="722">
        <v>10.53</v>
      </c>
      <c r="W1964" s="722">
        <v>0.6</v>
      </c>
      <c r="X1964" s="722">
        <v>0.36</v>
      </c>
      <c r="Y1964" s="722">
        <v>15.53</v>
      </c>
      <c r="Z1964" s="382" t="s">
        <v>934</v>
      </c>
      <c r="AA1964" s="372">
        <v>2052.5142847000002</v>
      </c>
      <c r="AB1964" s="372">
        <v>1723.391042</v>
      </c>
      <c r="AC1964" s="372">
        <v>1663.0488733</v>
      </c>
      <c r="AD1964" s="372">
        <v>1712.3688167</v>
      </c>
      <c r="AE1964" s="372">
        <v>0</v>
      </c>
      <c r="AF1964" s="372">
        <v>0</v>
      </c>
      <c r="AG1964" s="372">
        <v>0</v>
      </c>
      <c r="AH1964" s="372">
        <v>0</v>
      </c>
    </row>
    <row r="1965" spans="1:34">
      <c r="A1965" s="372" t="s">
        <v>12838</v>
      </c>
      <c r="B1965" s="373" t="s">
        <v>12839</v>
      </c>
      <c r="C1965" s="372" t="s">
        <v>12840</v>
      </c>
      <c r="D1965" s="374">
        <v>1801110020246</v>
      </c>
      <c r="E1965" s="372" t="s">
        <v>12841</v>
      </c>
      <c r="F1965" s="375" t="s">
        <v>2139</v>
      </c>
      <c r="G1965" s="375" t="s">
        <v>2140</v>
      </c>
      <c r="H1965" s="375" t="s">
        <v>868</v>
      </c>
      <c r="I1965" s="375" t="s">
        <v>869</v>
      </c>
      <c r="J1965" s="375">
        <v>427122.51611000003</v>
      </c>
      <c r="K1965" s="375">
        <v>-620.20712000000003</v>
      </c>
      <c r="L1965" s="375">
        <v>-16111.349679999999</v>
      </c>
      <c r="M1965" s="375">
        <v>39343.362609999996</v>
      </c>
      <c r="N1965" s="372">
        <v>0.74099999999999999</v>
      </c>
      <c r="O1965" s="703">
        <v>521.03602873636805</v>
      </c>
      <c r="P1965" s="375" t="s">
        <v>623</v>
      </c>
      <c r="Q1965" s="372" t="s">
        <v>623</v>
      </c>
      <c r="R1965" s="695">
        <v>19931130</v>
      </c>
      <c r="S1965" s="372" t="s">
        <v>12842</v>
      </c>
      <c r="T1965" s="696" t="s">
        <v>772</v>
      </c>
      <c r="U1965" s="372" t="s">
        <v>12843</v>
      </c>
      <c r="V1965" s="722">
        <v>21.17</v>
      </c>
      <c r="W1965" s="722">
        <v>4.6100000000000003</v>
      </c>
      <c r="X1965" s="722">
        <v>0.13</v>
      </c>
      <c r="Y1965" s="722" t="s">
        <v>774</v>
      </c>
      <c r="Z1965" s="382" t="s">
        <v>934</v>
      </c>
      <c r="AA1965" s="372">
        <v>2999.3625579999998</v>
      </c>
      <c r="AB1965" s="372">
        <v>3560.254504</v>
      </c>
      <c r="AC1965" s="372">
        <v>4550.1635232999997</v>
      </c>
      <c r="AD1965" s="372">
        <v>4271.2251611000002</v>
      </c>
      <c r="AE1965" s="372">
        <v>0</v>
      </c>
      <c r="AF1965" s="372">
        <v>0</v>
      </c>
      <c r="AG1965" s="372">
        <v>0</v>
      </c>
      <c r="AH1965" s="372">
        <v>0</v>
      </c>
    </row>
    <row r="1966" spans="1:34">
      <c r="A1966" s="372" t="s">
        <v>12844</v>
      </c>
      <c r="B1966" s="373" t="s">
        <v>12845</v>
      </c>
      <c r="C1966" s="372" t="s">
        <v>12846</v>
      </c>
      <c r="D1966" s="374">
        <v>1314110212929</v>
      </c>
      <c r="E1966" s="372" t="s">
        <v>12847</v>
      </c>
      <c r="F1966" s="375" t="s">
        <v>770</v>
      </c>
      <c r="G1966" s="375" t="s">
        <v>770</v>
      </c>
      <c r="H1966" s="375" t="s">
        <v>1388</v>
      </c>
      <c r="I1966" s="375" t="s">
        <v>869</v>
      </c>
      <c r="J1966" s="375">
        <v>141964.38357000001</v>
      </c>
      <c r="K1966" s="375">
        <v>5046.83068</v>
      </c>
      <c r="L1966" s="375">
        <v>5766.8266400000002</v>
      </c>
      <c r="M1966" s="375">
        <v>81713.194860000003</v>
      </c>
      <c r="N1966" s="372">
        <v>1.2549999999999999</v>
      </c>
      <c r="O1966" s="703">
        <v>22.697622516960937</v>
      </c>
      <c r="P1966" s="375" t="s">
        <v>623</v>
      </c>
      <c r="Q1966" s="375" t="s">
        <v>623</v>
      </c>
      <c r="R1966" s="695">
        <v>20130205</v>
      </c>
      <c r="S1966" s="375" t="s">
        <v>12848</v>
      </c>
      <c r="T1966" s="696">
        <v>0.20900000000000002</v>
      </c>
      <c r="U1966" s="372" t="s">
        <v>12849</v>
      </c>
      <c r="V1966" s="722">
        <v>5.67</v>
      </c>
      <c r="W1966" s="722">
        <v>0.64</v>
      </c>
      <c r="X1966" s="722">
        <v>0.38</v>
      </c>
      <c r="Y1966" s="722">
        <v>9.93</v>
      </c>
      <c r="Z1966" s="382" t="s">
        <v>934</v>
      </c>
      <c r="AA1966" s="372">
        <v>1223.0635010999999</v>
      </c>
      <c r="AB1966" s="372">
        <v>1557.3678293</v>
      </c>
      <c r="AC1966" s="372">
        <v>1361.6209260999999</v>
      </c>
      <c r="AD1966" s="372">
        <v>1419.6438357</v>
      </c>
      <c r="AE1966" s="372">
        <v>0</v>
      </c>
      <c r="AF1966" s="372">
        <v>0</v>
      </c>
      <c r="AG1966" s="372">
        <v>0</v>
      </c>
      <c r="AH1966" s="372">
        <v>0</v>
      </c>
    </row>
    <row r="1967" spans="1:34">
      <c r="A1967" s="372" t="s">
        <v>12850</v>
      </c>
      <c r="B1967" s="373" t="s">
        <v>12851</v>
      </c>
      <c r="C1967" s="372" t="s">
        <v>12852</v>
      </c>
      <c r="D1967" s="374">
        <v>1147110000402</v>
      </c>
      <c r="E1967" s="372" t="s">
        <v>12853</v>
      </c>
      <c r="F1967" s="372" t="s">
        <v>6604</v>
      </c>
      <c r="G1967" s="375" t="s">
        <v>6604</v>
      </c>
      <c r="H1967" s="375" t="s">
        <v>832</v>
      </c>
      <c r="I1967" s="375" t="s">
        <v>755</v>
      </c>
      <c r="J1967" s="375">
        <v>62612.439870000002</v>
      </c>
      <c r="K1967" s="375">
        <v>201.04136</v>
      </c>
      <c r="L1967" s="375">
        <v>1591.6614300000001</v>
      </c>
      <c r="M1967" s="375">
        <v>132517.08184999999</v>
      </c>
      <c r="N1967" s="372">
        <v>0.86699999999999999</v>
      </c>
      <c r="O1967" s="703">
        <v>4.4946163015065075</v>
      </c>
      <c r="P1967" s="375" t="s">
        <v>623</v>
      </c>
      <c r="Q1967" s="372" t="s">
        <v>623</v>
      </c>
      <c r="R1967" s="695">
        <v>19761223</v>
      </c>
      <c r="S1967" s="372" t="s">
        <v>12854</v>
      </c>
      <c r="T1967" s="696">
        <v>0.20900000000000002</v>
      </c>
      <c r="U1967" s="372" t="s">
        <v>12855</v>
      </c>
      <c r="V1967" s="722">
        <v>17.63</v>
      </c>
      <c r="W1967" s="722">
        <v>0.44</v>
      </c>
      <c r="X1967" s="722">
        <v>0.94</v>
      </c>
      <c r="Y1967" s="722">
        <v>45.92</v>
      </c>
      <c r="Z1967" s="382" t="s">
        <v>934</v>
      </c>
      <c r="AA1967" s="372">
        <v>517.33628520000002</v>
      </c>
      <c r="AB1967" s="372">
        <v>576.75736219999999</v>
      </c>
      <c r="AC1967" s="372">
        <v>663.7925798</v>
      </c>
      <c r="AD1967" s="372">
        <v>626.12439870000003</v>
      </c>
      <c r="AE1967" s="372">
        <v>0</v>
      </c>
      <c r="AF1967" s="372">
        <v>0</v>
      </c>
      <c r="AG1967" s="372">
        <v>0</v>
      </c>
      <c r="AH1967" s="372">
        <v>0</v>
      </c>
    </row>
    <row r="1968" spans="1:34">
      <c r="A1968" s="372" t="s">
        <v>12856</v>
      </c>
      <c r="B1968" s="373" t="s">
        <v>12857</v>
      </c>
      <c r="C1968" s="372" t="s">
        <v>12858</v>
      </c>
      <c r="D1968" s="374">
        <v>1101110413990</v>
      </c>
      <c r="E1968" s="372" t="s">
        <v>12859</v>
      </c>
      <c r="F1968" s="372" t="s">
        <v>1585</v>
      </c>
      <c r="G1968" s="375" t="s">
        <v>1585</v>
      </c>
      <c r="H1968" s="375" t="s">
        <v>3127</v>
      </c>
      <c r="I1968" s="375" t="s">
        <v>869</v>
      </c>
      <c r="J1968" s="375">
        <v>61503.408539999997</v>
      </c>
      <c r="K1968" s="375">
        <v>-5691.9549100000004</v>
      </c>
      <c r="L1968" s="375">
        <v>-15960.07027</v>
      </c>
      <c r="M1968" s="375">
        <v>42691.471389999999</v>
      </c>
      <c r="N1968" s="372">
        <v>0.99299999999999999</v>
      </c>
      <c r="O1968" s="703">
        <v>21.079417728499504</v>
      </c>
      <c r="P1968" s="375" t="s">
        <v>623</v>
      </c>
      <c r="Q1968" s="375" t="s">
        <v>623</v>
      </c>
      <c r="R1968" s="695">
        <v>19940311</v>
      </c>
      <c r="S1968" s="375" t="s">
        <v>12860</v>
      </c>
      <c r="T1968" s="696" t="s">
        <v>772</v>
      </c>
      <c r="U1968" s="372" t="s">
        <v>12861</v>
      </c>
      <c r="V1968" s="722" t="s">
        <v>774</v>
      </c>
      <c r="W1968" s="722">
        <v>1.45</v>
      </c>
      <c r="X1968" s="722">
        <v>1.05</v>
      </c>
      <c r="Y1968" s="722" t="s">
        <v>774</v>
      </c>
      <c r="Z1968" s="382" t="s">
        <v>934</v>
      </c>
      <c r="AA1968" s="372">
        <v>261.74528620000001</v>
      </c>
      <c r="AB1968" s="372">
        <v>356.4094905</v>
      </c>
      <c r="AC1968" s="372">
        <v>586.6714207</v>
      </c>
      <c r="AD1968" s="372">
        <v>615.03408539999998</v>
      </c>
      <c r="AE1968" s="372">
        <v>0</v>
      </c>
      <c r="AF1968" s="372">
        <v>0</v>
      </c>
      <c r="AG1968" s="372">
        <v>0</v>
      </c>
      <c r="AH1968" s="372">
        <v>0</v>
      </c>
    </row>
    <row r="1969" spans="1:34">
      <c r="A1969" s="372" t="s">
        <v>12862</v>
      </c>
      <c r="B1969" s="373" t="s">
        <v>12863</v>
      </c>
      <c r="C1969" s="372" t="s">
        <v>16103</v>
      </c>
      <c r="D1969" s="374">
        <v>2101110118854</v>
      </c>
      <c r="E1969" s="372" t="s">
        <v>12864</v>
      </c>
      <c r="F1969" s="372" t="s">
        <v>1881</v>
      </c>
      <c r="G1969" s="375" t="s">
        <v>1882</v>
      </c>
      <c r="H1969" s="375" t="s">
        <v>868</v>
      </c>
      <c r="I1969" s="375" t="s">
        <v>869</v>
      </c>
      <c r="J1969" s="375">
        <v>235592.26572</v>
      </c>
      <c r="K1969" s="375">
        <v>15774.63162</v>
      </c>
      <c r="L1969" s="375">
        <v>-9215.2254599999997</v>
      </c>
      <c r="M1969" s="375">
        <v>84915.629679999998</v>
      </c>
      <c r="N1969" s="372">
        <v>1.133</v>
      </c>
      <c r="O1969" s="703">
        <v>97.771003005377437</v>
      </c>
      <c r="P1969" s="375" t="s">
        <v>623</v>
      </c>
      <c r="Q1969" s="372" t="s">
        <v>623</v>
      </c>
      <c r="R1969" s="695">
        <v>20181207</v>
      </c>
      <c r="S1969" s="372" t="s">
        <v>12865</v>
      </c>
      <c r="T1969" s="696" t="s">
        <v>772</v>
      </c>
      <c r="U1969" s="372" t="s">
        <v>12866</v>
      </c>
      <c r="V1969" s="722">
        <v>2.67</v>
      </c>
      <c r="W1969" s="722">
        <v>0.71</v>
      </c>
      <c r="X1969" s="722">
        <v>0.21</v>
      </c>
      <c r="Y1969" s="722" t="s">
        <v>774</v>
      </c>
      <c r="Z1969" s="382" t="s">
        <v>934</v>
      </c>
      <c r="AA1969" s="372">
        <v>1718.4836591000001</v>
      </c>
      <c r="AB1969" s="372">
        <v>1789.5519694</v>
      </c>
      <c r="AC1969" s="372">
        <v>2259.5260122</v>
      </c>
      <c r="AD1969" s="372">
        <v>2355.9226571999998</v>
      </c>
      <c r="AE1969" s="372">
        <v>0</v>
      </c>
      <c r="AF1969" s="372">
        <v>0</v>
      </c>
      <c r="AG1969" s="372">
        <v>0</v>
      </c>
      <c r="AH1969" s="372">
        <v>0</v>
      </c>
    </row>
    <row r="1970" spans="1:34">
      <c r="A1970" s="372" t="s">
        <v>12867</v>
      </c>
      <c r="B1970" s="373" t="s">
        <v>12868</v>
      </c>
      <c r="C1970" s="372" t="s">
        <v>12869</v>
      </c>
      <c r="D1970" s="374">
        <v>1301110056407</v>
      </c>
      <c r="E1970" s="372" t="s">
        <v>12870</v>
      </c>
      <c r="F1970" s="375" t="s">
        <v>6673</v>
      </c>
      <c r="G1970" s="375" t="s">
        <v>6673</v>
      </c>
      <c r="H1970" s="375" t="s">
        <v>1388</v>
      </c>
      <c r="I1970" s="375" t="s">
        <v>869</v>
      </c>
      <c r="J1970" s="375">
        <v>21994.615119999999</v>
      </c>
      <c r="K1970" s="375">
        <v>831.10946999999999</v>
      </c>
      <c r="L1970" s="375">
        <v>2407.5445500000001</v>
      </c>
      <c r="M1970" s="375">
        <v>52430.677649999998</v>
      </c>
      <c r="N1970" s="372">
        <v>1.1459999999999999</v>
      </c>
      <c r="O1970" s="703">
        <v>6.2508772218696151</v>
      </c>
      <c r="P1970" s="375" t="s">
        <v>623</v>
      </c>
      <c r="Q1970" s="372" t="s">
        <v>623</v>
      </c>
      <c r="R1970" s="695">
        <v>20110712</v>
      </c>
      <c r="S1970" s="375" t="s">
        <v>12871</v>
      </c>
      <c r="T1970" s="696">
        <v>0.20900000000000002</v>
      </c>
      <c r="U1970" s="372" t="s">
        <v>12872</v>
      </c>
      <c r="V1970" s="722">
        <v>0</v>
      </c>
      <c r="W1970" s="722">
        <v>1.04</v>
      </c>
      <c r="X1970" s="722">
        <v>0</v>
      </c>
      <c r="Y1970" s="722">
        <v>0</v>
      </c>
      <c r="Z1970" s="382" t="s">
        <v>934</v>
      </c>
      <c r="AA1970" s="372">
        <v>204.10901559999999</v>
      </c>
      <c r="AB1970" s="372">
        <v>241.66396119999999</v>
      </c>
      <c r="AC1970" s="372">
        <v>287.04721590000003</v>
      </c>
      <c r="AD1970" s="372">
        <v>219.9461512</v>
      </c>
      <c r="AE1970" s="372">
        <v>0</v>
      </c>
      <c r="AF1970" s="372">
        <v>0</v>
      </c>
      <c r="AG1970" s="372">
        <v>0</v>
      </c>
      <c r="AH1970" s="372">
        <v>0</v>
      </c>
    </row>
    <row r="1971" spans="1:34">
      <c r="A1971" s="372" t="s">
        <v>12873</v>
      </c>
      <c r="B1971" s="373" t="s">
        <v>12874</v>
      </c>
      <c r="C1971" s="372" t="s">
        <v>12875</v>
      </c>
      <c r="D1971" s="374">
        <v>1341110170980</v>
      </c>
      <c r="E1971" s="372" t="s">
        <v>12876</v>
      </c>
      <c r="F1971" s="375" t="s">
        <v>4918</v>
      </c>
      <c r="G1971" s="375" t="s">
        <v>4918</v>
      </c>
      <c r="H1971" s="375" t="s">
        <v>868</v>
      </c>
      <c r="I1971" s="375" t="s">
        <v>869</v>
      </c>
      <c r="J1971" s="375">
        <v>15214.69859</v>
      </c>
      <c r="K1971" s="375">
        <v>3337.0806299999999</v>
      </c>
      <c r="L1971" s="375">
        <v>3424.1765500000001</v>
      </c>
      <c r="M1971" s="375">
        <v>31311.482650000002</v>
      </c>
      <c r="N1971" s="372">
        <v>0.99299999999999999</v>
      </c>
      <c r="O1971" s="703">
        <v>7.2631565820004615</v>
      </c>
      <c r="P1971" s="375" t="s">
        <v>623</v>
      </c>
      <c r="Q1971" s="372" t="s">
        <v>623</v>
      </c>
      <c r="R1971" s="695">
        <v>20161103</v>
      </c>
      <c r="S1971" s="372" t="s">
        <v>12877</v>
      </c>
      <c r="T1971" s="696">
        <v>0.20900000000000002</v>
      </c>
      <c r="U1971" s="372" t="s">
        <v>12878</v>
      </c>
      <c r="V1971" s="722">
        <v>14.6</v>
      </c>
      <c r="W1971" s="722">
        <v>1.85</v>
      </c>
      <c r="X1971" s="722">
        <v>3.81</v>
      </c>
      <c r="Y1971" s="722">
        <v>17.91</v>
      </c>
      <c r="Z1971" s="382" t="s">
        <v>934</v>
      </c>
      <c r="AA1971" s="372">
        <v>79.5713401</v>
      </c>
      <c r="AB1971" s="372">
        <v>117.6197746</v>
      </c>
      <c r="AC1971" s="372">
        <v>137.52579320000001</v>
      </c>
      <c r="AD1971" s="372">
        <v>152.1469859</v>
      </c>
      <c r="AE1971" s="372">
        <v>387</v>
      </c>
      <c r="AF1971" s="372">
        <v>0</v>
      </c>
      <c r="AG1971" s="372">
        <v>0</v>
      </c>
      <c r="AH1971" s="372">
        <v>0</v>
      </c>
    </row>
    <row r="1972" spans="1:34">
      <c r="A1972" s="372" t="s">
        <v>12879</v>
      </c>
      <c r="B1972" s="373" t="s">
        <v>12880</v>
      </c>
      <c r="C1972" s="372" t="s">
        <v>12881</v>
      </c>
      <c r="D1972" s="374">
        <v>1545110006076</v>
      </c>
      <c r="E1972" s="372" t="s">
        <v>12882</v>
      </c>
      <c r="F1972" s="372" t="s">
        <v>3266</v>
      </c>
      <c r="G1972" s="375" t="s">
        <v>3266</v>
      </c>
      <c r="H1972" s="375" t="s">
        <v>754</v>
      </c>
      <c r="I1972" s="375" t="s">
        <v>755</v>
      </c>
      <c r="J1972" s="375">
        <v>54334.550609999998</v>
      </c>
      <c r="K1972" s="375">
        <v>-7962.9848899999997</v>
      </c>
      <c r="L1972" s="375">
        <v>-15732.59974</v>
      </c>
      <c r="M1972" s="375">
        <v>25500.102559999999</v>
      </c>
      <c r="N1972" s="372">
        <v>0.86</v>
      </c>
      <c r="O1972" s="703">
        <v>112.14870157591723</v>
      </c>
      <c r="P1972" s="375" t="s">
        <v>623</v>
      </c>
      <c r="Q1972" s="375" t="s">
        <v>623</v>
      </c>
      <c r="R1972" s="695">
        <v>20020109</v>
      </c>
      <c r="S1972" s="375" t="s">
        <v>12883</v>
      </c>
      <c r="T1972" s="696" t="s">
        <v>772</v>
      </c>
      <c r="U1972" s="372" t="s">
        <v>12884</v>
      </c>
      <c r="V1972" s="722" t="s">
        <v>774</v>
      </c>
      <c r="W1972" s="722">
        <v>2.75</v>
      </c>
      <c r="X1972" s="722">
        <v>1.29</v>
      </c>
      <c r="Y1972" s="722" t="s">
        <v>774</v>
      </c>
      <c r="Z1972" s="382" t="s">
        <v>934</v>
      </c>
      <c r="AA1972" s="372">
        <v>668.57776990000002</v>
      </c>
      <c r="AB1972" s="372">
        <v>1014.4058388</v>
      </c>
      <c r="AC1972" s="372">
        <v>1243.4784228000001</v>
      </c>
      <c r="AD1972" s="372">
        <v>543.34550609999997</v>
      </c>
      <c r="AE1972" s="372">
        <v>0</v>
      </c>
      <c r="AF1972" s="372">
        <v>0</v>
      </c>
      <c r="AG1972" s="372">
        <v>0</v>
      </c>
      <c r="AH1972" s="372">
        <v>0</v>
      </c>
    </row>
    <row r="1973" spans="1:34">
      <c r="A1973" s="372" t="s">
        <v>12885</v>
      </c>
      <c r="B1973" s="373" t="s">
        <v>12886</v>
      </c>
      <c r="C1973" s="372" t="s">
        <v>12887</v>
      </c>
      <c r="D1973" s="374">
        <v>1601110395297</v>
      </c>
      <c r="E1973" s="372" t="s">
        <v>12888</v>
      </c>
      <c r="F1973" s="372" t="s">
        <v>2147</v>
      </c>
      <c r="G1973" s="375" t="s">
        <v>4273</v>
      </c>
      <c r="H1973" s="375" t="s">
        <v>868</v>
      </c>
      <c r="I1973" s="375" t="s">
        <v>869</v>
      </c>
      <c r="J1973" s="375">
        <v>12917.40365</v>
      </c>
      <c r="K1973" s="375">
        <v>-20572.115099999999</v>
      </c>
      <c r="L1973" s="375">
        <v>-18791.6656</v>
      </c>
      <c r="M1973" s="375">
        <v>8077.4311100000004</v>
      </c>
      <c r="N1973" s="372" t="s">
        <v>1033</v>
      </c>
      <c r="O1973" s="703">
        <v>40.040512124568437</v>
      </c>
      <c r="P1973" s="375" t="s">
        <v>623</v>
      </c>
      <c r="Q1973" s="372" t="s">
        <v>623</v>
      </c>
      <c r="R1973" s="695">
        <v>20221021</v>
      </c>
      <c r="S1973" s="372" t="s">
        <v>12889</v>
      </c>
      <c r="T1973" s="696" t="s">
        <v>772</v>
      </c>
      <c r="U1973" s="372" t="s">
        <v>12890</v>
      </c>
      <c r="V1973" s="722" t="s">
        <v>774</v>
      </c>
      <c r="W1973" s="722">
        <v>10.27</v>
      </c>
      <c r="X1973" s="722">
        <v>5.97</v>
      </c>
      <c r="Y1973" s="722" t="s">
        <v>774</v>
      </c>
      <c r="Z1973" s="382" t="s">
        <v>934</v>
      </c>
      <c r="AA1973" s="372">
        <v>29.5577288</v>
      </c>
      <c r="AB1973" s="372">
        <v>63.485400900000002</v>
      </c>
      <c r="AC1973" s="372">
        <v>133.05795649999999</v>
      </c>
      <c r="AD1973" s="372">
        <v>129.1740365</v>
      </c>
      <c r="AE1973" s="372">
        <v>826</v>
      </c>
      <c r="AF1973" s="372">
        <v>1461</v>
      </c>
      <c r="AG1973" s="372">
        <v>0</v>
      </c>
      <c r="AH1973" s="372">
        <v>0</v>
      </c>
    </row>
    <row r="1974" spans="1:34">
      <c r="A1974" s="372" t="s">
        <v>12891</v>
      </c>
      <c r="B1974" s="373" t="s">
        <v>12892</v>
      </c>
      <c r="C1974" s="372" t="s">
        <v>12893</v>
      </c>
      <c r="D1974" s="374">
        <v>1101111517709</v>
      </c>
      <c r="E1974" s="372" t="s">
        <v>12894</v>
      </c>
      <c r="F1974" s="372" t="s">
        <v>3627</v>
      </c>
      <c r="G1974" s="375" t="s">
        <v>3628</v>
      </c>
      <c r="H1974" s="375" t="s">
        <v>1388</v>
      </c>
      <c r="I1974" s="375" t="s">
        <v>869</v>
      </c>
      <c r="J1974" s="375">
        <v>13391.973889999999</v>
      </c>
      <c r="K1974" s="375">
        <v>-4392.3383299999996</v>
      </c>
      <c r="L1974" s="375">
        <v>-4810.9132600000003</v>
      </c>
      <c r="M1974" s="375">
        <v>25487.49683</v>
      </c>
      <c r="N1974" s="372" t="s">
        <v>1033</v>
      </c>
      <c r="O1974" s="703">
        <v>2.9289261407082354</v>
      </c>
      <c r="P1974" s="375" t="s">
        <v>16142</v>
      </c>
      <c r="Q1974" s="372" t="s">
        <v>16145</v>
      </c>
      <c r="R1974" s="695">
        <v>20091222</v>
      </c>
      <c r="S1974" s="372" t="s">
        <v>12895</v>
      </c>
      <c r="T1974" s="696" t="s">
        <v>772</v>
      </c>
      <c r="U1974" s="372" t="s">
        <v>12896</v>
      </c>
      <c r="V1974" s="722" t="s">
        <v>774</v>
      </c>
      <c r="W1974" s="722">
        <v>2.2000000000000002</v>
      </c>
      <c r="X1974" s="722">
        <v>3.84</v>
      </c>
      <c r="Y1974" s="722" t="s">
        <v>774</v>
      </c>
      <c r="Z1974" s="382" t="s">
        <v>934</v>
      </c>
      <c r="AA1974" s="372">
        <v>306.13070199999999</v>
      </c>
      <c r="AB1974" s="372">
        <v>274.28788070000002</v>
      </c>
      <c r="AC1974" s="372">
        <v>258.73130370000001</v>
      </c>
      <c r="AD1974" s="372">
        <v>133.9197389</v>
      </c>
      <c r="AE1974" s="372">
        <v>0</v>
      </c>
      <c r="AF1974" s="372">
        <v>0</v>
      </c>
      <c r="AG1974" s="372">
        <v>0</v>
      </c>
      <c r="AH1974" s="372">
        <v>0</v>
      </c>
    </row>
    <row r="1975" spans="1:34">
      <c r="A1975" s="372" t="s">
        <v>12897</v>
      </c>
      <c r="B1975" s="373" t="s">
        <v>12898</v>
      </c>
      <c r="C1975" s="372" t="s">
        <v>12899</v>
      </c>
      <c r="D1975" s="374">
        <v>1101112131821</v>
      </c>
      <c r="E1975" s="372" t="s">
        <v>12900</v>
      </c>
      <c r="F1975" s="372" t="s">
        <v>1104</v>
      </c>
      <c r="G1975" s="375" t="s">
        <v>1105</v>
      </c>
      <c r="H1975" s="375" t="s">
        <v>868</v>
      </c>
      <c r="I1975" s="375" t="s">
        <v>869</v>
      </c>
      <c r="J1975" s="375">
        <v>32698.314640000001</v>
      </c>
      <c r="K1975" s="375">
        <v>162.98683</v>
      </c>
      <c r="L1975" s="375">
        <v>-328.20467000000002</v>
      </c>
      <c r="M1975" s="375">
        <v>23649.890599999999</v>
      </c>
      <c r="N1975" s="372">
        <v>0.69799999999999995</v>
      </c>
      <c r="O1975" s="703">
        <v>59.614913021579085</v>
      </c>
      <c r="P1975" s="375" t="s">
        <v>623</v>
      </c>
      <c r="Q1975" s="372" t="s">
        <v>623</v>
      </c>
      <c r="R1975" s="695">
        <v>20170712</v>
      </c>
      <c r="S1975" s="372" t="s">
        <v>12901</v>
      </c>
      <c r="T1975" s="696" t="s">
        <v>772</v>
      </c>
      <c r="U1975" s="375" t="s">
        <v>12902</v>
      </c>
      <c r="V1975" s="722">
        <v>35.81</v>
      </c>
      <c r="W1975" s="722">
        <v>2.2200000000000002</v>
      </c>
      <c r="X1975" s="722">
        <v>1.77</v>
      </c>
      <c r="Y1975" s="722" t="s">
        <v>774</v>
      </c>
      <c r="Z1975" s="382" t="s">
        <v>934</v>
      </c>
      <c r="AA1975" s="372">
        <v>404.15611869999998</v>
      </c>
      <c r="AB1975" s="372">
        <v>439.1133226</v>
      </c>
      <c r="AC1975" s="372">
        <v>350.4459334</v>
      </c>
      <c r="AD1975" s="372">
        <v>326.98314640000001</v>
      </c>
      <c r="AE1975" s="372">
        <v>0</v>
      </c>
      <c r="AF1975" s="372">
        <v>0</v>
      </c>
      <c r="AG1975" s="372">
        <v>0</v>
      </c>
      <c r="AH1975" s="372">
        <v>0</v>
      </c>
    </row>
    <row r="1976" spans="1:34">
      <c r="A1976" s="372" t="s">
        <v>12903</v>
      </c>
      <c r="B1976" s="373" t="s">
        <v>12904</v>
      </c>
      <c r="C1976" s="372" t="s">
        <v>16198</v>
      </c>
      <c r="D1976" s="374">
        <v>1314110144073</v>
      </c>
      <c r="E1976" s="372" t="s">
        <v>16199</v>
      </c>
      <c r="F1976" s="372" t="s">
        <v>2098</v>
      </c>
      <c r="G1976" s="375" t="s">
        <v>2098</v>
      </c>
      <c r="H1976" s="375" t="s">
        <v>868</v>
      </c>
      <c r="I1976" s="375" t="s">
        <v>869</v>
      </c>
      <c r="J1976" s="375">
        <v>16989.304349999999</v>
      </c>
      <c r="K1976" s="375">
        <v>-13572.58115</v>
      </c>
      <c r="L1976" s="375">
        <v>-17569.62326</v>
      </c>
      <c r="M1976" s="375">
        <v>12898.33143</v>
      </c>
      <c r="N1976" s="372">
        <v>1.101</v>
      </c>
      <c r="O1976" s="703">
        <v>17.670748922775424</v>
      </c>
      <c r="P1976" s="375" t="s">
        <v>623</v>
      </c>
      <c r="Q1976" s="375" t="s">
        <v>623</v>
      </c>
      <c r="R1976" s="695">
        <v>20190725</v>
      </c>
      <c r="S1976" s="375" t="s">
        <v>12905</v>
      </c>
      <c r="T1976" s="696" t="s">
        <v>772</v>
      </c>
      <c r="U1976" s="372" t="s">
        <v>12906</v>
      </c>
      <c r="V1976" s="722">
        <v>0</v>
      </c>
      <c r="W1976" s="722">
        <v>2.83</v>
      </c>
      <c r="X1976" s="722">
        <v>0</v>
      </c>
      <c r="Y1976" s="722">
        <v>0</v>
      </c>
      <c r="Z1976" s="382" t="s">
        <v>934</v>
      </c>
      <c r="AA1976" s="372">
        <v>632.38933010000005</v>
      </c>
      <c r="AB1976" s="372">
        <v>361.06050649999997</v>
      </c>
      <c r="AC1976" s="372">
        <v>523.19150709999997</v>
      </c>
      <c r="AD1976" s="372">
        <v>169.8930435</v>
      </c>
      <c r="AE1976" s="372">
        <v>0</v>
      </c>
      <c r="AF1976" s="372">
        <v>0</v>
      </c>
      <c r="AG1976" s="372">
        <v>0</v>
      </c>
      <c r="AH1976" s="372">
        <v>0</v>
      </c>
    </row>
    <row r="1977" spans="1:34">
      <c r="A1977" s="372" t="s">
        <v>12907</v>
      </c>
      <c r="B1977" s="373" t="s">
        <v>12908</v>
      </c>
      <c r="C1977" s="372" t="s">
        <v>12909</v>
      </c>
      <c r="D1977" s="374">
        <v>1243110005515</v>
      </c>
      <c r="E1977" s="372" t="s">
        <v>12910</v>
      </c>
      <c r="F1977" s="372" t="s">
        <v>1334</v>
      </c>
      <c r="G1977" s="375" t="s">
        <v>1334</v>
      </c>
      <c r="H1977" s="375" t="s">
        <v>868</v>
      </c>
      <c r="I1977" s="375" t="s">
        <v>869</v>
      </c>
      <c r="J1977" s="375">
        <v>75110.698900000003</v>
      </c>
      <c r="K1977" s="375">
        <v>6365.1588700000002</v>
      </c>
      <c r="L1977" s="375">
        <v>1206.1330499999999</v>
      </c>
      <c r="M1977" s="375">
        <v>79869.460290000003</v>
      </c>
      <c r="N1977" s="372">
        <v>0.67400000000000004</v>
      </c>
      <c r="O1977" s="703">
        <v>176.96635788444343</v>
      </c>
      <c r="P1977" s="375" t="s">
        <v>623</v>
      </c>
      <c r="Q1977" s="372" t="s">
        <v>623</v>
      </c>
      <c r="R1977" s="695">
        <v>20141215</v>
      </c>
      <c r="S1977" s="372" t="s">
        <v>12911</v>
      </c>
      <c r="T1977" s="696">
        <v>0.20900000000000002</v>
      </c>
      <c r="U1977" s="372" t="s">
        <v>12912</v>
      </c>
      <c r="V1977" s="722">
        <v>9.81</v>
      </c>
      <c r="W1977" s="722">
        <v>0.69</v>
      </c>
      <c r="X1977" s="722">
        <v>0.76</v>
      </c>
      <c r="Y1977" s="722">
        <v>21.81</v>
      </c>
      <c r="Z1977" s="382" t="s">
        <v>934</v>
      </c>
      <c r="AA1977" s="372">
        <v>570.30365930000005</v>
      </c>
      <c r="AB1977" s="372">
        <v>620.79356719999998</v>
      </c>
      <c r="AC1977" s="372">
        <v>727.02521720000004</v>
      </c>
      <c r="AD1977" s="372">
        <v>751.106989</v>
      </c>
      <c r="AE1977" s="372">
        <v>0</v>
      </c>
      <c r="AF1977" s="372">
        <v>0</v>
      </c>
      <c r="AG1977" s="372">
        <v>0</v>
      </c>
      <c r="AH1977" s="372">
        <v>0</v>
      </c>
    </row>
    <row r="1978" spans="1:34">
      <c r="A1978" s="372" t="s">
        <v>12913</v>
      </c>
      <c r="B1978" s="373" t="s">
        <v>12914</v>
      </c>
      <c r="C1978" s="372" t="s">
        <v>12915</v>
      </c>
      <c r="D1978" s="374">
        <v>1101112605793</v>
      </c>
      <c r="E1978" s="372" t="s">
        <v>12916</v>
      </c>
      <c r="F1978" s="372" t="s">
        <v>1814</v>
      </c>
      <c r="G1978" s="375" t="s">
        <v>1815</v>
      </c>
      <c r="H1978" s="375" t="s">
        <v>1693</v>
      </c>
      <c r="I1978" s="375" t="s">
        <v>869</v>
      </c>
      <c r="J1978" s="375">
        <v>16773.679380000001</v>
      </c>
      <c r="K1978" s="375">
        <v>1861.5797399999999</v>
      </c>
      <c r="L1978" s="375">
        <v>2926.7612800000002</v>
      </c>
      <c r="M1978" s="375">
        <v>16676.527859999998</v>
      </c>
      <c r="N1978" s="372">
        <v>1.2669999999999999</v>
      </c>
      <c r="O1978" s="703">
        <v>2.0905035257662172</v>
      </c>
      <c r="P1978" s="375" t="s">
        <v>623</v>
      </c>
      <c r="Q1978" s="375" t="s">
        <v>623</v>
      </c>
      <c r="R1978" s="695">
        <v>20111202</v>
      </c>
      <c r="S1978" s="372" t="s">
        <v>12917</v>
      </c>
      <c r="T1978" s="696">
        <v>0.20900000000000002</v>
      </c>
      <c r="U1978" s="372" t="s">
        <v>12918</v>
      </c>
      <c r="V1978" s="722">
        <v>26.01</v>
      </c>
      <c r="W1978" s="722">
        <v>3.97</v>
      </c>
      <c r="X1978" s="722">
        <v>3.94</v>
      </c>
      <c r="Y1978" s="722">
        <v>25.21</v>
      </c>
      <c r="Z1978" s="382" t="s">
        <v>934</v>
      </c>
      <c r="AA1978" s="372">
        <v>298.05446619999998</v>
      </c>
      <c r="AB1978" s="372">
        <v>236.16289939999999</v>
      </c>
      <c r="AC1978" s="372">
        <v>194.29769490000001</v>
      </c>
      <c r="AD1978" s="372">
        <v>167.73679379999999</v>
      </c>
      <c r="AE1978" s="372">
        <v>0</v>
      </c>
      <c r="AF1978" s="372">
        <v>0</v>
      </c>
      <c r="AG1978" s="372">
        <v>0</v>
      </c>
      <c r="AH1978" s="372">
        <v>0</v>
      </c>
    </row>
    <row r="1979" spans="1:34">
      <c r="A1979" s="372" t="s">
        <v>12919</v>
      </c>
      <c r="B1979" s="373" t="s">
        <v>12920</v>
      </c>
      <c r="C1979" s="372" t="s">
        <v>12921</v>
      </c>
      <c r="D1979" s="374">
        <v>1942110000018</v>
      </c>
      <c r="E1979" s="372" t="s">
        <v>12922</v>
      </c>
      <c r="F1979" s="375" t="s">
        <v>8509</v>
      </c>
      <c r="G1979" s="375" t="s">
        <v>8510</v>
      </c>
      <c r="H1979" s="375" t="s">
        <v>1481</v>
      </c>
      <c r="I1979" s="375" t="s">
        <v>755</v>
      </c>
      <c r="J1979" s="375">
        <v>266280.93255999999</v>
      </c>
      <c r="K1979" s="375">
        <v>4059.0704000000001</v>
      </c>
      <c r="L1979" s="375">
        <v>-5349.9530100000002</v>
      </c>
      <c r="M1979" s="375">
        <v>160641.16998999999</v>
      </c>
      <c r="N1979" s="372">
        <v>0.94799999999999995</v>
      </c>
      <c r="O1979" s="703">
        <v>145.86368210336494</v>
      </c>
      <c r="P1979" s="375" t="s">
        <v>623</v>
      </c>
      <c r="Q1979" s="372" t="s">
        <v>623</v>
      </c>
      <c r="R1979" s="695">
        <v>19921223</v>
      </c>
      <c r="S1979" s="372" t="s">
        <v>12923</v>
      </c>
      <c r="T1979" s="696" t="s">
        <v>772</v>
      </c>
      <c r="U1979" s="372" t="s">
        <v>12924</v>
      </c>
      <c r="V1979" s="722">
        <v>9.1300000000000008</v>
      </c>
      <c r="W1979" s="722">
        <v>0.4</v>
      </c>
      <c r="X1979" s="722">
        <v>0.23</v>
      </c>
      <c r="Y1979" s="722" t="s">
        <v>774</v>
      </c>
      <c r="Z1979" s="382" t="s">
        <v>934</v>
      </c>
      <c r="AA1979" s="372">
        <v>2323.6562730999999</v>
      </c>
      <c r="AB1979" s="372">
        <v>2603.5942224999999</v>
      </c>
      <c r="AC1979" s="372">
        <v>2534.9095302999999</v>
      </c>
      <c r="AD1979" s="372">
        <v>2662.8093256000002</v>
      </c>
      <c r="AE1979" s="372">
        <v>0</v>
      </c>
      <c r="AF1979" s="372">
        <v>0</v>
      </c>
      <c r="AG1979" s="372">
        <v>0</v>
      </c>
      <c r="AH1979" s="372">
        <v>0</v>
      </c>
    </row>
    <row r="1980" spans="1:34">
      <c r="A1980" s="372" t="s">
        <v>12925</v>
      </c>
      <c r="B1980" s="373" t="s">
        <v>12926</v>
      </c>
      <c r="C1980" s="372" t="s">
        <v>12927</v>
      </c>
      <c r="D1980" s="374">
        <v>1244110005688</v>
      </c>
      <c r="E1980" s="372" t="s">
        <v>12928</v>
      </c>
      <c r="F1980" s="375" t="s">
        <v>16200</v>
      </c>
      <c r="G1980" s="375" t="s">
        <v>16200</v>
      </c>
      <c r="H1980" s="375" t="s">
        <v>3127</v>
      </c>
      <c r="I1980" s="375" t="s">
        <v>869</v>
      </c>
      <c r="J1980" s="375">
        <v>102947.09016000001</v>
      </c>
      <c r="K1980" s="375">
        <v>12426.94801</v>
      </c>
      <c r="L1980" s="375">
        <v>13946.278109999999</v>
      </c>
      <c r="M1980" s="375">
        <v>176181.19967</v>
      </c>
      <c r="N1980" s="372">
        <v>0.93</v>
      </c>
      <c r="O1980" s="703">
        <v>19.942384507042252</v>
      </c>
      <c r="P1980" s="375" t="s">
        <v>623</v>
      </c>
      <c r="Q1980" s="372" t="s">
        <v>623</v>
      </c>
      <c r="R1980" s="695">
        <v>19930527</v>
      </c>
      <c r="S1980" s="372" t="s">
        <v>12929</v>
      </c>
      <c r="T1980" s="696">
        <v>0.20900000000000002</v>
      </c>
      <c r="U1980" s="372" t="s">
        <v>12930</v>
      </c>
      <c r="V1980" s="722">
        <v>4.6399999999999997</v>
      </c>
      <c r="W1980" s="722">
        <v>0.33</v>
      </c>
      <c r="X1980" s="722">
        <v>0.57999999999999996</v>
      </c>
      <c r="Y1980" s="722">
        <v>5.43</v>
      </c>
      <c r="Z1980" s="382" t="s">
        <v>934</v>
      </c>
      <c r="AA1980" s="372">
        <v>770.54775930000005</v>
      </c>
      <c r="AB1980" s="372">
        <v>930.25796809999997</v>
      </c>
      <c r="AC1980" s="372">
        <v>1008.9967022</v>
      </c>
      <c r="AD1980" s="372">
        <v>1029.4709015999999</v>
      </c>
      <c r="AE1980" s="372">
        <v>0</v>
      </c>
      <c r="AF1980" s="372">
        <v>0</v>
      </c>
      <c r="AG1980" s="372">
        <v>0</v>
      </c>
      <c r="AH1980" s="372">
        <v>0</v>
      </c>
    </row>
    <row r="1981" spans="1:34">
      <c r="A1981" s="372" t="s">
        <v>12931</v>
      </c>
      <c r="B1981" s="373" t="s">
        <v>12932</v>
      </c>
      <c r="C1981" s="372" t="s">
        <v>12933</v>
      </c>
      <c r="D1981" s="374">
        <v>1101111651242</v>
      </c>
      <c r="E1981" s="372" t="s">
        <v>12934</v>
      </c>
      <c r="F1981" s="372" t="s">
        <v>1285</v>
      </c>
      <c r="G1981" s="375" t="s">
        <v>1285</v>
      </c>
      <c r="H1981" s="375" t="s">
        <v>1388</v>
      </c>
      <c r="I1981" s="375" t="s">
        <v>869</v>
      </c>
      <c r="J1981" s="375">
        <v>75763.93634</v>
      </c>
      <c r="K1981" s="375">
        <v>-8603.0187100000003</v>
      </c>
      <c r="L1981" s="375">
        <v>-11799.89414</v>
      </c>
      <c r="M1981" s="375">
        <v>82584.343410000001</v>
      </c>
      <c r="N1981" s="372">
        <v>0.88600000000000001</v>
      </c>
      <c r="O1981" s="703">
        <v>139.86982543188381</v>
      </c>
      <c r="P1981" s="375" t="s">
        <v>623</v>
      </c>
      <c r="Q1981" s="372" t="s">
        <v>623</v>
      </c>
      <c r="R1981" s="695">
        <v>20071012</v>
      </c>
      <c r="S1981" s="372" t="s">
        <v>12935</v>
      </c>
      <c r="T1981" s="696" t="s">
        <v>772</v>
      </c>
      <c r="U1981" s="372" t="s">
        <v>12936</v>
      </c>
      <c r="V1981" s="722">
        <v>171.24</v>
      </c>
      <c r="W1981" s="722">
        <v>0.65</v>
      </c>
      <c r="X1981" s="722">
        <v>0.96</v>
      </c>
      <c r="Y1981" s="722" t="s">
        <v>774</v>
      </c>
      <c r="Z1981" s="382" t="s">
        <v>934</v>
      </c>
      <c r="AA1981" s="372">
        <v>1196.6305339</v>
      </c>
      <c r="AB1981" s="372">
        <v>957.27571590000002</v>
      </c>
      <c r="AC1981" s="372">
        <v>989.00190650000002</v>
      </c>
      <c r="AD1981" s="372">
        <v>757.63936339999998</v>
      </c>
      <c r="AE1981" s="372">
        <v>0</v>
      </c>
      <c r="AF1981" s="372">
        <v>0</v>
      </c>
      <c r="AG1981" s="372">
        <v>0</v>
      </c>
      <c r="AH1981" s="372">
        <v>0</v>
      </c>
    </row>
    <row r="1982" spans="1:34">
      <c r="A1982" s="372" t="s">
        <v>12937</v>
      </c>
      <c r="B1982" s="373" t="s">
        <v>12938</v>
      </c>
      <c r="C1982" s="372" t="s">
        <v>12939</v>
      </c>
      <c r="D1982" s="374">
        <v>1101111858814</v>
      </c>
      <c r="E1982" s="372" t="s">
        <v>12940</v>
      </c>
      <c r="F1982" s="375" t="s">
        <v>5824</v>
      </c>
      <c r="G1982" s="375" t="s">
        <v>5824</v>
      </c>
      <c r="H1982" s="375" t="s">
        <v>1693</v>
      </c>
      <c r="I1982" s="375" t="s">
        <v>869</v>
      </c>
      <c r="J1982" s="375">
        <v>138664.49677999999</v>
      </c>
      <c r="K1982" s="375">
        <v>5149.0459700000001</v>
      </c>
      <c r="L1982" s="375">
        <v>5884.0313100000003</v>
      </c>
      <c r="M1982" s="375">
        <v>37893.738810000003</v>
      </c>
      <c r="N1982" s="372">
        <v>0.95099999999999996</v>
      </c>
      <c r="O1982" s="703">
        <v>51.477580492399611</v>
      </c>
      <c r="P1982" s="375" t="s">
        <v>623</v>
      </c>
      <c r="Q1982" s="372" t="s">
        <v>623</v>
      </c>
      <c r="R1982" s="695">
        <v>20041229</v>
      </c>
      <c r="S1982" s="372" t="s">
        <v>12941</v>
      </c>
      <c r="T1982" s="696">
        <v>0.20900000000000002</v>
      </c>
      <c r="U1982" s="372" t="s">
        <v>12942</v>
      </c>
      <c r="V1982" s="722">
        <v>8.52</v>
      </c>
      <c r="W1982" s="722">
        <v>1.21</v>
      </c>
      <c r="X1982" s="722">
        <v>0.4</v>
      </c>
      <c r="Y1982" s="722">
        <v>12.06</v>
      </c>
      <c r="Z1982" s="382" t="s">
        <v>934</v>
      </c>
      <c r="AA1982" s="372">
        <v>970.28088449999996</v>
      </c>
      <c r="AB1982" s="372">
        <v>1052.9284723999999</v>
      </c>
      <c r="AC1982" s="372">
        <v>1128.9833082</v>
      </c>
      <c r="AD1982" s="372">
        <v>1386.6449677999999</v>
      </c>
      <c r="AE1982" s="372">
        <v>0</v>
      </c>
      <c r="AF1982" s="372">
        <v>0</v>
      </c>
      <c r="AG1982" s="372">
        <v>0</v>
      </c>
      <c r="AH1982" s="372">
        <v>0</v>
      </c>
    </row>
    <row r="1983" spans="1:34">
      <c r="A1983" s="372" t="s">
        <v>12943</v>
      </c>
      <c r="B1983" s="373" t="s">
        <v>12944</v>
      </c>
      <c r="C1983" s="372" t="s">
        <v>12945</v>
      </c>
      <c r="D1983" s="374">
        <v>1701110020694</v>
      </c>
      <c r="E1983" s="372" t="s">
        <v>12946</v>
      </c>
      <c r="F1983" s="375" t="s">
        <v>3020</v>
      </c>
      <c r="G1983" s="375" t="s">
        <v>3020</v>
      </c>
      <c r="H1983" s="375" t="s">
        <v>868</v>
      </c>
      <c r="I1983" s="375" t="s">
        <v>869</v>
      </c>
      <c r="J1983" s="375">
        <v>193044.82225</v>
      </c>
      <c r="K1983" s="375">
        <v>5906.8790200000003</v>
      </c>
      <c r="L1983" s="375">
        <v>14825.82173</v>
      </c>
      <c r="M1983" s="375">
        <v>356738.25588999997</v>
      </c>
      <c r="N1983" s="372" t="s">
        <v>1033</v>
      </c>
      <c r="O1983" s="703">
        <v>0</v>
      </c>
      <c r="P1983" s="375" t="s">
        <v>623</v>
      </c>
      <c r="Q1983" s="375" t="s">
        <v>623</v>
      </c>
      <c r="R1983" s="695">
        <v>19941222</v>
      </c>
      <c r="S1983" s="375" t="s">
        <v>12947</v>
      </c>
      <c r="T1983" s="696">
        <v>0.20900000000000002</v>
      </c>
      <c r="U1983" s="372" t="s">
        <v>11400</v>
      </c>
      <c r="V1983" s="722">
        <v>0</v>
      </c>
      <c r="W1983" s="722">
        <v>0.15</v>
      </c>
      <c r="X1983" s="722">
        <v>0</v>
      </c>
      <c r="Y1983" s="722">
        <v>0</v>
      </c>
      <c r="Z1983" s="382" t="s">
        <v>934</v>
      </c>
      <c r="AA1983" s="372">
        <v>1560.4170389999999</v>
      </c>
      <c r="AB1983" s="372">
        <v>2100.9446684999998</v>
      </c>
      <c r="AC1983" s="372">
        <v>1711.3363472000001</v>
      </c>
      <c r="AD1983" s="372">
        <v>1930.4482224999999</v>
      </c>
      <c r="AE1983" s="372">
        <v>0</v>
      </c>
      <c r="AF1983" s="372">
        <v>0</v>
      </c>
      <c r="AG1983" s="372">
        <v>0</v>
      </c>
      <c r="AH1983" s="372">
        <v>0</v>
      </c>
    </row>
    <row r="1984" spans="1:34">
      <c r="A1984" s="372" t="s">
        <v>12948</v>
      </c>
      <c r="B1984" s="373" t="s">
        <v>12949</v>
      </c>
      <c r="C1984" s="372" t="s">
        <v>12950</v>
      </c>
      <c r="D1984" s="374">
        <v>1345110000387</v>
      </c>
      <c r="E1984" s="372" t="s">
        <v>12951</v>
      </c>
      <c r="F1984" s="375" t="s">
        <v>11070</v>
      </c>
      <c r="G1984" s="375" t="s">
        <v>12952</v>
      </c>
      <c r="H1984" s="375" t="s">
        <v>832</v>
      </c>
      <c r="I1984" s="375" t="s">
        <v>755</v>
      </c>
      <c r="J1984" s="375">
        <v>54512.150090000003</v>
      </c>
      <c r="K1984" s="375">
        <v>3960.0050299999998</v>
      </c>
      <c r="L1984" s="375">
        <v>3974.84076</v>
      </c>
      <c r="M1984" s="375">
        <v>32215.82861</v>
      </c>
      <c r="N1984" s="372">
        <v>1.069</v>
      </c>
      <c r="O1984" s="703">
        <v>16.081860579268291</v>
      </c>
      <c r="P1984" s="375" t="s">
        <v>623</v>
      </c>
      <c r="Q1984" s="372" t="s">
        <v>623</v>
      </c>
      <c r="R1984" s="695">
        <v>19890930</v>
      </c>
      <c r="S1984" s="372" t="s">
        <v>12953</v>
      </c>
      <c r="T1984" s="696">
        <v>0.20900000000000002</v>
      </c>
      <c r="U1984" s="372" t="s">
        <v>12954</v>
      </c>
      <c r="V1984" s="722">
        <v>11.64</v>
      </c>
      <c r="W1984" s="722">
        <v>2</v>
      </c>
      <c r="X1984" s="722">
        <v>1.18</v>
      </c>
      <c r="Y1984" s="722">
        <v>17.579999999999998</v>
      </c>
      <c r="Z1984" s="382" t="s">
        <v>934</v>
      </c>
      <c r="AA1984" s="372">
        <v>371.16140300000001</v>
      </c>
      <c r="AB1984" s="372">
        <v>530.69415709999998</v>
      </c>
      <c r="AC1984" s="372">
        <v>527.20489759999998</v>
      </c>
      <c r="AD1984" s="372">
        <v>545.1215009</v>
      </c>
      <c r="AE1984" s="372">
        <v>0</v>
      </c>
      <c r="AF1984" s="372">
        <v>0</v>
      </c>
      <c r="AG1984" s="372">
        <v>0</v>
      </c>
      <c r="AH1984" s="372">
        <v>0</v>
      </c>
    </row>
    <row r="1985" spans="1:34">
      <c r="A1985" s="372" t="s">
        <v>12955</v>
      </c>
      <c r="B1985" s="373" t="s">
        <v>12956</v>
      </c>
      <c r="C1985" s="372" t="s">
        <v>12957</v>
      </c>
      <c r="D1985" s="374">
        <v>1201110590960</v>
      </c>
      <c r="E1985" s="372" t="s">
        <v>12958</v>
      </c>
      <c r="F1985" s="375" t="s">
        <v>1104</v>
      </c>
      <c r="G1985" s="375" t="s">
        <v>1105</v>
      </c>
      <c r="H1985" s="375" t="s">
        <v>868</v>
      </c>
      <c r="I1985" s="375" t="s">
        <v>869</v>
      </c>
      <c r="J1985" s="375">
        <v>0</v>
      </c>
      <c r="K1985" s="375">
        <v>0</v>
      </c>
      <c r="L1985" s="375">
        <v>0</v>
      </c>
      <c r="M1985" s="375">
        <v>35095.906110000004</v>
      </c>
      <c r="N1985" s="372" t="s">
        <v>1033</v>
      </c>
      <c r="O1985" s="703">
        <v>44.493070903597037</v>
      </c>
      <c r="P1985" s="375" t="s">
        <v>623</v>
      </c>
      <c r="Q1985" s="375" t="s">
        <v>623</v>
      </c>
      <c r="R1985" s="695">
        <v>20230724</v>
      </c>
      <c r="S1985" s="375" t="s">
        <v>12959</v>
      </c>
      <c r="T1985" s="696" t="s">
        <v>772</v>
      </c>
      <c r="U1985" s="372" t="s">
        <v>12960</v>
      </c>
      <c r="V1985" s="722">
        <v>0</v>
      </c>
      <c r="W1985" s="722">
        <v>1.67</v>
      </c>
      <c r="X1985" s="722">
        <v>0</v>
      </c>
      <c r="Y1985" s="722">
        <v>0</v>
      </c>
      <c r="Z1985" s="382" t="s">
        <v>934</v>
      </c>
      <c r="AA1985" s="372">
        <v>371.01580580000001</v>
      </c>
      <c r="AB1985" s="372">
        <v>411.63709119999999</v>
      </c>
      <c r="AC1985" s="372">
        <v>589.36831849999999</v>
      </c>
      <c r="AD1985" s="372">
        <v>809.03510900000003</v>
      </c>
      <c r="AE1985" s="372">
        <v>0</v>
      </c>
      <c r="AF1985" s="372">
        <v>0</v>
      </c>
      <c r="AG1985" s="372">
        <v>0</v>
      </c>
      <c r="AH1985" s="372">
        <v>0</v>
      </c>
    </row>
    <row r="1986" spans="1:34">
      <c r="A1986" s="372" t="s">
        <v>12961</v>
      </c>
      <c r="B1986" s="373" t="s">
        <v>12962</v>
      </c>
      <c r="C1986" s="372" t="s">
        <v>12963</v>
      </c>
      <c r="D1986" s="374">
        <v>1101110005052</v>
      </c>
      <c r="E1986" s="372" t="s">
        <v>12964</v>
      </c>
      <c r="F1986" s="372" t="s">
        <v>12965</v>
      </c>
      <c r="G1986" s="375" t="s">
        <v>12966</v>
      </c>
      <c r="H1986" s="375" t="s">
        <v>853</v>
      </c>
      <c r="I1986" s="375" t="s">
        <v>755</v>
      </c>
      <c r="J1986" s="375">
        <v>141452.79287999999</v>
      </c>
      <c r="K1986" s="375">
        <v>-2268.34231</v>
      </c>
      <c r="L1986" s="375">
        <v>-5203.5571799999998</v>
      </c>
      <c r="M1986" s="375">
        <v>98778.063630000004</v>
      </c>
      <c r="N1986" s="372">
        <v>1.0309999999999999</v>
      </c>
      <c r="O1986" s="703">
        <v>145.88886454730741</v>
      </c>
      <c r="P1986" s="375" t="s">
        <v>623</v>
      </c>
      <c r="Q1986" s="372" t="s">
        <v>623</v>
      </c>
      <c r="R1986" s="695">
        <v>19740626</v>
      </c>
      <c r="S1986" s="372" t="s">
        <v>12967</v>
      </c>
      <c r="T1986" s="696" t="s">
        <v>772</v>
      </c>
      <c r="U1986" s="372" t="s">
        <v>12968</v>
      </c>
      <c r="V1986" s="722">
        <v>17.489999999999998</v>
      </c>
      <c r="W1986" s="722">
        <v>0.6</v>
      </c>
      <c r="X1986" s="722">
        <v>0.41</v>
      </c>
      <c r="Y1986" s="722" t="s">
        <v>774</v>
      </c>
      <c r="Z1986" s="382" t="s">
        <v>934</v>
      </c>
      <c r="AA1986" s="372">
        <v>1277.62923</v>
      </c>
      <c r="AB1986" s="372">
        <v>1322.3589942999999</v>
      </c>
      <c r="AC1986" s="372">
        <v>1495.3221026000001</v>
      </c>
      <c r="AD1986" s="372">
        <v>1414.5279287999999</v>
      </c>
      <c r="AE1986" s="372">
        <v>0</v>
      </c>
      <c r="AF1986" s="372">
        <v>0</v>
      </c>
      <c r="AG1986" s="372">
        <v>0</v>
      </c>
      <c r="AH1986" s="372">
        <v>0</v>
      </c>
    </row>
    <row r="1987" spans="1:34">
      <c r="A1987" s="372" t="s">
        <v>12969</v>
      </c>
      <c r="B1987" s="373" t="s">
        <v>12970</v>
      </c>
      <c r="C1987" s="372" t="s">
        <v>12971</v>
      </c>
      <c r="D1987" s="374">
        <v>1101114339415</v>
      </c>
      <c r="E1987" s="372" t="s">
        <v>12972</v>
      </c>
      <c r="F1987" s="372" t="s">
        <v>3020</v>
      </c>
      <c r="G1987" s="375" t="s">
        <v>3020</v>
      </c>
      <c r="H1987" s="375" t="s">
        <v>868</v>
      </c>
      <c r="I1987" s="375" t="s">
        <v>869</v>
      </c>
      <c r="J1987" s="375">
        <v>359878.25034000003</v>
      </c>
      <c r="K1987" s="375">
        <v>8707.2741700000006</v>
      </c>
      <c r="L1987" s="375">
        <v>10521.049419999999</v>
      </c>
      <c r="M1987" s="375">
        <v>118135.94577999999</v>
      </c>
      <c r="N1987" s="372">
        <v>1.1739999999999999</v>
      </c>
      <c r="O1987" s="703">
        <v>29.287331156844537</v>
      </c>
      <c r="P1987" s="375" t="s">
        <v>623</v>
      </c>
      <c r="Q1987" s="375" t="s">
        <v>623</v>
      </c>
      <c r="R1987" s="695">
        <v>20100831</v>
      </c>
      <c r="S1987" s="375" t="s">
        <v>11342</v>
      </c>
      <c r="T1987" s="696">
        <v>0.20900000000000002</v>
      </c>
      <c r="U1987" s="372" t="s">
        <v>12973</v>
      </c>
      <c r="V1987" s="722">
        <v>0</v>
      </c>
      <c r="W1987" s="722">
        <v>0.52</v>
      </c>
      <c r="X1987" s="722">
        <v>0</v>
      </c>
      <c r="Y1987" s="722">
        <v>0</v>
      </c>
      <c r="Z1987" s="382" t="s">
        <v>934</v>
      </c>
      <c r="AA1987" s="372">
        <v>2471.1069610999998</v>
      </c>
      <c r="AB1987" s="372">
        <v>2547.4194416</v>
      </c>
      <c r="AC1987" s="372">
        <v>3179.4197869999998</v>
      </c>
      <c r="AD1987" s="372">
        <v>3598.7825034000002</v>
      </c>
      <c r="AE1987" s="372">
        <v>0</v>
      </c>
      <c r="AF1987" s="372">
        <v>0</v>
      </c>
      <c r="AG1987" s="372">
        <v>0</v>
      </c>
      <c r="AH1987" s="372">
        <v>0</v>
      </c>
    </row>
    <row r="1988" spans="1:34">
      <c r="A1988" s="372" t="s">
        <v>12974</v>
      </c>
      <c r="B1988" s="373" t="s">
        <v>12975</v>
      </c>
      <c r="C1988" s="372" t="s">
        <v>12976</v>
      </c>
      <c r="D1988" s="374">
        <v>2101110058935</v>
      </c>
      <c r="E1988" s="372" t="s">
        <v>12977</v>
      </c>
      <c r="F1988" s="375" t="s">
        <v>770</v>
      </c>
      <c r="G1988" s="375" t="s">
        <v>11656</v>
      </c>
      <c r="H1988" s="375" t="s">
        <v>1388</v>
      </c>
      <c r="I1988" s="375" t="s">
        <v>869</v>
      </c>
      <c r="J1988" s="375">
        <v>12513.645270000001</v>
      </c>
      <c r="K1988" s="375">
        <v>-5442.5153</v>
      </c>
      <c r="L1988" s="375">
        <v>-5651.52952</v>
      </c>
      <c r="M1988" s="375">
        <v>28985.865389999999</v>
      </c>
      <c r="N1988" s="372" t="s">
        <v>1033</v>
      </c>
      <c r="O1988" s="703">
        <v>17.697976491252497</v>
      </c>
      <c r="P1988" s="375" t="s">
        <v>623</v>
      </c>
      <c r="Q1988" s="372" t="s">
        <v>623</v>
      </c>
      <c r="R1988" s="695">
        <v>20230803</v>
      </c>
      <c r="S1988" s="372" t="s">
        <v>12978</v>
      </c>
      <c r="T1988" s="696" t="s">
        <v>772</v>
      </c>
      <c r="U1988" s="372" t="s">
        <v>12979</v>
      </c>
      <c r="V1988" s="722">
        <v>0</v>
      </c>
      <c r="W1988" s="722">
        <v>1.79</v>
      </c>
      <c r="X1988" s="722">
        <v>0</v>
      </c>
      <c r="Y1988" s="722">
        <v>0</v>
      </c>
      <c r="Z1988" s="382" t="s">
        <v>934</v>
      </c>
      <c r="AA1988" s="372">
        <v>119.804986</v>
      </c>
      <c r="AB1988" s="372">
        <v>154.9467349</v>
      </c>
      <c r="AC1988" s="372">
        <v>145.21214320000001</v>
      </c>
      <c r="AD1988" s="372">
        <v>125.13645270000001</v>
      </c>
      <c r="AE1988" s="372">
        <v>0</v>
      </c>
      <c r="AF1988" s="372">
        <v>0</v>
      </c>
      <c r="AG1988" s="372">
        <v>0</v>
      </c>
      <c r="AH1988" s="372">
        <v>0</v>
      </c>
    </row>
    <row r="1989" spans="1:34">
      <c r="A1989" s="372" t="s">
        <v>12980</v>
      </c>
      <c r="B1989" s="373" t="s">
        <v>12981</v>
      </c>
      <c r="C1989" s="372" t="s">
        <v>12982</v>
      </c>
      <c r="D1989" s="374">
        <v>1311110035640</v>
      </c>
      <c r="E1989" s="372" t="s">
        <v>12983</v>
      </c>
      <c r="F1989" s="375" t="s">
        <v>1673</v>
      </c>
      <c r="G1989" s="375" t="s">
        <v>1673</v>
      </c>
      <c r="H1989" s="375" t="s">
        <v>1388</v>
      </c>
      <c r="I1989" s="375" t="s">
        <v>869</v>
      </c>
      <c r="J1989" s="375">
        <v>15184.77383</v>
      </c>
      <c r="K1989" s="375">
        <v>-10107.4139</v>
      </c>
      <c r="L1989" s="375">
        <v>-7937.0277100000003</v>
      </c>
      <c r="M1989" s="375">
        <v>55962.361850000001</v>
      </c>
      <c r="N1989" s="372">
        <v>0.71599999999999997</v>
      </c>
      <c r="O1989" s="703">
        <v>8.6929752763545837E-2</v>
      </c>
      <c r="P1989" s="375" t="s">
        <v>16142</v>
      </c>
      <c r="Q1989" s="372" t="s">
        <v>16145</v>
      </c>
      <c r="R1989" s="695">
        <v>20060725</v>
      </c>
      <c r="S1989" s="372" t="s">
        <v>12984</v>
      </c>
      <c r="T1989" s="696" t="s">
        <v>772</v>
      </c>
      <c r="U1989" s="372" t="s">
        <v>12985</v>
      </c>
      <c r="V1989" s="722">
        <v>0</v>
      </c>
      <c r="W1989" s="722">
        <v>0.82</v>
      </c>
      <c r="X1989" s="722">
        <v>0</v>
      </c>
      <c r="Y1989" s="722">
        <v>0</v>
      </c>
      <c r="Z1989" s="382" t="s">
        <v>934</v>
      </c>
      <c r="AA1989" s="372">
        <v>367.13520999999997</v>
      </c>
      <c r="AB1989" s="372">
        <v>288.04980999999998</v>
      </c>
      <c r="AC1989" s="372">
        <v>210.12864680000001</v>
      </c>
      <c r="AD1989" s="372">
        <v>151.8477383</v>
      </c>
      <c r="AE1989" s="372">
        <v>0</v>
      </c>
      <c r="AF1989" s="372">
        <v>0</v>
      </c>
      <c r="AG1989" s="372">
        <v>0</v>
      </c>
      <c r="AH1989" s="372">
        <v>0</v>
      </c>
    </row>
    <row r="1990" spans="1:34">
      <c r="A1990" s="372" t="s">
        <v>12986</v>
      </c>
      <c r="B1990" s="373" t="s">
        <v>12987</v>
      </c>
      <c r="C1990" s="372" t="s">
        <v>16201</v>
      </c>
      <c r="D1990" s="374">
        <v>1101114327915</v>
      </c>
      <c r="E1990" s="372" t="s">
        <v>16202</v>
      </c>
      <c r="F1990" s="375" t="s">
        <v>1062</v>
      </c>
      <c r="G1990" s="375" t="s">
        <v>1062</v>
      </c>
      <c r="H1990" s="375" t="s">
        <v>868</v>
      </c>
      <c r="I1990" s="375" t="s">
        <v>869</v>
      </c>
      <c r="J1990" s="375">
        <v>1322.1038900000001</v>
      </c>
      <c r="K1990" s="375">
        <v>-4017.1818899999998</v>
      </c>
      <c r="L1990" s="375">
        <v>-5023.4795199999999</v>
      </c>
      <c r="M1990" s="375">
        <v>18902.868460000002</v>
      </c>
      <c r="N1990" s="372">
        <v>0.94199999999999995</v>
      </c>
      <c r="O1990" s="703">
        <v>12.901683977139999</v>
      </c>
      <c r="P1990" s="375" t="s">
        <v>623</v>
      </c>
      <c r="Q1990" s="372" t="s">
        <v>623</v>
      </c>
      <c r="R1990" s="695">
        <v>20190201</v>
      </c>
      <c r="S1990" s="372" t="s">
        <v>12988</v>
      </c>
      <c r="T1990" s="696" t="s">
        <v>772</v>
      </c>
      <c r="U1990" s="372" t="s">
        <v>12989</v>
      </c>
      <c r="V1990" s="722" t="s">
        <v>774</v>
      </c>
      <c r="W1990" s="722">
        <v>3.42</v>
      </c>
      <c r="X1990" s="722">
        <v>42.62</v>
      </c>
      <c r="Y1990" s="722" t="s">
        <v>774</v>
      </c>
      <c r="Z1990" s="382" t="s">
        <v>934</v>
      </c>
      <c r="AA1990" s="372">
        <v>5.9618880000000001</v>
      </c>
      <c r="AB1990" s="372">
        <v>5.0728856000000002</v>
      </c>
      <c r="AC1990" s="372">
        <v>3.6977647999999999</v>
      </c>
      <c r="AD1990" s="372">
        <v>13.2210389</v>
      </c>
      <c r="AE1990" s="372">
        <v>0</v>
      </c>
      <c r="AF1990" s="372">
        <v>0</v>
      </c>
      <c r="AG1990" s="372">
        <v>0</v>
      </c>
      <c r="AH1990" s="372">
        <v>0</v>
      </c>
    </row>
    <row r="1991" spans="1:34">
      <c r="A1991" s="372" t="s">
        <v>12990</v>
      </c>
      <c r="B1991" s="373" t="s">
        <v>12991</v>
      </c>
      <c r="C1991" s="372" t="s">
        <v>16203</v>
      </c>
      <c r="D1991" s="374">
        <v>1601110091332</v>
      </c>
      <c r="E1991" s="372" t="s">
        <v>16104</v>
      </c>
      <c r="F1991" s="372" t="s">
        <v>3708</v>
      </c>
      <c r="G1991" s="375" t="s">
        <v>3708</v>
      </c>
      <c r="H1991" s="375" t="s">
        <v>1348</v>
      </c>
      <c r="I1991" s="375" t="s">
        <v>869</v>
      </c>
      <c r="J1991" s="375">
        <v>18245.31612</v>
      </c>
      <c r="K1991" s="375">
        <v>-5163.8511600000002</v>
      </c>
      <c r="L1991" s="375">
        <v>-6138.6498000000001</v>
      </c>
      <c r="M1991" s="375">
        <v>35794.050179999998</v>
      </c>
      <c r="N1991" s="372">
        <v>1.33</v>
      </c>
      <c r="O1991" s="703">
        <v>4.3710510508737848</v>
      </c>
      <c r="P1991" s="375" t="s">
        <v>623</v>
      </c>
      <c r="Q1991" s="372" t="s">
        <v>623</v>
      </c>
      <c r="R1991" s="695">
        <v>20141126</v>
      </c>
      <c r="S1991" s="372" t="s">
        <v>12992</v>
      </c>
      <c r="T1991" s="696" t="s">
        <v>772</v>
      </c>
      <c r="U1991" s="372" t="s">
        <v>12993</v>
      </c>
      <c r="V1991" s="722">
        <v>69.430000000000007</v>
      </c>
      <c r="W1991" s="722">
        <v>2.08</v>
      </c>
      <c r="X1991" s="722">
        <v>3.75</v>
      </c>
      <c r="Y1991" s="722">
        <v>8.5399999999999991</v>
      </c>
      <c r="Z1991" s="382" t="s">
        <v>934</v>
      </c>
      <c r="AA1991" s="372">
        <v>804.52923980000003</v>
      </c>
      <c r="AB1991" s="372">
        <v>1011.6965423</v>
      </c>
      <c r="AC1991" s="372">
        <v>220.04336369999999</v>
      </c>
      <c r="AD1991" s="372">
        <v>182.45316120000001</v>
      </c>
      <c r="AE1991" s="372">
        <v>0</v>
      </c>
      <c r="AF1991" s="372">
        <v>0</v>
      </c>
      <c r="AG1991" s="372">
        <v>0</v>
      </c>
      <c r="AH1991" s="372">
        <v>0</v>
      </c>
    </row>
    <row r="1992" spans="1:34">
      <c r="A1992" s="372" t="s">
        <v>12994</v>
      </c>
      <c r="B1992" s="373" t="s">
        <v>12995</v>
      </c>
      <c r="C1992" s="372" t="s">
        <v>12996</v>
      </c>
      <c r="D1992" s="374">
        <v>1943110004498</v>
      </c>
      <c r="E1992" s="372" t="s">
        <v>12997</v>
      </c>
      <c r="F1992" s="375" t="s">
        <v>1334</v>
      </c>
      <c r="G1992" s="375" t="s">
        <v>1334</v>
      </c>
      <c r="H1992" s="375" t="s">
        <v>868</v>
      </c>
      <c r="I1992" s="375" t="s">
        <v>869</v>
      </c>
      <c r="J1992" s="375">
        <v>62973.74308</v>
      </c>
      <c r="K1992" s="375">
        <v>-6834.9783699999998</v>
      </c>
      <c r="L1992" s="375">
        <v>-10934.16273</v>
      </c>
      <c r="M1992" s="375">
        <v>38757.865949999999</v>
      </c>
      <c r="N1992" s="372">
        <v>0.71099999999999997</v>
      </c>
      <c r="O1992" s="703">
        <v>35.02294472960984</v>
      </c>
      <c r="P1992" s="375" t="s">
        <v>623</v>
      </c>
      <c r="Q1992" s="372" t="s">
        <v>623</v>
      </c>
      <c r="R1992" s="695">
        <v>19990811</v>
      </c>
      <c r="S1992" s="372" t="s">
        <v>12998</v>
      </c>
      <c r="T1992" s="696" t="s">
        <v>772</v>
      </c>
      <c r="U1992" s="372" t="s">
        <v>12999</v>
      </c>
      <c r="V1992" s="722" t="s">
        <v>774</v>
      </c>
      <c r="W1992" s="722">
        <v>1.5</v>
      </c>
      <c r="X1992" s="722">
        <v>0.97</v>
      </c>
      <c r="Y1992" s="722" t="s">
        <v>774</v>
      </c>
      <c r="Z1992" s="382" t="s">
        <v>934</v>
      </c>
      <c r="AA1992" s="372">
        <v>653.59759880000001</v>
      </c>
      <c r="AB1992" s="372">
        <v>575.60933139999997</v>
      </c>
      <c r="AC1992" s="372">
        <v>688.79662110000004</v>
      </c>
      <c r="AD1992" s="372">
        <v>629.73743079999997</v>
      </c>
      <c r="AE1992" s="372">
        <v>0</v>
      </c>
      <c r="AF1992" s="372">
        <v>0</v>
      </c>
      <c r="AG1992" s="372">
        <v>0</v>
      </c>
      <c r="AH1992" s="372">
        <v>0</v>
      </c>
    </row>
    <row r="1993" spans="1:34">
      <c r="A1993" s="372" t="s">
        <v>13000</v>
      </c>
      <c r="B1993" s="373" t="s">
        <v>13001</v>
      </c>
      <c r="C1993" s="372" t="s">
        <v>16105</v>
      </c>
      <c r="D1993" s="374">
        <v>1101114305614</v>
      </c>
      <c r="E1993" s="372" t="s">
        <v>16106</v>
      </c>
      <c r="F1993" s="372" t="s">
        <v>1985</v>
      </c>
      <c r="G1993" s="375" t="s">
        <v>1985</v>
      </c>
      <c r="H1993" s="375" t="s">
        <v>868</v>
      </c>
      <c r="I1993" s="375" t="s">
        <v>869</v>
      </c>
      <c r="J1993" s="375">
        <v>4821.0465400000003</v>
      </c>
      <c r="K1993" s="375">
        <v>-10481.415129999999</v>
      </c>
      <c r="L1993" s="375">
        <v>-23538.73472</v>
      </c>
      <c r="M1993" s="375">
        <v>33745.617749999998</v>
      </c>
      <c r="N1993" s="372">
        <v>1.071</v>
      </c>
      <c r="O1993" s="703">
        <v>18.304936880656253</v>
      </c>
      <c r="P1993" s="375" t="s">
        <v>623</v>
      </c>
      <c r="Q1993" s="372" t="s">
        <v>16145</v>
      </c>
      <c r="R1993" s="695">
        <v>20101005</v>
      </c>
      <c r="S1993" s="372" t="s">
        <v>13002</v>
      </c>
      <c r="T1993" s="696" t="s">
        <v>772</v>
      </c>
      <c r="U1993" s="372" t="s">
        <v>13003</v>
      </c>
      <c r="V1993" s="722" t="s">
        <v>774</v>
      </c>
      <c r="W1993" s="722">
        <v>1.17</v>
      </c>
      <c r="X1993" s="722">
        <v>9.09</v>
      </c>
      <c r="Y1993" s="722" t="s">
        <v>774</v>
      </c>
      <c r="Z1993" s="382" t="s">
        <v>934</v>
      </c>
      <c r="AA1993" s="372">
        <v>156.67649489999999</v>
      </c>
      <c r="AB1993" s="372">
        <v>100.8490243</v>
      </c>
      <c r="AC1993" s="372">
        <v>69.075870800000004</v>
      </c>
      <c r="AD1993" s="372">
        <v>48.210465399999997</v>
      </c>
      <c r="AE1993" s="372">
        <v>0</v>
      </c>
      <c r="AF1993" s="372">
        <v>0</v>
      </c>
      <c r="AG1993" s="372">
        <v>0</v>
      </c>
      <c r="AH1993" s="372">
        <v>0</v>
      </c>
    </row>
    <row r="1994" spans="1:34">
      <c r="A1994" s="372" t="s">
        <v>13004</v>
      </c>
      <c r="B1994" s="373" t="s">
        <v>13005</v>
      </c>
      <c r="C1994" s="372" t="s">
        <v>13006</v>
      </c>
      <c r="D1994" s="374">
        <v>2042110000784</v>
      </c>
      <c r="E1994" s="372" t="s">
        <v>13007</v>
      </c>
      <c r="F1994" s="375" t="s">
        <v>5463</v>
      </c>
      <c r="G1994" s="375" t="s">
        <v>10879</v>
      </c>
      <c r="H1994" s="375" t="s">
        <v>868</v>
      </c>
      <c r="I1994" s="375" t="s">
        <v>869</v>
      </c>
      <c r="J1994" s="375">
        <v>45836.974159999998</v>
      </c>
      <c r="K1994" s="375">
        <v>613.60769000000005</v>
      </c>
      <c r="L1994" s="375">
        <v>2106.68118</v>
      </c>
      <c r="M1994" s="375">
        <v>65693.871499999994</v>
      </c>
      <c r="N1994" s="372">
        <v>1.0820000000000001</v>
      </c>
      <c r="O1994" s="703">
        <v>2.7130587635571024E-2</v>
      </c>
      <c r="P1994" s="375" t="s">
        <v>623</v>
      </c>
      <c r="Q1994" s="372" t="s">
        <v>623</v>
      </c>
      <c r="R1994" s="695">
        <v>20111219</v>
      </c>
      <c r="S1994" s="372" t="s">
        <v>13008</v>
      </c>
      <c r="T1994" s="696">
        <v>0.20900000000000002</v>
      </c>
      <c r="U1994" s="372" t="s">
        <v>13009</v>
      </c>
      <c r="V1994" s="722">
        <v>0</v>
      </c>
      <c r="W1994" s="722">
        <v>0.87</v>
      </c>
      <c r="X1994" s="722">
        <v>0</v>
      </c>
      <c r="Y1994" s="722">
        <v>0</v>
      </c>
      <c r="Z1994" s="382" t="s">
        <v>934</v>
      </c>
      <c r="AA1994" s="372">
        <v>318.03725780000002</v>
      </c>
      <c r="AB1994" s="372">
        <v>448.74160519999998</v>
      </c>
      <c r="AC1994" s="372">
        <v>504.18205169999999</v>
      </c>
      <c r="AD1994" s="372">
        <v>458.3697416</v>
      </c>
      <c r="AE1994" s="372">
        <v>0</v>
      </c>
      <c r="AF1994" s="372">
        <v>0</v>
      </c>
      <c r="AG1994" s="372">
        <v>0</v>
      </c>
      <c r="AH1994" s="372">
        <v>0</v>
      </c>
    </row>
    <row r="1995" spans="1:34">
      <c r="A1995" s="372" t="s">
        <v>13010</v>
      </c>
      <c r="B1995" s="373" t="s">
        <v>13011</v>
      </c>
      <c r="C1995" s="372" t="s">
        <v>13012</v>
      </c>
      <c r="D1995" s="374">
        <v>1101116869965</v>
      </c>
      <c r="E1995" s="372" t="s">
        <v>13013</v>
      </c>
      <c r="F1995" s="375" t="s">
        <v>1381</v>
      </c>
      <c r="G1995" s="375" t="s">
        <v>1381</v>
      </c>
      <c r="H1995" s="375" t="s">
        <v>1693</v>
      </c>
      <c r="I1995" s="375" t="s">
        <v>869</v>
      </c>
      <c r="J1995" s="375">
        <v>32029.523450000001</v>
      </c>
      <c r="K1995" s="375">
        <v>-2457.9731400000001</v>
      </c>
      <c r="L1995" s="375">
        <v>-12384.835209999999</v>
      </c>
      <c r="M1995" s="375">
        <v>13602.74396</v>
      </c>
      <c r="N1995" s="372">
        <v>0.96699999999999997</v>
      </c>
      <c r="O1995" s="703">
        <v>13.483311126995442</v>
      </c>
      <c r="P1995" s="375" t="s">
        <v>623</v>
      </c>
      <c r="Q1995" s="372" t="s">
        <v>623</v>
      </c>
      <c r="R1995" s="695">
        <v>20181212</v>
      </c>
      <c r="S1995" s="372" t="s">
        <v>13014</v>
      </c>
      <c r="T1995" s="696" t="s">
        <v>772</v>
      </c>
      <c r="U1995" s="372" t="s">
        <v>13015</v>
      </c>
      <c r="V1995" s="722">
        <v>0</v>
      </c>
      <c r="W1995" s="722">
        <v>4.08</v>
      </c>
      <c r="X1995" s="722">
        <v>0</v>
      </c>
      <c r="Y1995" s="722">
        <v>0</v>
      </c>
      <c r="Z1995" s="382" t="s">
        <v>934</v>
      </c>
      <c r="AA1995" s="372">
        <v>248.67829929999999</v>
      </c>
      <c r="AB1995" s="372">
        <v>257.75165229999999</v>
      </c>
      <c r="AC1995" s="372">
        <v>270.82999569999998</v>
      </c>
      <c r="AD1995" s="372">
        <v>320.29523449999999</v>
      </c>
      <c r="AE1995" s="372">
        <v>0</v>
      </c>
      <c r="AF1995" s="372">
        <v>0</v>
      </c>
      <c r="AG1995" s="372">
        <v>0</v>
      </c>
      <c r="AH1995" s="372">
        <v>0</v>
      </c>
    </row>
    <row r="1996" spans="1:34">
      <c r="A1996" s="372" t="s">
        <v>13016</v>
      </c>
      <c r="B1996" s="373" t="s">
        <v>13017</v>
      </c>
      <c r="C1996" s="372" t="s">
        <v>13018</v>
      </c>
      <c r="D1996" s="374">
        <v>1101110984199</v>
      </c>
      <c r="E1996" s="372" t="s">
        <v>13019</v>
      </c>
      <c r="F1996" s="372" t="s">
        <v>9079</v>
      </c>
      <c r="G1996" s="375" t="s">
        <v>9079</v>
      </c>
      <c r="H1996" s="375" t="s">
        <v>8085</v>
      </c>
      <c r="I1996" s="375" t="s">
        <v>869</v>
      </c>
      <c r="J1996" s="375">
        <v>41898.698929999999</v>
      </c>
      <c r="K1996" s="375">
        <v>2952.7306199999998</v>
      </c>
      <c r="L1996" s="375">
        <v>21037.856790000002</v>
      </c>
      <c r="M1996" s="375">
        <v>345773.48512000003</v>
      </c>
      <c r="N1996" s="372">
        <v>1.044</v>
      </c>
      <c r="O1996" s="703">
        <v>78.415880798642306</v>
      </c>
      <c r="P1996" s="375" t="s">
        <v>623</v>
      </c>
      <c r="Q1996" s="372" t="s">
        <v>623</v>
      </c>
      <c r="R1996" s="695">
        <v>20000425</v>
      </c>
      <c r="S1996" s="372" t="s">
        <v>13020</v>
      </c>
      <c r="T1996" s="696">
        <v>0.23100000000000001</v>
      </c>
      <c r="U1996" s="372" t="s">
        <v>13021</v>
      </c>
      <c r="V1996" s="722">
        <v>17.97</v>
      </c>
      <c r="W1996" s="722">
        <v>0.16</v>
      </c>
      <c r="X1996" s="722">
        <v>1.3</v>
      </c>
      <c r="Y1996" s="722">
        <v>2.72</v>
      </c>
      <c r="Z1996" s="382" t="s">
        <v>934</v>
      </c>
      <c r="AA1996" s="372">
        <v>403.89407740000001</v>
      </c>
      <c r="AB1996" s="372">
        <v>357.48782549999999</v>
      </c>
      <c r="AC1996" s="372">
        <v>427.19402700000001</v>
      </c>
      <c r="AD1996" s="372">
        <v>418.9869893</v>
      </c>
      <c r="AE1996" s="372">
        <v>0</v>
      </c>
      <c r="AF1996" s="372">
        <v>0</v>
      </c>
      <c r="AG1996" s="372">
        <v>0</v>
      </c>
      <c r="AH1996" s="372">
        <v>0</v>
      </c>
    </row>
    <row r="1997" spans="1:34">
      <c r="A1997" s="372" t="s">
        <v>13022</v>
      </c>
      <c r="B1997" s="373" t="s">
        <v>13023</v>
      </c>
      <c r="C1997" s="372" t="s">
        <v>13024</v>
      </c>
      <c r="D1997" s="374">
        <v>1845110020244</v>
      </c>
      <c r="E1997" s="372" t="s">
        <v>13025</v>
      </c>
      <c r="F1997" s="372" t="s">
        <v>1881</v>
      </c>
      <c r="G1997" s="375" t="s">
        <v>1882</v>
      </c>
      <c r="H1997" s="375" t="s">
        <v>868</v>
      </c>
      <c r="I1997" s="375" t="s">
        <v>869</v>
      </c>
      <c r="J1997" s="375">
        <v>108275.07141</v>
      </c>
      <c r="K1997" s="375">
        <v>6353.9940699999997</v>
      </c>
      <c r="L1997" s="375">
        <v>-34237.934079999999</v>
      </c>
      <c r="M1997" s="375">
        <v>44766.775249999999</v>
      </c>
      <c r="N1997" s="372">
        <v>1.236</v>
      </c>
      <c r="O1997" s="703">
        <v>148.12098400398168</v>
      </c>
      <c r="P1997" s="375" t="s">
        <v>623</v>
      </c>
      <c r="Q1997" s="375" t="s">
        <v>623</v>
      </c>
      <c r="R1997" s="695">
        <v>20061020</v>
      </c>
      <c r="S1997" s="375" t="s">
        <v>13026</v>
      </c>
      <c r="T1997" s="696" t="s">
        <v>772</v>
      </c>
      <c r="U1997" s="372" t="s">
        <v>16107</v>
      </c>
      <c r="V1997" s="722">
        <v>12.96</v>
      </c>
      <c r="W1997" s="722">
        <v>1.1200000000000001</v>
      </c>
      <c r="X1997" s="722">
        <v>0.47</v>
      </c>
      <c r="Y1997" s="722" t="s">
        <v>774</v>
      </c>
      <c r="Z1997" s="382" t="s">
        <v>934</v>
      </c>
      <c r="AA1997" s="372">
        <v>851.67570269999999</v>
      </c>
      <c r="AB1997" s="372">
        <v>906.26244359999998</v>
      </c>
      <c r="AC1997" s="372">
        <v>944.25491699999998</v>
      </c>
      <c r="AD1997" s="372">
        <v>1082.7507141000001</v>
      </c>
      <c r="AE1997" s="372">
        <v>0</v>
      </c>
      <c r="AF1997" s="372">
        <v>0</v>
      </c>
      <c r="AG1997" s="372">
        <v>0</v>
      </c>
      <c r="AH1997" s="372">
        <v>0</v>
      </c>
    </row>
    <row r="1998" spans="1:34">
      <c r="A1998" s="372" t="s">
        <v>13027</v>
      </c>
      <c r="B1998" s="373" t="s">
        <v>13028</v>
      </c>
      <c r="C1998" s="372" t="s">
        <v>13029</v>
      </c>
      <c r="D1998" s="374">
        <v>1101116793007</v>
      </c>
      <c r="E1998" s="372" t="s">
        <v>13030</v>
      </c>
      <c r="F1998" s="372" t="s">
        <v>3266</v>
      </c>
      <c r="G1998" s="375" t="s">
        <v>3266</v>
      </c>
      <c r="H1998" s="375" t="s">
        <v>1388</v>
      </c>
      <c r="I1998" s="375" t="s">
        <v>869</v>
      </c>
      <c r="J1998" s="375">
        <v>33068.422789999997</v>
      </c>
      <c r="K1998" s="375">
        <v>-6046.7951300000004</v>
      </c>
      <c r="L1998" s="375">
        <v>-5877.6208999999999</v>
      </c>
      <c r="M1998" s="375">
        <v>16202.305249999999</v>
      </c>
      <c r="N1998" s="372">
        <v>1.1140000000000001</v>
      </c>
      <c r="O1998" s="703">
        <v>7.6842326832781502</v>
      </c>
      <c r="P1998" s="375" t="s">
        <v>623</v>
      </c>
      <c r="Q1998" s="372" t="s">
        <v>623</v>
      </c>
      <c r="R1998" s="695">
        <v>20180830</v>
      </c>
      <c r="S1998" s="372" t="s">
        <v>13031</v>
      </c>
      <c r="T1998" s="696" t="s">
        <v>772</v>
      </c>
      <c r="U1998" s="372" t="s">
        <v>13032</v>
      </c>
      <c r="V1998" s="722">
        <v>0</v>
      </c>
      <c r="W1998" s="722">
        <v>3.51</v>
      </c>
      <c r="X1998" s="722">
        <v>0</v>
      </c>
      <c r="Y1998" s="722">
        <v>0</v>
      </c>
      <c r="Z1998" s="382" t="s">
        <v>934</v>
      </c>
      <c r="AA1998" s="372">
        <v>403.93272000000002</v>
      </c>
      <c r="AB1998" s="372">
        <v>388.33025049999998</v>
      </c>
      <c r="AC1998" s="372">
        <v>276.1113891</v>
      </c>
      <c r="AD1998" s="372">
        <v>330.6842279</v>
      </c>
      <c r="AE1998" s="372">
        <v>0</v>
      </c>
      <c r="AF1998" s="372">
        <v>0</v>
      </c>
      <c r="AG1998" s="372">
        <v>0</v>
      </c>
      <c r="AH1998" s="372">
        <v>0</v>
      </c>
    </row>
    <row r="1999" spans="1:34">
      <c r="A1999" s="372" t="s">
        <v>13033</v>
      </c>
      <c r="B1999" s="373" t="s">
        <v>13034</v>
      </c>
      <c r="C1999" s="372" t="s">
        <v>16204</v>
      </c>
      <c r="D1999" s="374">
        <v>1101113016999</v>
      </c>
      <c r="E1999" s="372" t="s">
        <v>16205</v>
      </c>
      <c r="F1999" s="372" t="s">
        <v>1286</v>
      </c>
      <c r="G1999" s="375" t="s">
        <v>1465</v>
      </c>
      <c r="H1999" s="375" t="s">
        <v>1388</v>
      </c>
      <c r="I1999" s="375" t="s">
        <v>869</v>
      </c>
      <c r="J1999" s="375">
        <v>20171.254669999998</v>
      </c>
      <c r="K1999" s="375">
        <v>-4428.5027700000001</v>
      </c>
      <c r="L1999" s="375">
        <v>-12809.453879999999</v>
      </c>
      <c r="M1999" s="375">
        <v>75696.066279999999</v>
      </c>
      <c r="N1999" s="372">
        <v>1.17</v>
      </c>
      <c r="O1999" s="703">
        <v>9.0528313629661206</v>
      </c>
      <c r="P1999" s="375" t="s">
        <v>623</v>
      </c>
      <c r="Q1999" s="372" t="s">
        <v>623</v>
      </c>
      <c r="R1999" s="695">
        <v>20141229</v>
      </c>
      <c r="S1999" s="372" t="s">
        <v>13035</v>
      </c>
      <c r="T1999" s="696" t="s">
        <v>772</v>
      </c>
      <c r="U1999" s="372" t="s">
        <v>13036</v>
      </c>
      <c r="V1999" s="722" t="s">
        <v>774</v>
      </c>
      <c r="W1999" s="722">
        <v>0.71</v>
      </c>
      <c r="X1999" s="722">
        <v>2.37</v>
      </c>
      <c r="Y1999" s="722" t="s">
        <v>774</v>
      </c>
      <c r="Z1999" s="382" t="s">
        <v>934</v>
      </c>
      <c r="AA1999" s="372">
        <v>303.37042270000001</v>
      </c>
      <c r="AB1999" s="372">
        <v>383.94217329999998</v>
      </c>
      <c r="AC1999" s="372">
        <v>302.3361898</v>
      </c>
      <c r="AD1999" s="372">
        <v>201.71254669999999</v>
      </c>
      <c r="AE1999" s="372">
        <v>0</v>
      </c>
      <c r="AF1999" s="372">
        <v>0</v>
      </c>
      <c r="AG1999" s="372">
        <v>0</v>
      </c>
      <c r="AH1999" s="372">
        <v>0</v>
      </c>
    </row>
    <row r="2000" spans="1:34">
      <c r="A2000" s="372" t="s">
        <v>13037</v>
      </c>
      <c r="B2000" s="373" t="s">
        <v>13038</v>
      </c>
      <c r="C2000" s="372" t="s">
        <v>13039</v>
      </c>
      <c r="D2000" s="374">
        <v>1101112103953</v>
      </c>
      <c r="E2000" s="372" t="s">
        <v>13040</v>
      </c>
      <c r="F2000" s="372" t="s">
        <v>2692</v>
      </c>
      <c r="G2000" s="375" t="s">
        <v>13041</v>
      </c>
      <c r="H2000" s="375" t="s">
        <v>1555</v>
      </c>
      <c r="I2000" s="375" t="s">
        <v>755</v>
      </c>
      <c r="J2000" s="375">
        <v>21598.887650000001</v>
      </c>
      <c r="K2000" s="375">
        <v>-3860.1369800000002</v>
      </c>
      <c r="L2000" s="375">
        <v>-7939.8516099999997</v>
      </c>
      <c r="M2000" s="375">
        <v>73402.387310000006</v>
      </c>
      <c r="N2000" s="372">
        <v>0.94899999999999995</v>
      </c>
      <c r="O2000" s="703">
        <v>70.580020666296349</v>
      </c>
      <c r="P2000" s="375" t="s">
        <v>623</v>
      </c>
      <c r="Q2000" s="372" t="s">
        <v>623</v>
      </c>
      <c r="R2000" s="695">
        <v>20061226</v>
      </c>
      <c r="S2000" s="372" t="s">
        <v>13042</v>
      </c>
      <c r="T2000" s="696" t="s">
        <v>772</v>
      </c>
      <c r="U2000" s="372" t="s">
        <v>13043</v>
      </c>
      <c r="V2000" s="722" t="s">
        <v>774</v>
      </c>
      <c r="W2000" s="722">
        <v>0.77</v>
      </c>
      <c r="X2000" s="722">
        <v>2.57</v>
      </c>
      <c r="Y2000" s="722" t="s">
        <v>774</v>
      </c>
      <c r="Z2000" s="382" t="s">
        <v>934</v>
      </c>
      <c r="AA2000" s="372">
        <v>489.93243489999998</v>
      </c>
      <c r="AB2000" s="372">
        <v>293.44936319999999</v>
      </c>
      <c r="AC2000" s="372">
        <v>226.59042210000001</v>
      </c>
      <c r="AD2000" s="372">
        <v>215.9888765</v>
      </c>
      <c r="AE2000" s="372">
        <v>0</v>
      </c>
      <c r="AF2000" s="372">
        <v>0</v>
      </c>
      <c r="AG2000" s="372">
        <v>0</v>
      </c>
      <c r="AH2000" s="372">
        <v>0</v>
      </c>
    </row>
    <row r="2001" spans="1:34">
      <c r="A2001" s="372" t="s">
        <v>13044</v>
      </c>
      <c r="B2001" s="373" t="s">
        <v>13045</v>
      </c>
      <c r="C2001" s="372" t="s">
        <v>13046</v>
      </c>
      <c r="D2001" s="374">
        <v>1748110000309</v>
      </c>
      <c r="E2001" s="372" t="s">
        <v>13047</v>
      </c>
      <c r="F2001" s="372" t="s">
        <v>4141</v>
      </c>
      <c r="G2001" s="375" t="s">
        <v>4141</v>
      </c>
      <c r="H2001" s="375" t="s">
        <v>868</v>
      </c>
      <c r="I2001" s="375" t="s">
        <v>869</v>
      </c>
      <c r="J2001" s="375">
        <v>30475.572090000001</v>
      </c>
      <c r="K2001" s="375">
        <v>-542.00436999999999</v>
      </c>
      <c r="L2001" s="375">
        <v>-21410.641299999999</v>
      </c>
      <c r="M2001" s="375">
        <v>84274.244279999999</v>
      </c>
      <c r="N2001" s="372">
        <v>0.73799999999999999</v>
      </c>
      <c r="O2001" s="703">
        <v>33.191440971122915</v>
      </c>
      <c r="P2001" s="375" t="s">
        <v>16142</v>
      </c>
      <c r="Q2001" s="372" t="s">
        <v>16145</v>
      </c>
      <c r="R2001" s="695">
        <v>20180810</v>
      </c>
      <c r="S2001" s="372" t="s">
        <v>13048</v>
      </c>
      <c r="T2001" s="696" t="s">
        <v>772</v>
      </c>
      <c r="U2001" s="372" t="s">
        <v>13049</v>
      </c>
      <c r="V2001" s="722">
        <v>0</v>
      </c>
      <c r="W2001" s="722">
        <v>0.67</v>
      </c>
      <c r="X2001" s="722">
        <v>0</v>
      </c>
      <c r="Y2001" s="722">
        <v>0</v>
      </c>
      <c r="Z2001" s="382" t="s">
        <v>934</v>
      </c>
      <c r="AA2001" s="372">
        <v>336.35810550000002</v>
      </c>
      <c r="AB2001" s="372">
        <v>363.26640850000001</v>
      </c>
      <c r="AC2001" s="372">
        <v>353.54061530000001</v>
      </c>
      <c r="AD2001" s="372">
        <v>304.75572089999997</v>
      </c>
      <c r="AE2001" s="372">
        <v>0</v>
      </c>
      <c r="AF2001" s="372">
        <v>0</v>
      </c>
      <c r="AG2001" s="372">
        <v>0</v>
      </c>
      <c r="AH2001" s="372">
        <v>0</v>
      </c>
    </row>
    <row r="2002" spans="1:34">
      <c r="A2002" s="372" t="s">
        <v>13050</v>
      </c>
      <c r="B2002" s="373" t="s">
        <v>13051</v>
      </c>
      <c r="C2002" s="372" t="s">
        <v>13052</v>
      </c>
      <c r="D2002" s="374">
        <v>1101112124389</v>
      </c>
      <c r="E2002" s="372" t="s">
        <v>13053</v>
      </c>
      <c r="F2002" s="372" t="s">
        <v>1124</v>
      </c>
      <c r="G2002" s="375" t="s">
        <v>1347</v>
      </c>
      <c r="H2002" s="375" t="s">
        <v>1348</v>
      </c>
      <c r="I2002" s="375" t="s">
        <v>869</v>
      </c>
      <c r="J2002" s="375">
        <v>9814.5026799999996</v>
      </c>
      <c r="K2002" s="375">
        <v>-2548.0387900000001</v>
      </c>
      <c r="L2002" s="375">
        <v>-894.93755999999996</v>
      </c>
      <c r="M2002" s="375">
        <v>23148.242020000002</v>
      </c>
      <c r="N2002" s="372">
        <v>1.494</v>
      </c>
      <c r="O2002" s="703">
        <v>7.3722922336196328</v>
      </c>
      <c r="P2002" s="375" t="s">
        <v>623</v>
      </c>
      <c r="Q2002" s="375" t="s">
        <v>623</v>
      </c>
      <c r="R2002" s="695">
        <v>20091106</v>
      </c>
      <c r="S2002" s="375" t="s">
        <v>13054</v>
      </c>
      <c r="T2002" s="696" t="s">
        <v>772</v>
      </c>
      <c r="U2002" s="372" t="s">
        <v>13055</v>
      </c>
      <c r="V2002" s="722">
        <v>0</v>
      </c>
      <c r="W2002" s="722">
        <v>2.74</v>
      </c>
      <c r="X2002" s="722">
        <v>0</v>
      </c>
      <c r="Y2002" s="722">
        <v>0</v>
      </c>
      <c r="Z2002" s="382" t="s">
        <v>934</v>
      </c>
      <c r="AA2002" s="372">
        <v>159.01382100000001</v>
      </c>
      <c r="AB2002" s="372">
        <v>121.0615277</v>
      </c>
      <c r="AC2002" s="372">
        <v>112.1447872</v>
      </c>
      <c r="AD2002" s="372">
        <v>98.145026799999997</v>
      </c>
      <c r="AE2002" s="372">
        <v>0</v>
      </c>
      <c r="AF2002" s="372">
        <v>0</v>
      </c>
      <c r="AG2002" s="372">
        <v>0</v>
      </c>
      <c r="AH2002" s="372">
        <v>0</v>
      </c>
    </row>
    <row r="2003" spans="1:34">
      <c r="A2003" s="372" t="s">
        <v>13056</v>
      </c>
      <c r="B2003" s="373" t="s">
        <v>13057</v>
      </c>
      <c r="C2003" s="372" t="s">
        <v>13058</v>
      </c>
      <c r="D2003" s="374">
        <v>1101111434218</v>
      </c>
      <c r="E2003" s="372" t="s">
        <v>13059</v>
      </c>
      <c r="F2003" s="372" t="s">
        <v>852</v>
      </c>
      <c r="G2003" s="375" t="s">
        <v>852</v>
      </c>
      <c r="H2003" s="375" t="s">
        <v>3127</v>
      </c>
      <c r="I2003" s="375" t="s">
        <v>869</v>
      </c>
      <c r="J2003" s="375">
        <v>0</v>
      </c>
      <c r="K2003" s="375">
        <v>0</v>
      </c>
      <c r="L2003" s="375">
        <v>0</v>
      </c>
      <c r="M2003" s="375">
        <v>11191.832539999999</v>
      </c>
      <c r="N2003" s="372" t="s">
        <v>1033</v>
      </c>
      <c r="O2003" s="703">
        <v>2.0992980587893473</v>
      </c>
      <c r="P2003" s="375" t="s">
        <v>623</v>
      </c>
      <c r="Q2003" s="372" t="s">
        <v>623</v>
      </c>
      <c r="R2003" s="695">
        <v>20020820</v>
      </c>
      <c r="S2003" s="372" t="s">
        <v>13060</v>
      </c>
      <c r="T2003" s="696" t="s">
        <v>772</v>
      </c>
      <c r="U2003" s="372" t="s">
        <v>13061</v>
      </c>
      <c r="V2003" s="722">
        <v>0</v>
      </c>
      <c r="W2003" s="722">
        <v>3.74</v>
      </c>
      <c r="X2003" s="722">
        <v>0</v>
      </c>
      <c r="Y2003" s="722">
        <v>0</v>
      </c>
      <c r="Z2003" s="382" t="s">
        <v>934</v>
      </c>
      <c r="AA2003" s="372">
        <v>87.233999800000007</v>
      </c>
      <c r="AB2003" s="372">
        <v>116.63131540000001</v>
      </c>
      <c r="AC2003" s="372">
        <v>281.38644549999998</v>
      </c>
      <c r="AD2003" s="372">
        <v>216.4614703</v>
      </c>
      <c r="AE2003" s="372">
        <v>0</v>
      </c>
      <c r="AF2003" s="372">
        <v>0</v>
      </c>
      <c r="AG2003" s="372">
        <v>0</v>
      </c>
      <c r="AH2003" s="372">
        <v>0</v>
      </c>
    </row>
    <row r="2004" spans="1:34">
      <c r="A2004" s="372" t="s">
        <v>13062</v>
      </c>
      <c r="B2004" s="373" t="s">
        <v>13063</v>
      </c>
      <c r="C2004" s="372" t="s">
        <v>13064</v>
      </c>
      <c r="D2004" s="374">
        <v>1101115545962</v>
      </c>
      <c r="E2004" s="372" t="s">
        <v>13065</v>
      </c>
      <c r="F2004" s="372" t="s">
        <v>1381</v>
      </c>
      <c r="G2004" s="375" t="s">
        <v>1381</v>
      </c>
      <c r="H2004" s="375" t="s">
        <v>868</v>
      </c>
      <c r="I2004" s="375" t="s">
        <v>869</v>
      </c>
      <c r="J2004" s="375">
        <v>11560.934740000001</v>
      </c>
      <c r="K2004" s="375">
        <v>-12823.161749999999</v>
      </c>
      <c r="L2004" s="375">
        <v>-12352.279759999999</v>
      </c>
      <c r="M2004" s="375">
        <v>25981.501690000001</v>
      </c>
      <c r="N2004" s="372">
        <v>1.0129999999999999</v>
      </c>
      <c r="O2004" s="703">
        <v>23.062456801157104</v>
      </c>
      <c r="P2004" s="375" t="s">
        <v>623</v>
      </c>
      <c r="Q2004" s="372" t="s">
        <v>623</v>
      </c>
      <c r="R2004" s="695">
        <v>20141229</v>
      </c>
      <c r="S2004" s="372" t="s">
        <v>1381</v>
      </c>
      <c r="T2004" s="696" t="s">
        <v>772</v>
      </c>
      <c r="U2004" s="372" t="s">
        <v>13066</v>
      </c>
      <c r="V2004" s="722" t="s">
        <v>774</v>
      </c>
      <c r="W2004" s="722">
        <v>2.27</v>
      </c>
      <c r="X2004" s="722">
        <v>5.1100000000000003</v>
      </c>
      <c r="Y2004" s="722" t="s">
        <v>774</v>
      </c>
      <c r="Z2004" s="382" t="s">
        <v>934</v>
      </c>
      <c r="AA2004" s="372">
        <v>70.063596700000005</v>
      </c>
      <c r="AB2004" s="372">
        <v>362.38086120000003</v>
      </c>
      <c r="AC2004" s="372">
        <v>125.193735</v>
      </c>
      <c r="AD2004" s="372">
        <v>115.6093474</v>
      </c>
      <c r="AE2004" s="372">
        <v>0</v>
      </c>
      <c r="AF2004" s="372">
        <v>0</v>
      </c>
      <c r="AG2004" s="372">
        <v>0</v>
      </c>
      <c r="AH2004" s="372">
        <v>0</v>
      </c>
    </row>
    <row r="2005" spans="1:34">
      <c r="A2005" s="372" t="s">
        <v>13067</v>
      </c>
      <c r="B2005" s="373" t="s">
        <v>13068</v>
      </c>
      <c r="C2005" s="372" t="s">
        <v>13069</v>
      </c>
      <c r="D2005" s="374">
        <v>1101112887193</v>
      </c>
      <c r="E2005" s="372" t="s">
        <v>13070</v>
      </c>
      <c r="F2005" s="375" t="s">
        <v>1124</v>
      </c>
      <c r="G2005" s="375" t="s">
        <v>1347</v>
      </c>
      <c r="H2005" s="375" t="s">
        <v>1348</v>
      </c>
      <c r="I2005" s="375" t="s">
        <v>869</v>
      </c>
      <c r="J2005" s="375">
        <v>13790.19569</v>
      </c>
      <c r="K2005" s="375">
        <v>-3464.6138799999999</v>
      </c>
      <c r="L2005" s="375">
        <v>-3308.2844100000002</v>
      </c>
      <c r="M2005" s="375">
        <v>27127.582340000001</v>
      </c>
      <c r="N2005" s="372">
        <v>1.3049999999999999</v>
      </c>
      <c r="O2005" s="703">
        <v>10.318393183062991</v>
      </c>
      <c r="P2005" s="375" t="s">
        <v>623</v>
      </c>
      <c r="Q2005" s="375" t="s">
        <v>623</v>
      </c>
      <c r="R2005" s="695">
        <v>20210603</v>
      </c>
      <c r="S2005" s="375" t="s">
        <v>13071</v>
      </c>
      <c r="T2005" s="696" t="s">
        <v>772</v>
      </c>
      <c r="U2005" s="372" t="s">
        <v>13072</v>
      </c>
      <c r="V2005" s="722" t="s">
        <v>774</v>
      </c>
      <c r="W2005" s="722">
        <v>1.52</v>
      </c>
      <c r="X2005" s="722">
        <v>3.3</v>
      </c>
      <c r="Y2005" s="722" t="s">
        <v>774</v>
      </c>
      <c r="Z2005" s="382" t="s">
        <v>934</v>
      </c>
      <c r="AA2005" s="372">
        <v>131.20162540000001</v>
      </c>
      <c r="AB2005" s="372">
        <v>139.77771680000001</v>
      </c>
      <c r="AC2005" s="372">
        <v>148.82555780000001</v>
      </c>
      <c r="AD2005" s="372">
        <v>137.90195689999999</v>
      </c>
      <c r="AE2005" s="372">
        <v>0</v>
      </c>
      <c r="AF2005" s="372">
        <v>0</v>
      </c>
      <c r="AG2005" s="372">
        <v>0</v>
      </c>
      <c r="AH2005" s="372">
        <v>0</v>
      </c>
    </row>
    <row r="2006" spans="1:34">
      <c r="A2006" s="372" t="s">
        <v>13073</v>
      </c>
      <c r="B2006" s="373" t="s">
        <v>13074</v>
      </c>
      <c r="C2006" s="372" t="s">
        <v>13075</v>
      </c>
      <c r="D2006" s="374">
        <v>1601110221319</v>
      </c>
      <c r="E2006" s="372" t="s">
        <v>13076</v>
      </c>
      <c r="F2006" s="372" t="s">
        <v>5655</v>
      </c>
      <c r="G2006" s="375" t="s">
        <v>5655</v>
      </c>
      <c r="H2006" s="375" t="s">
        <v>1950</v>
      </c>
      <c r="I2006" s="375" t="s">
        <v>869</v>
      </c>
      <c r="J2006" s="375">
        <v>150268.84051000001</v>
      </c>
      <c r="K2006" s="375">
        <v>13524.36004</v>
      </c>
      <c r="L2006" s="375">
        <v>-17248.45364</v>
      </c>
      <c r="M2006" s="375">
        <v>63010.001830000001</v>
      </c>
      <c r="N2006" s="372">
        <v>0.61499999999999999</v>
      </c>
      <c r="O2006" s="703">
        <v>49.111884554468851</v>
      </c>
      <c r="P2006" s="375" t="s">
        <v>623</v>
      </c>
      <c r="Q2006" s="372" t="s">
        <v>623</v>
      </c>
      <c r="R2006" s="695">
        <v>20110614</v>
      </c>
      <c r="S2006" s="372" t="s">
        <v>13077</v>
      </c>
      <c r="T2006" s="696" t="s">
        <v>772</v>
      </c>
      <c r="U2006" s="372" t="s">
        <v>16108</v>
      </c>
      <c r="V2006" s="722">
        <v>0</v>
      </c>
      <c r="W2006" s="722">
        <v>1.08</v>
      </c>
      <c r="X2006" s="722">
        <v>0</v>
      </c>
      <c r="Y2006" s="722">
        <v>0</v>
      </c>
      <c r="Z2006" s="382" t="s">
        <v>934</v>
      </c>
      <c r="AA2006" s="372">
        <v>222.90570650000001</v>
      </c>
      <c r="AB2006" s="372">
        <v>191.38614810000001</v>
      </c>
      <c r="AC2006" s="372">
        <v>587.42551979999996</v>
      </c>
      <c r="AD2006" s="372">
        <v>1502.6884051</v>
      </c>
      <c r="AE2006" s="372">
        <v>0</v>
      </c>
      <c r="AF2006" s="372">
        <v>0</v>
      </c>
      <c r="AG2006" s="372">
        <v>0</v>
      </c>
      <c r="AH2006" s="372">
        <v>0</v>
      </c>
    </row>
    <row r="2007" spans="1:34">
      <c r="A2007" s="372" t="s">
        <v>13078</v>
      </c>
      <c r="B2007" s="373" t="s">
        <v>13079</v>
      </c>
      <c r="C2007" s="372" t="s">
        <v>13080</v>
      </c>
      <c r="D2007" s="374">
        <v>1101117182655</v>
      </c>
      <c r="E2007" s="372" t="s">
        <v>13081</v>
      </c>
      <c r="F2007" s="372" t="s">
        <v>13082</v>
      </c>
      <c r="G2007" s="375" t="s">
        <v>13082</v>
      </c>
      <c r="H2007" s="375" t="s">
        <v>868</v>
      </c>
      <c r="I2007" s="375" t="s">
        <v>869</v>
      </c>
      <c r="J2007" s="375">
        <v>82156.943239999993</v>
      </c>
      <c r="K2007" s="375">
        <v>-2277.2031999999999</v>
      </c>
      <c r="L2007" s="375">
        <v>-5004.6928500000004</v>
      </c>
      <c r="M2007" s="375">
        <v>23211.903689999999</v>
      </c>
      <c r="N2007" s="372">
        <v>0.93899999999999995</v>
      </c>
      <c r="O2007" s="703">
        <v>72.95933727951514</v>
      </c>
      <c r="P2007" s="375" t="s">
        <v>623</v>
      </c>
      <c r="Q2007" s="372" t="s">
        <v>623</v>
      </c>
      <c r="R2007" s="695">
        <v>20191011</v>
      </c>
      <c r="S2007" s="372" t="s">
        <v>2874</v>
      </c>
      <c r="T2007" s="696" t="s">
        <v>772</v>
      </c>
      <c r="U2007" s="372" t="s">
        <v>13083</v>
      </c>
      <c r="V2007" s="722" t="s">
        <v>774</v>
      </c>
      <c r="W2007" s="722">
        <v>2.23</v>
      </c>
      <c r="X2007" s="722">
        <v>0.65</v>
      </c>
      <c r="Y2007" s="722" t="s">
        <v>774</v>
      </c>
      <c r="Z2007" s="382" t="s">
        <v>934</v>
      </c>
      <c r="AA2007" s="372">
        <v>463.30012920000001</v>
      </c>
      <c r="AB2007" s="372">
        <v>611.28233250000005</v>
      </c>
      <c r="AC2007" s="372">
        <v>730.28453520000005</v>
      </c>
      <c r="AD2007" s="372">
        <v>821.56943239999998</v>
      </c>
      <c r="AE2007" s="372">
        <v>0</v>
      </c>
      <c r="AF2007" s="372">
        <v>0</v>
      </c>
      <c r="AG2007" s="372">
        <v>0</v>
      </c>
      <c r="AH2007" s="372">
        <v>0</v>
      </c>
    </row>
    <row r="2008" spans="1:34">
      <c r="A2008" s="372" t="s">
        <v>13084</v>
      </c>
      <c r="B2008" s="373" t="s">
        <v>13085</v>
      </c>
      <c r="C2008" s="372" t="s">
        <v>13086</v>
      </c>
      <c r="D2008" s="374">
        <v>1101111118276</v>
      </c>
      <c r="E2008" s="372" t="s">
        <v>13087</v>
      </c>
      <c r="F2008" s="375" t="s">
        <v>2282</v>
      </c>
      <c r="G2008" s="375" t="s">
        <v>2282</v>
      </c>
      <c r="H2008" s="375" t="s">
        <v>4894</v>
      </c>
      <c r="I2008" s="375" t="s">
        <v>869</v>
      </c>
      <c r="J2008" s="375">
        <v>333203.37893000001</v>
      </c>
      <c r="K2008" s="375">
        <v>1224.0353500000001</v>
      </c>
      <c r="L2008" s="375">
        <v>-3893.8160600000001</v>
      </c>
      <c r="M2008" s="375">
        <v>63794.143179999999</v>
      </c>
      <c r="N2008" s="372">
        <v>1.329</v>
      </c>
      <c r="O2008" s="703">
        <v>1.510631837058042</v>
      </c>
      <c r="P2008" s="375" t="s">
        <v>623</v>
      </c>
      <c r="Q2008" s="372" t="s">
        <v>623</v>
      </c>
      <c r="R2008" s="695">
        <v>20080718</v>
      </c>
      <c r="S2008" s="372" t="s">
        <v>13088</v>
      </c>
      <c r="T2008" s="696" t="s">
        <v>772</v>
      </c>
      <c r="U2008" s="372" t="s">
        <v>13089</v>
      </c>
      <c r="V2008" s="722">
        <v>25.36</v>
      </c>
      <c r="W2008" s="722">
        <v>1.19</v>
      </c>
      <c r="X2008" s="722">
        <v>0.23</v>
      </c>
      <c r="Y2008" s="722" t="s">
        <v>774</v>
      </c>
      <c r="Z2008" s="382" t="s">
        <v>934</v>
      </c>
      <c r="AA2008" s="372">
        <v>2010.9663879</v>
      </c>
      <c r="AB2008" s="372">
        <v>2691.6111569999998</v>
      </c>
      <c r="AC2008" s="372">
        <v>3267.4033184</v>
      </c>
      <c r="AD2008" s="372">
        <v>3332.0337893000001</v>
      </c>
      <c r="AE2008" s="372">
        <v>0</v>
      </c>
      <c r="AF2008" s="372">
        <v>0</v>
      </c>
      <c r="AG2008" s="372">
        <v>0</v>
      </c>
      <c r="AH2008" s="372">
        <v>0</v>
      </c>
    </row>
    <row r="2009" spans="1:34">
      <c r="A2009" s="372" t="s">
        <v>13090</v>
      </c>
      <c r="B2009" s="373" t="s">
        <v>13091</v>
      </c>
      <c r="C2009" s="372" t="s">
        <v>13092</v>
      </c>
      <c r="D2009" s="374">
        <v>1101111342213</v>
      </c>
      <c r="E2009" s="372" t="s">
        <v>13093</v>
      </c>
      <c r="F2009" s="375" t="s">
        <v>1673</v>
      </c>
      <c r="G2009" s="375" t="s">
        <v>1673</v>
      </c>
      <c r="H2009" s="375" t="s">
        <v>1388</v>
      </c>
      <c r="I2009" s="375" t="s">
        <v>869</v>
      </c>
      <c r="J2009" s="375">
        <v>64285.596109999999</v>
      </c>
      <c r="K2009" s="375">
        <v>1433.6859300000001</v>
      </c>
      <c r="L2009" s="375">
        <v>62.367100000000001</v>
      </c>
      <c r="M2009" s="375">
        <v>44505.586940000001</v>
      </c>
      <c r="N2009" s="372">
        <v>0.92700000000000005</v>
      </c>
      <c r="O2009" s="703">
        <v>30.182376929808186</v>
      </c>
      <c r="P2009" s="375" t="s">
        <v>623</v>
      </c>
      <c r="Q2009" s="372" t="s">
        <v>623</v>
      </c>
      <c r="R2009" s="695">
        <v>20091006</v>
      </c>
      <c r="S2009" s="372" t="s">
        <v>13094</v>
      </c>
      <c r="T2009" s="696">
        <v>9.9000000000000005E-2</v>
      </c>
      <c r="U2009" s="372" t="s">
        <v>13095</v>
      </c>
      <c r="V2009" s="722">
        <v>11.98</v>
      </c>
      <c r="W2009" s="722">
        <v>1.01</v>
      </c>
      <c r="X2009" s="722">
        <v>0.76</v>
      </c>
      <c r="Y2009" s="722" t="s">
        <v>774</v>
      </c>
      <c r="Z2009" s="382" t="s">
        <v>934</v>
      </c>
      <c r="AA2009" s="372">
        <v>228.84989999999999</v>
      </c>
      <c r="AB2009" s="372">
        <v>299.44561060000001</v>
      </c>
      <c r="AC2009" s="372">
        <v>393.84695649999998</v>
      </c>
      <c r="AD2009" s="372">
        <v>642.85596109999994</v>
      </c>
      <c r="AE2009" s="372">
        <v>0</v>
      </c>
      <c r="AF2009" s="372">
        <v>0</v>
      </c>
      <c r="AG2009" s="372">
        <v>0</v>
      </c>
      <c r="AH2009" s="372">
        <v>0</v>
      </c>
    </row>
    <row r="2010" spans="1:34">
      <c r="A2010" s="372" t="s">
        <v>13096</v>
      </c>
      <c r="B2010" s="373" t="s">
        <v>13097</v>
      </c>
      <c r="C2010" s="372" t="s">
        <v>13098</v>
      </c>
      <c r="D2010" s="374">
        <v>1913110002354</v>
      </c>
      <c r="E2010" s="372" t="s">
        <v>13099</v>
      </c>
      <c r="F2010" s="375" t="s">
        <v>1881</v>
      </c>
      <c r="G2010" s="375" t="s">
        <v>1882</v>
      </c>
      <c r="H2010" s="375" t="s">
        <v>868</v>
      </c>
      <c r="I2010" s="375" t="s">
        <v>869</v>
      </c>
      <c r="J2010" s="375">
        <v>63663.274089999999</v>
      </c>
      <c r="K2010" s="375">
        <v>4814.0180099999998</v>
      </c>
      <c r="L2010" s="375">
        <v>8205.9840899999999</v>
      </c>
      <c r="M2010" s="375">
        <v>43420.174590000002</v>
      </c>
      <c r="N2010" s="372" t="s">
        <v>1033</v>
      </c>
      <c r="O2010" s="703">
        <v>1.2984471415326935</v>
      </c>
      <c r="P2010" s="375" t="s">
        <v>623</v>
      </c>
      <c r="Q2010" s="372" t="s">
        <v>623</v>
      </c>
      <c r="R2010" s="695">
        <v>20051027</v>
      </c>
      <c r="S2010" s="372" t="s">
        <v>13100</v>
      </c>
      <c r="T2010" s="696">
        <v>0.20900000000000002</v>
      </c>
      <c r="U2010" s="372" t="s">
        <v>8957</v>
      </c>
      <c r="V2010" s="722">
        <v>0</v>
      </c>
      <c r="W2010" s="722">
        <v>1.49</v>
      </c>
      <c r="X2010" s="722">
        <v>0</v>
      </c>
      <c r="Y2010" s="722">
        <v>0</v>
      </c>
      <c r="Z2010" s="382" t="s">
        <v>934</v>
      </c>
      <c r="AA2010" s="372">
        <v>614.05219729999999</v>
      </c>
      <c r="AB2010" s="372">
        <v>426.09779109999999</v>
      </c>
      <c r="AC2010" s="372">
        <v>435.3876338</v>
      </c>
      <c r="AD2010" s="372">
        <v>636.63274090000004</v>
      </c>
      <c r="AE2010" s="372">
        <v>0</v>
      </c>
      <c r="AF2010" s="372">
        <v>0</v>
      </c>
      <c r="AG2010" s="372">
        <v>0</v>
      </c>
      <c r="AH2010" s="372">
        <v>0</v>
      </c>
    </row>
    <row r="2011" spans="1:34">
      <c r="A2011" s="372" t="s">
        <v>13101</v>
      </c>
      <c r="B2011" s="373" t="s">
        <v>13102</v>
      </c>
      <c r="C2011" s="372" t="s">
        <v>13103</v>
      </c>
      <c r="D2011" s="374">
        <v>1348110001545</v>
      </c>
      <c r="E2011" s="372" t="s">
        <v>13104</v>
      </c>
      <c r="F2011" s="372" t="s">
        <v>1889</v>
      </c>
      <c r="G2011" s="375" t="s">
        <v>1890</v>
      </c>
      <c r="H2011" s="375" t="s">
        <v>868</v>
      </c>
      <c r="I2011" s="375" t="s">
        <v>869</v>
      </c>
      <c r="J2011" s="375">
        <v>22987.86218</v>
      </c>
      <c r="K2011" s="375">
        <v>-4148.4835000000003</v>
      </c>
      <c r="L2011" s="375">
        <v>-1542.04126</v>
      </c>
      <c r="M2011" s="375">
        <v>47306.722199999997</v>
      </c>
      <c r="N2011" s="372">
        <v>0.85</v>
      </c>
      <c r="O2011" s="703">
        <v>26.586379953505705</v>
      </c>
      <c r="P2011" s="375" t="s">
        <v>623</v>
      </c>
      <c r="Q2011" s="375" t="s">
        <v>623</v>
      </c>
      <c r="R2011" s="695">
        <v>19971103</v>
      </c>
      <c r="S2011" s="375" t="s">
        <v>13105</v>
      </c>
      <c r="T2011" s="696" t="s">
        <v>772</v>
      </c>
      <c r="U2011" s="372" t="s">
        <v>13106</v>
      </c>
      <c r="V2011" s="722" t="s">
        <v>774</v>
      </c>
      <c r="W2011" s="722">
        <v>1.1200000000000001</v>
      </c>
      <c r="X2011" s="722">
        <v>2.09</v>
      </c>
      <c r="Y2011" s="722" t="s">
        <v>774</v>
      </c>
      <c r="Z2011" s="382" t="s">
        <v>934</v>
      </c>
      <c r="AA2011" s="372">
        <v>787.70053429999996</v>
      </c>
      <c r="AB2011" s="372">
        <v>543.46966640000005</v>
      </c>
      <c r="AC2011" s="372">
        <v>310.79586540000003</v>
      </c>
      <c r="AD2011" s="372">
        <v>229.87862179999999</v>
      </c>
      <c r="AE2011" s="372">
        <v>0</v>
      </c>
      <c r="AF2011" s="372">
        <v>0</v>
      </c>
      <c r="AG2011" s="372">
        <v>0</v>
      </c>
      <c r="AH2011" s="372">
        <v>0</v>
      </c>
    </row>
    <row r="2012" spans="1:34">
      <c r="A2012" s="372" t="s">
        <v>13107</v>
      </c>
      <c r="B2012" s="373" t="s">
        <v>13108</v>
      </c>
      <c r="C2012" s="372" t="s">
        <v>13109</v>
      </c>
      <c r="D2012" s="374">
        <v>1101110279996</v>
      </c>
      <c r="E2012" s="372" t="s">
        <v>13110</v>
      </c>
      <c r="F2012" s="375" t="s">
        <v>1553</v>
      </c>
      <c r="G2012" s="375" t="s">
        <v>3677</v>
      </c>
      <c r="H2012" s="375" t="s">
        <v>1555</v>
      </c>
      <c r="I2012" s="375" t="s">
        <v>755</v>
      </c>
      <c r="J2012" s="375">
        <v>126499.79034000001</v>
      </c>
      <c r="K2012" s="375">
        <v>-2698.43649</v>
      </c>
      <c r="L2012" s="375">
        <v>-1494.8912700000001</v>
      </c>
      <c r="M2012" s="375">
        <v>39623.137110000003</v>
      </c>
      <c r="N2012" s="372">
        <v>1.825</v>
      </c>
      <c r="O2012" s="703">
        <v>85.902140776720927</v>
      </c>
      <c r="P2012" s="375" t="s">
        <v>623</v>
      </c>
      <c r="Q2012" s="372" t="s">
        <v>623</v>
      </c>
      <c r="R2012" s="695">
        <v>19890620</v>
      </c>
      <c r="S2012" s="372" t="s">
        <v>13111</v>
      </c>
      <c r="T2012" s="696" t="s">
        <v>772</v>
      </c>
      <c r="U2012" s="372" t="s">
        <v>13112</v>
      </c>
      <c r="V2012" s="722">
        <v>15.27</v>
      </c>
      <c r="W2012" s="722">
        <v>1.51</v>
      </c>
      <c r="X2012" s="722">
        <v>0.46</v>
      </c>
      <c r="Y2012" s="722" t="s">
        <v>774</v>
      </c>
      <c r="Z2012" s="382" t="s">
        <v>934</v>
      </c>
      <c r="AA2012" s="372">
        <v>1527.5075482</v>
      </c>
      <c r="AB2012" s="372">
        <v>1486.9893812</v>
      </c>
      <c r="AC2012" s="372">
        <v>1353.3306290999999</v>
      </c>
      <c r="AD2012" s="372">
        <v>1264.9979034</v>
      </c>
      <c r="AE2012" s="372">
        <v>0</v>
      </c>
      <c r="AF2012" s="372">
        <v>0</v>
      </c>
      <c r="AG2012" s="372">
        <v>0</v>
      </c>
      <c r="AH2012" s="372">
        <v>0</v>
      </c>
    </row>
    <row r="2013" spans="1:34">
      <c r="A2013" s="372" t="s">
        <v>13113</v>
      </c>
      <c r="B2013" s="373" t="s">
        <v>13114</v>
      </c>
      <c r="C2013" s="372" t="s">
        <v>13115</v>
      </c>
      <c r="D2013" s="374">
        <v>2149110013103</v>
      </c>
      <c r="E2013" s="372" t="s">
        <v>13116</v>
      </c>
      <c r="F2013" s="375" t="s">
        <v>770</v>
      </c>
      <c r="G2013" s="375" t="s">
        <v>770</v>
      </c>
      <c r="H2013" s="375" t="s">
        <v>1388</v>
      </c>
      <c r="I2013" s="375" t="s">
        <v>869</v>
      </c>
      <c r="J2013" s="375">
        <v>0</v>
      </c>
      <c r="K2013" s="375">
        <v>0</v>
      </c>
      <c r="L2013" s="375">
        <v>0</v>
      </c>
      <c r="M2013" s="375">
        <v>123035.39014</v>
      </c>
      <c r="N2013" s="372">
        <v>1.1359999999999999</v>
      </c>
      <c r="O2013" s="703">
        <v>17.212500713823271</v>
      </c>
      <c r="P2013" s="375" t="s">
        <v>623</v>
      </c>
      <c r="Q2013" s="372" t="s">
        <v>623</v>
      </c>
      <c r="R2013" s="695">
        <v>20071008</v>
      </c>
      <c r="S2013" s="372" t="s">
        <v>13117</v>
      </c>
      <c r="T2013" s="696" t="s">
        <v>772</v>
      </c>
      <c r="U2013" s="372" t="s">
        <v>13118</v>
      </c>
      <c r="V2013" s="722">
        <v>0</v>
      </c>
      <c r="W2013" s="722">
        <v>0.43</v>
      </c>
      <c r="X2013" s="722">
        <v>0</v>
      </c>
      <c r="Y2013" s="722">
        <v>0</v>
      </c>
      <c r="Z2013" s="382" t="s">
        <v>934</v>
      </c>
      <c r="AA2013" s="372">
        <v>422.36591870000001</v>
      </c>
      <c r="AB2013" s="372">
        <v>468.9793775</v>
      </c>
      <c r="AC2013" s="372">
        <v>403.89289869999999</v>
      </c>
      <c r="AD2013" s="372">
        <v>349.6416595</v>
      </c>
      <c r="AE2013" s="372">
        <v>0</v>
      </c>
      <c r="AF2013" s="372">
        <v>0</v>
      </c>
      <c r="AG2013" s="372">
        <v>0</v>
      </c>
      <c r="AH2013" s="372">
        <v>0</v>
      </c>
    </row>
    <row r="2014" spans="1:34">
      <c r="A2014" s="372" t="s">
        <v>13119</v>
      </c>
      <c r="B2014" s="373" t="s">
        <v>13120</v>
      </c>
      <c r="C2014" s="372" t="s">
        <v>13121</v>
      </c>
      <c r="D2014" s="374">
        <v>1450110000540</v>
      </c>
      <c r="E2014" s="372" t="s">
        <v>13122</v>
      </c>
      <c r="F2014" s="375" t="s">
        <v>11136</v>
      </c>
      <c r="G2014" s="375" t="s">
        <v>11136</v>
      </c>
      <c r="H2014" s="375" t="s">
        <v>868</v>
      </c>
      <c r="I2014" s="375" t="s">
        <v>869</v>
      </c>
      <c r="J2014" s="375">
        <v>127779.37284</v>
      </c>
      <c r="K2014" s="375">
        <v>-7742.06837</v>
      </c>
      <c r="L2014" s="375">
        <v>-4007.83889</v>
      </c>
      <c r="M2014" s="375">
        <v>127903.0088</v>
      </c>
      <c r="N2014" s="372">
        <v>0.90100000000000002</v>
      </c>
      <c r="O2014" s="703">
        <v>59.199055724399344</v>
      </c>
      <c r="P2014" s="375" t="s">
        <v>623</v>
      </c>
      <c r="Q2014" s="372" t="s">
        <v>623</v>
      </c>
      <c r="R2014" s="695">
        <v>20051220</v>
      </c>
      <c r="S2014" s="372" t="s">
        <v>13123</v>
      </c>
      <c r="T2014" s="696" t="s">
        <v>772</v>
      </c>
      <c r="U2014" s="372" t="s">
        <v>13124</v>
      </c>
      <c r="V2014" s="722" t="s">
        <v>774</v>
      </c>
      <c r="W2014" s="722">
        <v>0.44</v>
      </c>
      <c r="X2014" s="722">
        <v>0.45</v>
      </c>
      <c r="Y2014" s="722" t="s">
        <v>774</v>
      </c>
      <c r="Z2014" s="382" t="s">
        <v>934</v>
      </c>
      <c r="AA2014" s="372">
        <v>1879.1132269</v>
      </c>
      <c r="AB2014" s="372">
        <v>1432.4615593000001</v>
      </c>
      <c r="AC2014" s="372">
        <v>1516.4850847</v>
      </c>
      <c r="AD2014" s="372">
        <v>1277.7937284</v>
      </c>
      <c r="AE2014" s="372">
        <v>0</v>
      </c>
      <c r="AF2014" s="372">
        <v>0</v>
      </c>
      <c r="AG2014" s="372">
        <v>0</v>
      </c>
      <c r="AH2014" s="372">
        <v>0</v>
      </c>
    </row>
    <row r="2015" spans="1:34">
      <c r="A2015" s="372" t="s">
        <v>13125</v>
      </c>
      <c r="B2015" s="373" t="s">
        <v>13126</v>
      </c>
      <c r="C2015" s="372" t="s">
        <v>13127</v>
      </c>
      <c r="D2015" s="374">
        <v>1301110023349</v>
      </c>
      <c r="E2015" s="372" t="s">
        <v>13128</v>
      </c>
      <c r="F2015" s="372" t="s">
        <v>770</v>
      </c>
      <c r="G2015" s="375" t="s">
        <v>770</v>
      </c>
      <c r="H2015" s="375" t="s">
        <v>1388</v>
      </c>
      <c r="I2015" s="375" t="s">
        <v>869</v>
      </c>
      <c r="J2015" s="375">
        <v>14523.739740000001</v>
      </c>
      <c r="K2015" s="375">
        <v>14.41677</v>
      </c>
      <c r="L2015" s="375">
        <v>8203.0003699999997</v>
      </c>
      <c r="M2015" s="375">
        <v>118667.93814</v>
      </c>
      <c r="N2015" s="372">
        <v>1.0569999999999999</v>
      </c>
      <c r="O2015" s="703">
        <v>7.173553904911413E-2</v>
      </c>
      <c r="P2015" s="375" t="s">
        <v>623</v>
      </c>
      <c r="Q2015" s="375" t="s">
        <v>623</v>
      </c>
      <c r="R2015" s="695">
        <v>19991218</v>
      </c>
      <c r="S2015" s="372" t="s">
        <v>7032</v>
      </c>
      <c r="T2015" s="696">
        <v>0.20900000000000002</v>
      </c>
      <c r="U2015" s="372" t="s">
        <v>13129</v>
      </c>
      <c r="V2015" s="722">
        <v>0</v>
      </c>
      <c r="W2015" s="722">
        <v>0.45</v>
      </c>
      <c r="X2015" s="722">
        <v>0</v>
      </c>
      <c r="Y2015" s="722">
        <v>0</v>
      </c>
      <c r="Z2015" s="382" t="s">
        <v>934</v>
      </c>
      <c r="AA2015" s="372">
        <v>135.7421373</v>
      </c>
      <c r="AB2015" s="372">
        <v>158.58694120000001</v>
      </c>
      <c r="AC2015" s="372">
        <v>134.1881917</v>
      </c>
      <c r="AD2015" s="372">
        <v>145.23739739999999</v>
      </c>
      <c r="AE2015" s="372">
        <v>0</v>
      </c>
      <c r="AF2015" s="372">
        <v>0</v>
      </c>
      <c r="AG2015" s="372">
        <v>0</v>
      </c>
      <c r="AH2015" s="372">
        <v>0</v>
      </c>
    </row>
    <row r="2016" spans="1:34">
      <c r="A2016" s="372" t="s">
        <v>13130</v>
      </c>
      <c r="B2016" s="373" t="s">
        <v>13131</v>
      </c>
      <c r="C2016" s="372" t="s">
        <v>13132</v>
      </c>
      <c r="D2016" s="374">
        <v>1201110003111</v>
      </c>
      <c r="E2016" s="372" t="s">
        <v>13133</v>
      </c>
      <c r="F2016" s="372" t="s">
        <v>1313</v>
      </c>
      <c r="G2016" s="375" t="s">
        <v>1313</v>
      </c>
      <c r="H2016" s="375" t="s">
        <v>868</v>
      </c>
      <c r="I2016" s="375" t="s">
        <v>869</v>
      </c>
      <c r="J2016" s="375">
        <v>121935.91566</v>
      </c>
      <c r="K2016" s="375">
        <v>-9406.3726000000006</v>
      </c>
      <c r="L2016" s="375">
        <v>-10249.47855</v>
      </c>
      <c r="M2016" s="375">
        <v>104450.10644</v>
      </c>
      <c r="N2016" s="372">
        <v>1.0009999999999999</v>
      </c>
      <c r="O2016" s="703">
        <v>47.558879837593906</v>
      </c>
      <c r="P2016" s="375" t="s">
        <v>623</v>
      </c>
      <c r="Q2016" s="372" t="s">
        <v>623</v>
      </c>
      <c r="R2016" s="695">
        <v>19920831</v>
      </c>
      <c r="S2016" s="372" t="s">
        <v>13134</v>
      </c>
      <c r="T2016" s="696" t="s">
        <v>772</v>
      </c>
      <c r="U2016" s="375" t="s">
        <v>13135</v>
      </c>
      <c r="V2016" s="722" t="s">
        <v>774</v>
      </c>
      <c r="W2016" s="722">
        <v>0.56000000000000005</v>
      </c>
      <c r="X2016" s="722">
        <v>0.47</v>
      </c>
      <c r="Y2016" s="722" t="s">
        <v>774</v>
      </c>
      <c r="Z2016" s="382" t="s">
        <v>934</v>
      </c>
      <c r="AA2016" s="372">
        <v>867.93095410000001</v>
      </c>
      <c r="AB2016" s="372">
        <v>1139.2773222999999</v>
      </c>
      <c r="AC2016" s="372">
        <v>1555.6099138</v>
      </c>
      <c r="AD2016" s="372">
        <v>1219.3591566</v>
      </c>
      <c r="AE2016" s="372">
        <v>0</v>
      </c>
      <c r="AF2016" s="372">
        <v>0</v>
      </c>
      <c r="AG2016" s="372">
        <v>0</v>
      </c>
      <c r="AH2016" s="372">
        <v>0</v>
      </c>
    </row>
    <row r="2017" spans="1:34">
      <c r="A2017" s="372" t="s">
        <v>13136</v>
      </c>
      <c r="B2017" s="373" t="s">
        <v>13137</v>
      </c>
      <c r="C2017" s="372" t="s">
        <v>13138</v>
      </c>
      <c r="D2017" s="374">
        <v>1615110116305</v>
      </c>
      <c r="E2017" s="372" t="s">
        <v>13139</v>
      </c>
      <c r="F2017" s="372" t="s">
        <v>1768</v>
      </c>
      <c r="G2017" s="375" t="s">
        <v>1768</v>
      </c>
      <c r="H2017" s="375" t="s">
        <v>868</v>
      </c>
      <c r="I2017" s="375" t="s">
        <v>869</v>
      </c>
      <c r="J2017" s="375">
        <v>0</v>
      </c>
      <c r="K2017" s="375">
        <v>0</v>
      </c>
      <c r="L2017" s="375">
        <v>0</v>
      </c>
      <c r="M2017" s="375">
        <v>30683.631789999999</v>
      </c>
      <c r="N2017" s="372">
        <v>0.72699999999999998</v>
      </c>
      <c r="O2017" s="703">
        <v>10.681542270160122</v>
      </c>
      <c r="P2017" s="375" t="s">
        <v>623</v>
      </c>
      <c r="Q2017" s="375" t="s">
        <v>623</v>
      </c>
      <c r="R2017" s="695">
        <v>20210526</v>
      </c>
      <c r="S2017" s="375" t="s">
        <v>13140</v>
      </c>
      <c r="T2017" s="696" t="s">
        <v>772</v>
      </c>
      <c r="U2017" s="372" t="s">
        <v>13141</v>
      </c>
      <c r="V2017" s="722">
        <v>0</v>
      </c>
      <c r="W2017" s="722">
        <v>2.37</v>
      </c>
      <c r="X2017" s="722">
        <v>0</v>
      </c>
      <c r="Y2017" s="722">
        <v>0</v>
      </c>
      <c r="Z2017" s="382" t="s">
        <v>934</v>
      </c>
      <c r="AA2017" s="372">
        <v>132.5823838</v>
      </c>
      <c r="AB2017" s="372">
        <v>132.36859519999999</v>
      </c>
      <c r="AC2017" s="372">
        <v>36.5306341</v>
      </c>
      <c r="AD2017" s="372">
        <v>8.9702772</v>
      </c>
      <c r="AE2017" s="372">
        <v>0</v>
      </c>
      <c r="AF2017" s="372">
        <v>0</v>
      </c>
      <c r="AG2017" s="372">
        <v>0</v>
      </c>
      <c r="AH2017" s="372">
        <v>0</v>
      </c>
    </row>
    <row r="2018" spans="1:34">
      <c r="A2018" s="372" t="s">
        <v>13142</v>
      </c>
      <c r="B2018" s="373" t="s">
        <v>13143</v>
      </c>
      <c r="C2018" s="372" t="s">
        <v>13144</v>
      </c>
      <c r="D2018" s="374">
        <v>1101110271497</v>
      </c>
      <c r="E2018" s="372" t="s">
        <v>13145</v>
      </c>
      <c r="F2018" s="372" t="s">
        <v>1897</v>
      </c>
      <c r="G2018" s="375" t="s">
        <v>1897</v>
      </c>
      <c r="H2018" s="375" t="s">
        <v>1397</v>
      </c>
      <c r="I2018" s="375" t="s">
        <v>755</v>
      </c>
      <c r="J2018" s="375">
        <v>135981.75685000001</v>
      </c>
      <c r="K2018" s="375">
        <v>982.90553999999997</v>
      </c>
      <c r="L2018" s="375">
        <v>-1801.63958</v>
      </c>
      <c r="M2018" s="375">
        <v>39034.38968</v>
      </c>
      <c r="N2018" s="372">
        <v>0.70799999999999996</v>
      </c>
      <c r="O2018" s="703">
        <v>30.254756095043668</v>
      </c>
      <c r="P2018" s="375" t="s">
        <v>623</v>
      </c>
      <c r="Q2018" s="375" t="s">
        <v>623</v>
      </c>
      <c r="R2018" s="695">
        <v>19970623</v>
      </c>
      <c r="S2018" s="375" t="s">
        <v>13146</v>
      </c>
      <c r="T2018" s="696" t="s">
        <v>772</v>
      </c>
      <c r="U2018" s="372" t="s">
        <v>13147</v>
      </c>
      <c r="V2018" s="722">
        <v>18.8</v>
      </c>
      <c r="W2018" s="722">
        <v>1.44</v>
      </c>
      <c r="X2018" s="722">
        <v>0.41</v>
      </c>
      <c r="Y2018" s="722" t="s">
        <v>774</v>
      </c>
      <c r="Z2018" s="382" t="s">
        <v>934</v>
      </c>
      <c r="AA2018" s="372">
        <v>724.69645409999998</v>
      </c>
      <c r="AB2018" s="372">
        <v>757.24704650000001</v>
      </c>
      <c r="AC2018" s="372">
        <v>1372.2481269</v>
      </c>
      <c r="AD2018" s="372">
        <v>1359.8175685000001</v>
      </c>
      <c r="AE2018" s="372">
        <v>0</v>
      </c>
      <c r="AF2018" s="372">
        <v>0</v>
      </c>
      <c r="AG2018" s="372">
        <v>0</v>
      </c>
      <c r="AH2018" s="372">
        <v>0</v>
      </c>
    </row>
    <row r="2019" spans="1:34">
      <c r="A2019" s="372" t="s">
        <v>13148</v>
      </c>
      <c r="B2019" s="373" t="s">
        <v>13149</v>
      </c>
      <c r="C2019" s="372" t="s">
        <v>16206</v>
      </c>
      <c r="D2019" s="374">
        <v>1358110109900</v>
      </c>
      <c r="E2019" s="372" t="s">
        <v>16207</v>
      </c>
      <c r="F2019" s="372" t="s">
        <v>1285</v>
      </c>
      <c r="G2019" s="375" t="s">
        <v>1285</v>
      </c>
      <c r="H2019" s="375" t="s">
        <v>1388</v>
      </c>
      <c r="I2019" s="375" t="s">
        <v>869</v>
      </c>
      <c r="J2019" s="375">
        <v>48310.286059999999</v>
      </c>
      <c r="K2019" s="375">
        <v>-2890.9875200000001</v>
      </c>
      <c r="L2019" s="375">
        <v>-7849.3245299999999</v>
      </c>
      <c r="M2019" s="375">
        <v>35612.131580000001</v>
      </c>
      <c r="N2019" s="372">
        <v>1.0409999999999999</v>
      </c>
      <c r="O2019" s="703">
        <v>29.711548857791172</v>
      </c>
      <c r="P2019" s="375" t="s">
        <v>16142</v>
      </c>
      <c r="Q2019" s="372" t="s">
        <v>16145</v>
      </c>
      <c r="R2019" s="695">
        <v>20120802</v>
      </c>
      <c r="S2019" s="372" t="s">
        <v>13150</v>
      </c>
      <c r="T2019" s="696" t="s">
        <v>772</v>
      </c>
      <c r="U2019" s="372" t="s">
        <v>13151</v>
      </c>
      <c r="V2019" s="722">
        <v>170.34</v>
      </c>
      <c r="W2019" s="722">
        <v>2.02</v>
      </c>
      <c r="X2019" s="722">
        <v>1.49</v>
      </c>
      <c r="Y2019" s="722" t="s">
        <v>774</v>
      </c>
      <c r="Z2019" s="382" t="s">
        <v>934</v>
      </c>
      <c r="AA2019" s="372">
        <v>569.67083190000005</v>
      </c>
      <c r="AB2019" s="372">
        <v>514.82022619999998</v>
      </c>
      <c r="AC2019" s="372">
        <v>508.51627120000001</v>
      </c>
      <c r="AD2019" s="372">
        <v>483.10286059999999</v>
      </c>
      <c r="AE2019" s="372">
        <v>0</v>
      </c>
      <c r="AF2019" s="372">
        <v>0</v>
      </c>
      <c r="AG2019" s="372">
        <v>0</v>
      </c>
      <c r="AH2019" s="372">
        <v>0</v>
      </c>
    </row>
    <row r="2020" spans="1:34">
      <c r="A2020" s="372" t="s">
        <v>13152</v>
      </c>
      <c r="B2020" s="373" t="s">
        <v>13153</v>
      </c>
      <c r="C2020" s="372" t="s">
        <v>13154</v>
      </c>
      <c r="D2020" s="374">
        <v>1101115403623</v>
      </c>
      <c r="E2020" s="372" t="s">
        <v>13155</v>
      </c>
      <c r="F2020" s="372" t="s">
        <v>2674</v>
      </c>
      <c r="G2020" s="375" t="s">
        <v>2674</v>
      </c>
      <c r="H2020" s="375" t="s">
        <v>868</v>
      </c>
      <c r="I2020" s="375" t="s">
        <v>869</v>
      </c>
      <c r="J2020" s="375">
        <v>50522.976669999996</v>
      </c>
      <c r="K2020" s="375">
        <v>-17209.786240000001</v>
      </c>
      <c r="L2020" s="375">
        <v>-19520.329160000001</v>
      </c>
      <c r="M2020" s="375">
        <v>92196.180540000001</v>
      </c>
      <c r="N2020" s="372">
        <v>1.0509999999999999</v>
      </c>
      <c r="O2020" s="703">
        <v>11.812177882351204</v>
      </c>
      <c r="P2020" s="375" t="s">
        <v>623</v>
      </c>
      <c r="Q2020" s="375" t="s">
        <v>623</v>
      </c>
      <c r="R2020" s="695">
        <v>20140813</v>
      </c>
      <c r="S2020" s="372" t="s">
        <v>13156</v>
      </c>
      <c r="T2020" s="696" t="s">
        <v>772</v>
      </c>
      <c r="U2020" s="372" t="s">
        <v>13157</v>
      </c>
      <c r="V2020" s="722">
        <v>0</v>
      </c>
      <c r="W2020" s="722">
        <v>0.59</v>
      </c>
      <c r="X2020" s="722">
        <v>0</v>
      </c>
      <c r="Y2020" s="722">
        <v>0</v>
      </c>
      <c r="Z2020" s="382" t="s">
        <v>934</v>
      </c>
      <c r="AA2020" s="372">
        <v>701.8271082</v>
      </c>
      <c r="AB2020" s="372">
        <v>656.7253164</v>
      </c>
      <c r="AC2020" s="372">
        <v>699.0473733</v>
      </c>
      <c r="AD2020" s="372">
        <v>505.22976670000003</v>
      </c>
      <c r="AE2020" s="372">
        <v>0</v>
      </c>
      <c r="AF2020" s="372">
        <v>0</v>
      </c>
      <c r="AG2020" s="372">
        <v>0</v>
      </c>
      <c r="AH2020" s="372">
        <v>0</v>
      </c>
    </row>
    <row r="2021" spans="1:34">
      <c r="A2021" s="372" t="s">
        <v>13158</v>
      </c>
      <c r="B2021" s="373" t="s">
        <v>13159</v>
      </c>
      <c r="C2021" s="372" t="s">
        <v>13160</v>
      </c>
      <c r="D2021" s="374">
        <v>1701110030958</v>
      </c>
      <c r="E2021" s="372" t="s">
        <v>13161</v>
      </c>
      <c r="F2021" s="372" t="s">
        <v>7108</v>
      </c>
      <c r="G2021" s="375" t="s">
        <v>8338</v>
      </c>
      <c r="H2021" s="375" t="s">
        <v>868</v>
      </c>
      <c r="I2021" s="375" t="s">
        <v>869</v>
      </c>
      <c r="J2021" s="375">
        <v>91550.544829999999</v>
      </c>
      <c r="K2021" s="375">
        <v>10029.5972</v>
      </c>
      <c r="L2021" s="375">
        <v>9570.8877599999996</v>
      </c>
      <c r="M2021" s="375">
        <v>88520.680630000003</v>
      </c>
      <c r="N2021" s="372">
        <v>1.1459999999999999</v>
      </c>
      <c r="O2021" s="703">
        <v>50.759571288796003</v>
      </c>
      <c r="P2021" s="375" t="s">
        <v>623</v>
      </c>
      <c r="Q2021" s="375" t="s">
        <v>623</v>
      </c>
      <c r="R2021" s="695">
        <v>20000314</v>
      </c>
      <c r="S2021" s="372" t="s">
        <v>13162</v>
      </c>
      <c r="T2021" s="696">
        <v>0.20900000000000002</v>
      </c>
      <c r="U2021" s="372" t="s">
        <v>13163</v>
      </c>
      <c r="V2021" s="722">
        <v>6.58</v>
      </c>
      <c r="W2021" s="722">
        <v>0.65</v>
      </c>
      <c r="X2021" s="722">
        <v>0.63</v>
      </c>
      <c r="Y2021" s="722">
        <v>7.14</v>
      </c>
      <c r="Z2021" s="382" t="s">
        <v>934</v>
      </c>
      <c r="AA2021" s="372">
        <v>589.28953799999999</v>
      </c>
      <c r="AB2021" s="372">
        <v>719.61904340000001</v>
      </c>
      <c r="AC2021" s="372">
        <v>855.25543679999998</v>
      </c>
      <c r="AD2021" s="372">
        <v>915.50544830000001</v>
      </c>
      <c r="AE2021" s="372">
        <v>0</v>
      </c>
      <c r="AF2021" s="372">
        <v>0</v>
      </c>
      <c r="AG2021" s="372">
        <v>0</v>
      </c>
      <c r="AH2021" s="372">
        <v>0</v>
      </c>
    </row>
    <row r="2022" spans="1:34">
      <c r="A2022" s="372" t="s">
        <v>13164</v>
      </c>
      <c r="B2022" s="373" t="s">
        <v>13165</v>
      </c>
      <c r="C2022" s="372" t="s">
        <v>13166</v>
      </c>
      <c r="D2022" s="374">
        <v>1101111670234</v>
      </c>
      <c r="E2022" s="372" t="s">
        <v>13167</v>
      </c>
      <c r="F2022" s="372" t="s">
        <v>13168</v>
      </c>
      <c r="G2022" s="375" t="s">
        <v>13168</v>
      </c>
      <c r="H2022" s="375" t="s">
        <v>1348</v>
      </c>
      <c r="I2022" s="375" t="s">
        <v>869</v>
      </c>
      <c r="J2022" s="375">
        <v>54943.864070000003</v>
      </c>
      <c r="K2022" s="375">
        <v>4711.6817099999998</v>
      </c>
      <c r="L2022" s="375">
        <v>4806.7851000000001</v>
      </c>
      <c r="M2022" s="375">
        <v>30880.759620000001</v>
      </c>
      <c r="N2022" s="372">
        <v>0.78700000000000003</v>
      </c>
      <c r="O2022" s="703">
        <v>2.1012108252511927</v>
      </c>
      <c r="P2022" s="375" t="s">
        <v>623</v>
      </c>
      <c r="Q2022" s="372" t="s">
        <v>623</v>
      </c>
      <c r="R2022" s="695">
        <v>20200701</v>
      </c>
      <c r="S2022" s="372" t="s">
        <v>13169</v>
      </c>
      <c r="T2022" s="696">
        <v>0.20900000000000002</v>
      </c>
      <c r="U2022" s="372" t="s">
        <v>13170</v>
      </c>
      <c r="V2022" s="722">
        <v>8.61</v>
      </c>
      <c r="W2022" s="722">
        <v>1.9</v>
      </c>
      <c r="X2022" s="722">
        <v>1.05</v>
      </c>
      <c r="Y2022" s="722">
        <v>15.33</v>
      </c>
      <c r="Z2022" s="382" t="s">
        <v>934</v>
      </c>
      <c r="AA2022" s="372">
        <v>411.19890850000002</v>
      </c>
      <c r="AB2022" s="372">
        <v>437.61437489999997</v>
      </c>
      <c r="AC2022" s="372">
        <v>512.68071629999997</v>
      </c>
      <c r="AD2022" s="372">
        <v>549.43864069999995</v>
      </c>
      <c r="AE2022" s="372">
        <v>0</v>
      </c>
      <c r="AF2022" s="372">
        <v>0</v>
      </c>
      <c r="AG2022" s="372">
        <v>0</v>
      </c>
      <c r="AH2022" s="372">
        <v>0</v>
      </c>
    </row>
    <row r="2023" spans="1:34">
      <c r="A2023" s="372" t="s">
        <v>13171</v>
      </c>
      <c r="B2023" s="373" t="s">
        <v>13172</v>
      </c>
      <c r="C2023" s="372" t="s">
        <v>13173</v>
      </c>
      <c r="D2023" s="374">
        <v>1101110073413</v>
      </c>
      <c r="E2023" s="372" t="s">
        <v>13174</v>
      </c>
      <c r="F2023" s="372" t="s">
        <v>2729</v>
      </c>
      <c r="G2023" s="375" t="s">
        <v>12674</v>
      </c>
      <c r="H2023" s="375" t="s">
        <v>1481</v>
      </c>
      <c r="I2023" s="375" t="s">
        <v>755</v>
      </c>
      <c r="J2023" s="375">
        <v>7774.1249900000003</v>
      </c>
      <c r="K2023" s="375">
        <v>-3006.3295699999999</v>
      </c>
      <c r="L2023" s="375">
        <v>5902.4849999999997</v>
      </c>
      <c r="M2023" s="375">
        <v>166583.69467</v>
      </c>
      <c r="N2023" s="372">
        <v>0.82899999999999996</v>
      </c>
      <c r="O2023" s="703">
        <v>16.622716388306959</v>
      </c>
      <c r="P2023" s="375" t="s">
        <v>623</v>
      </c>
      <c r="Q2023" s="372" t="s">
        <v>623</v>
      </c>
      <c r="R2023" s="695">
        <v>19770630</v>
      </c>
      <c r="S2023" s="372" t="s">
        <v>13175</v>
      </c>
      <c r="T2023" s="696">
        <v>0.20900000000000002</v>
      </c>
      <c r="U2023" s="372" t="s">
        <v>13176</v>
      </c>
      <c r="V2023" s="722">
        <v>0</v>
      </c>
      <c r="W2023" s="722">
        <v>0.31</v>
      </c>
      <c r="X2023" s="722">
        <v>0</v>
      </c>
      <c r="Y2023" s="722">
        <v>0</v>
      </c>
      <c r="Z2023" s="382" t="s">
        <v>934</v>
      </c>
      <c r="AA2023" s="372">
        <v>2769.0890377000001</v>
      </c>
      <c r="AB2023" s="372">
        <v>2267.4646991999998</v>
      </c>
      <c r="AC2023" s="372">
        <v>114.703613</v>
      </c>
      <c r="AD2023" s="372">
        <v>77.7412499</v>
      </c>
      <c r="AE2023" s="372">
        <v>0</v>
      </c>
      <c r="AF2023" s="372">
        <v>0</v>
      </c>
      <c r="AG2023" s="372">
        <v>0</v>
      </c>
      <c r="AH2023" s="372">
        <v>0</v>
      </c>
    </row>
    <row r="2024" spans="1:34">
      <c r="A2024" s="372" t="s">
        <v>13177</v>
      </c>
      <c r="B2024" s="373" t="s">
        <v>13178</v>
      </c>
      <c r="C2024" s="372" t="s">
        <v>13179</v>
      </c>
      <c r="D2024" s="374">
        <v>1701110391532</v>
      </c>
      <c r="E2024" s="372" t="s">
        <v>13180</v>
      </c>
      <c r="F2024" s="372" t="s">
        <v>5182</v>
      </c>
      <c r="G2024" s="375" t="s">
        <v>8194</v>
      </c>
      <c r="H2024" s="375" t="s">
        <v>853</v>
      </c>
      <c r="I2024" s="375" t="s">
        <v>755</v>
      </c>
      <c r="J2024" s="375">
        <v>55750.068749999999</v>
      </c>
      <c r="K2024" s="375">
        <v>-8903.7333600000002</v>
      </c>
      <c r="L2024" s="375">
        <v>-26174.102719999999</v>
      </c>
      <c r="M2024" s="375">
        <v>137704.44805000001</v>
      </c>
      <c r="N2024" s="372">
        <v>1.0449999999999999</v>
      </c>
      <c r="O2024" s="703">
        <v>4.5241587397388061</v>
      </c>
      <c r="P2024" s="375" t="s">
        <v>623</v>
      </c>
      <c r="Q2024" s="372" t="s">
        <v>623</v>
      </c>
      <c r="R2024" s="695">
        <v>20091230</v>
      </c>
      <c r="S2024" s="372" t="s">
        <v>13181</v>
      </c>
      <c r="T2024" s="696" t="s">
        <v>772</v>
      </c>
      <c r="U2024" s="372" t="s">
        <v>16109</v>
      </c>
      <c r="V2024" s="722" t="s">
        <v>774</v>
      </c>
      <c r="W2024" s="722">
        <v>0.57999999999999996</v>
      </c>
      <c r="X2024" s="722">
        <v>1.05</v>
      </c>
      <c r="Y2024" s="722" t="s">
        <v>774</v>
      </c>
      <c r="Z2024" s="382" t="s">
        <v>934</v>
      </c>
      <c r="AA2024" s="372">
        <v>66.212218500000006</v>
      </c>
      <c r="AB2024" s="372">
        <v>186.13345269999999</v>
      </c>
      <c r="AC2024" s="372">
        <v>190.98326969999999</v>
      </c>
      <c r="AD2024" s="372">
        <v>557.50068750000003</v>
      </c>
      <c r="AE2024" s="372">
        <v>0</v>
      </c>
      <c r="AF2024" s="372">
        <v>0</v>
      </c>
      <c r="AG2024" s="372">
        <v>0</v>
      </c>
      <c r="AH2024" s="372">
        <v>0</v>
      </c>
    </row>
    <row r="2025" spans="1:34">
      <c r="A2025" s="372" t="s">
        <v>13182</v>
      </c>
      <c r="B2025" s="373" t="s">
        <v>13183</v>
      </c>
      <c r="C2025" s="372" t="s">
        <v>13184</v>
      </c>
      <c r="D2025" s="374">
        <v>1101111577977</v>
      </c>
      <c r="E2025" s="372" t="s">
        <v>13185</v>
      </c>
      <c r="F2025" s="372" t="s">
        <v>3326</v>
      </c>
      <c r="G2025" s="375" t="s">
        <v>3326</v>
      </c>
      <c r="H2025" s="375" t="s">
        <v>3127</v>
      </c>
      <c r="I2025" s="375" t="s">
        <v>869</v>
      </c>
      <c r="J2025" s="375">
        <v>304742.79106999998</v>
      </c>
      <c r="K2025" s="375">
        <v>3282.61247</v>
      </c>
      <c r="L2025" s="375">
        <v>1107.46649</v>
      </c>
      <c r="M2025" s="375">
        <v>42783.481520000001</v>
      </c>
      <c r="N2025" s="372">
        <v>1.0980000000000001</v>
      </c>
      <c r="O2025" s="703">
        <v>43.859464945033992</v>
      </c>
      <c r="P2025" s="375" t="s">
        <v>623</v>
      </c>
      <c r="Q2025" s="372" t="s">
        <v>623</v>
      </c>
      <c r="R2025" s="695">
        <v>20020208</v>
      </c>
      <c r="S2025" s="372" t="s">
        <v>13186</v>
      </c>
      <c r="T2025" s="696">
        <v>0.20900000000000002</v>
      </c>
      <c r="U2025" s="372" t="s">
        <v>13187</v>
      </c>
      <c r="V2025" s="722">
        <v>0</v>
      </c>
      <c r="W2025" s="722">
        <v>1.59</v>
      </c>
      <c r="X2025" s="722">
        <v>0</v>
      </c>
      <c r="Y2025" s="722">
        <v>0</v>
      </c>
      <c r="Z2025" s="382" t="s">
        <v>934</v>
      </c>
      <c r="AA2025" s="372">
        <v>3134.6286719</v>
      </c>
      <c r="AB2025" s="372">
        <v>3648.5095867999999</v>
      </c>
      <c r="AC2025" s="372">
        <v>3122.6258772000001</v>
      </c>
      <c r="AD2025" s="372">
        <v>3047.4279107000002</v>
      </c>
      <c r="AE2025" s="372">
        <v>0</v>
      </c>
      <c r="AF2025" s="372">
        <v>0</v>
      </c>
      <c r="AG2025" s="372">
        <v>0</v>
      </c>
      <c r="AH2025" s="372">
        <v>0</v>
      </c>
    </row>
    <row r="2026" spans="1:34">
      <c r="A2026" s="372" t="s">
        <v>13188</v>
      </c>
      <c r="B2026" s="373" t="s">
        <v>13189</v>
      </c>
      <c r="C2026" s="372" t="s">
        <v>13190</v>
      </c>
      <c r="D2026" s="374">
        <v>1101113489609</v>
      </c>
      <c r="E2026" s="372" t="s">
        <v>13191</v>
      </c>
      <c r="F2026" s="372" t="s">
        <v>10698</v>
      </c>
      <c r="G2026" s="375" t="s">
        <v>10698</v>
      </c>
      <c r="H2026" s="375" t="s">
        <v>1050</v>
      </c>
      <c r="I2026" s="375" t="s">
        <v>755</v>
      </c>
      <c r="J2026" s="375">
        <v>130624.04316</v>
      </c>
      <c r="K2026" s="375">
        <v>-6073.7662899999996</v>
      </c>
      <c r="L2026" s="375">
        <v>-15210.48285</v>
      </c>
      <c r="M2026" s="375">
        <v>189853.31974000001</v>
      </c>
      <c r="N2026" s="372">
        <v>0.90600000000000003</v>
      </c>
      <c r="O2026" s="703">
        <v>102.39112583093768</v>
      </c>
      <c r="P2026" s="375" t="s">
        <v>16142</v>
      </c>
      <c r="Q2026" s="372" t="s">
        <v>16145</v>
      </c>
      <c r="R2026" s="695">
        <v>20060731</v>
      </c>
      <c r="S2026" s="372" t="s">
        <v>13192</v>
      </c>
      <c r="T2026" s="696" t="s">
        <v>772</v>
      </c>
      <c r="U2026" s="372" t="s">
        <v>13193</v>
      </c>
      <c r="V2026" s="722" t="s">
        <v>774</v>
      </c>
      <c r="W2026" s="722">
        <v>0.35</v>
      </c>
      <c r="X2026" s="722">
        <v>0.42</v>
      </c>
      <c r="Y2026" s="722" t="s">
        <v>774</v>
      </c>
      <c r="Z2026" s="382" t="s">
        <v>934</v>
      </c>
      <c r="AA2026" s="372">
        <v>1098.5450702999999</v>
      </c>
      <c r="AB2026" s="372">
        <v>831.49598260000005</v>
      </c>
      <c r="AC2026" s="372">
        <v>1266.2732509</v>
      </c>
      <c r="AD2026" s="372">
        <v>1306.2404316</v>
      </c>
      <c r="AE2026" s="372">
        <v>0</v>
      </c>
      <c r="AF2026" s="372">
        <v>0</v>
      </c>
      <c r="AG2026" s="372">
        <v>0</v>
      </c>
      <c r="AH2026" s="372">
        <v>0</v>
      </c>
    </row>
    <row r="2027" spans="1:34">
      <c r="A2027" s="372" t="s">
        <v>13194</v>
      </c>
      <c r="B2027" s="373" t="s">
        <v>13195</v>
      </c>
      <c r="C2027" s="372" t="s">
        <v>13196</v>
      </c>
      <c r="D2027" s="374">
        <v>1101113971466</v>
      </c>
      <c r="E2027" s="372" t="s">
        <v>13197</v>
      </c>
      <c r="F2027" s="375" t="s">
        <v>1104</v>
      </c>
      <c r="G2027" s="375" t="s">
        <v>1105</v>
      </c>
      <c r="H2027" s="375" t="s">
        <v>868</v>
      </c>
      <c r="I2027" s="375" t="s">
        <v>869</v>
      </c>
      <c r="J2027" s="375">
        <v>46942.769390000001</v>
      </c>
      <c r="K2027" s="375">
        <v>-13655.499519999999</v>
      </c>
      <c r="L2027" s="375">
        <v>-10032.794900000001</v>
      </c>
      <c r="M2027" s="375">
        <v>45109.672429999999</v>
      </c>
      <c r="N2027" s="372">
        <v>0.434</v>
      </c>
      <c r="O2027" s="703">
        <v>43.253607809230381</v>
      </c>
      <c r="P2027" s="375" t="s">
        <v>16142</v>
      </c>
      <c r="Q2027" s="372" t="s">
        <v>16145</v>
      </c>
      <c r="R2027" s="695">
        <v>20170302</v>
      </c>
      <c r="S2027" s="372" t="s">
        <v>13198</v>
      </c>
      <c r="T2027" s="696" t="s">
        <v>772</v>
      </c>
      <c r="U2027" s="372" t="s">
        <v>13199</v>
      </c>
      <c r="V2027" s="722" t="s">
        <v>774</v>
      </c>
      <c r="W2027" s="722">
        <v>0.87</v>
      </c>
      <c r="X2027" s="722">
        <v>0.24</v>
      </c>
      <c r="Y2027" s="722" t="s">
        <v>774</v>
      </c>
      <c r="Z2027" s="382" t="s">
        <v>934</v>
      </c>
      <c r="AA2027" s="372">
        <v>1407.2543148</v>
      </c>
      <c r="AB2027" s="372">
        <v>1246.809673</v>
      </c>
      <c r="AC2027" s="372">
        <v>565.7371799</v>
      </c>
      <c r="AD2027" s="372">
        <v>469.42769390000001</v>
      </c>
      <c r="AE2027" s="372">
        <v>0</v>
      </c>
      <c r="AF2027" s="372">
        <v>0</v>
      </c>
      <c r="AG2027" s="372">
        <v>0</v>
      </c>
      <c r="AH2027" s="372">
        <v>0</v>
      </c>
    </row>
    <row r="2028" spans="1:34">
      <c r="A2028" s="372" t="s">
        <v>13200</v>
      </c>
      <c r="B2028" s="373" t="s">
        <v>13201</v>
      </c>
      <c r="C2028" s="372" t="s">
        <v>13202</v>
      </c>
      <c r="D2028" s="374">
        <v>1101114022325</v>
      </c>
      <c r="E2028" s="372" t="s">
        <v>13203</v>
      </c>
      <c r="F2028" s="375" t="s">
        <v>10422</v>
      </c>
      <c r="G2028" s="375" t="s">
        <v>12172</v>
      </c>
      <c r="H2028" s="375" t="s">
        <v>1348</v>
      </c>
      <c r="I2028" s="375" t="s">
        <v>869</v>
      </c>
      <c r="J2028" s="375">
        <v>0</v>
      </c>
      <c r="K2028" s="375">
        <v>0</v>
      </c>
      <c r="L2028" s="375">
        <v>0</v>
      </c>
      <c r="M2028" s="375">
        <v>37991.410199999998</v>
      </c>
      <c r="N2028" s="372">
        <v>0.73199999999999998</v>
      </c>
      <c r="O2028" s="703">
        <v>1.0421041514777492</v>
      </c>
      <c r="P2028" s="375" t="s">
        <v>623</v>
      </c>
      <c r="Q2028" s="372" t="s">
        <v>623</v>
      </c>
      <c r="R2028" s="695">
        <v>20150629</v>
      </c>
      <c r="S2028" s="372" t="s">
        <v>13204</v>
      </c>
      <c r="T2028" s="696" t="s">
        <v>772</v>
      </c>
      <c r="U2028" s="372" t="s">
        <v>13205</v>
      </c>
      <c r="V2028" s="722">
        <v>0</v>
      </c>
      <c r="W2028" s="722">
        <v>1.57</v>
      </c>
      <c r="X2028" s="722">
        <v>0</v>
      </c>
      <c r="Y2028" s="722">
        <v>0</v>
      </c>
      <c r="Z2028" s="382" t="s">
        <v>934</v>
      </c>
      <c r="AA2028" s="372">
        <v>239.8261694</v>
      </c>
      <c r="AB2028" s="372">
        <v>505.52623679999999</v>
      </c>
      <c r="AC2028" s="372">
        <v>690.13134090000005</v>
      </c>
      <c r="AD2028" s="372">
        <v>307.92036510000003</v>
      </c>
      <c r="AE2028" s="372">
        <v>0</v>
      </c>
      <c r="AF2028" s="372">
        <v>0</v>
      </c>
      <c r="AG2028" s="372">
        <v>0</v>
      </c>
      <c r="AH2028" s="372">
        <v>0</v>
      </c>
    </row>
    <row r="2029" spans="1:34">
      <c r="A2029" s="372" t="s">
        <v>13206</v>
      </c>
      <c r="B2029" s="373" t="s">
        <v>13207</v>
      </c>
      <c r="C2029" s="372" t="s">
        <v>13208</v>
      </c>
      <c r="D2029" s="374">
        <v>1101113840843</v>
      </c>
      <c r="E2029" s="372" t="s">
        <v>13209</v>
      </c>
      <c r="F2029" s="375" t="s">
        <v>3924</v>
      </c>
      <c r="G2029" s="375" t="s">
        <v>7859</v>
      </c>
      <c r="H2029" s="375" t="s">
        <v>902</v>
      </c>
      <c r="I2029" s="375" t="s">
        <v>869</v>
      </c>
      <c r="J2029" s="375">
        <v>26165.56667</v>
      </c>
      <c r="K2029" s="375">
        <v>14300.519259999999</v>
      </c>
      <c r="L2029" s="375">
        <v>14602.675789999999</v>
      </c>
      <c r="M2029" s="375">
        <v>89845.18045</v>
      </c>
      <c r="N2029" s="372">
        <v>0.83499999999999996</v>
      </c>
      <c r="O2029" s="703">
        <v>13.049634454384909</v>
      </c>
      <c r="P2029" s="375" t="s">
        <v>623</v>
      </c>
      <c r="Q2029" s="372" t="s">
        <v>623</v>
      </c>
      <c r="R2029" s="695">
        <v>20161215</v>
      </c>
      <c r="S2029" s="372" t="s">
        <v>10306</v>
      </c>
      <c r="T2029" s="696">
        <v>0.20900000000000002</v>
      </c>
      <c r="U2029" s="372" t="s">
        <v>13210</v>
      </c>
      <c r="V2029" s="722">
        <v>0</v>
      </c>
      <c r="W2029" s="722">
        <v>0.69</v>
      </c>
      <c r="X2029" s="722">
        <v>2.1800000000000002</v>
      </c>
      <c r="Y2029" s="722">
        <v>5.53</v>
      </c>
      <c r="Z2029" s="382" t="s">
        <v>934</v>
      </c>
      <c r="AA2029" s="372">
        <v>157.82402020000001</v>
      </c>
      <c r="AB2029" s="372">
        <v>223.51330350000001</v>
      </c>
      <c r="AC2029" s="372">
        <v>272.51625949999999</v>
      </c>
      <c r="AD2029" s="372">
        <v>261.65566669999998</v>
      </c>
      <c r="AE2029" s="372">
        <v>0</v>
      </c>
      <c r="AF2029" s="372">
        <v>0</v>
      </c>
      <c r="AG2029" s="372">
        <v>0</v>
      </c>
      <c r="AH2029" s="372">
        <v>0</v>
      </c>
    </row>
    <row r="2030" spans="1:34">
      <c r="A2030" s="372" t="s">
        <v>13211</v>
      </c>
      <c r="B2030" s="373" t="s">
        <v>13212</v>
      </c>
      <c r="C2030" s="372" t="s">
        <v>13213</v>
      </c>
      <c r="D2030" s="374">
        <v>1942110000191</v>
      </c>
      <c r="E2030" s="372" t="s">
        <v>13214</v>
      </c>
      <c r="F2030" s="375" t="s">
        <v>2771</v>
      </c>
      <c r="G2030" s="375" t="s">
        <v>6574</v>
      </c>
      <c r="H2030" s="375" t="s">
        <v>817</v>
      </c>
      <c r="I2030" s="375" t="s">
        <v>755</v>
      </c>
      <c r="J2030" s="375">
        <v>500010.55615000002</v>
      </c>
      <c r="K2030" s="375">
        <v>1252.47487</v>
      </c>
      <c r="L2030" s="375">
        <v>-9503.4586600000002</v>
      </c>
      <c r="M2030" s="375">
        <v>229871.16128</v>
      </c>
      <c r="N2030" s="372">
        <v>0.83</v>
      </c>
      <c r="O2030" s="703">
        <v>619.73772938241211</v>
      </c>
      <c r="P2030" s="375" t="s">
        <v>623</v>
      </c>
      <c r="Q2030" s="372" t="s">
        <v>623</v>
      </c>
      <c r="R2030" s="695">
        <v>20100125</v>
      </c>
      <c r="S2030" s="372" t="s">
        <v>13215</v>
      </c>
      <c r="T2030" s="696" t="s">
        <v>772</v>
      </c>
      <c r="U2030" s="372" t="s">
        <v>13216</v>
      </c>
      <c r="V2030" s="722">
        <v>16.489999999999998</v>
      </c>
      <c r="W2030" s="722">
        <v>0.19</v>
      </c>
      <c r="X2030" s="722">
        <v>0.11</v>
      </c>
      <c r="Y2030" s="722" t="s">
        <v>774</v>
      </c>
      <c r="Z2030" s="382" t="s">
        <v>934</v>
      </c>
      <c r="AA2030" s="372">
        <v>1997.3426469000001</v>
      </c>
      <c r="AB2030" s="372">
        <v>4086.0283067999999</v>
      </c>
      <c r="AC2030" s="372">
        <v>5273.6873833</v>
      </c>
      <c r="AD2030" s="372">
        <v>5000.1055614999996</v>
      </c>
      <c r="AE2030" s="372">
        <v>0</v>
      </c>
      <c r="AF2030" s="372">
        <v>0</v>
      </c>
      <c r="AG2030" s="372">
        <v>0</v>
      </c>
      <c r="AH2030" s="372">
        <v>0</v>
      </c>
    </row>
    <row r="2031" spans="1:34">
      <c r="A2031" s="372" t="s">
        <v>13217</v>
      </c>
      <c r="B2031" s="373" t="s">
        <v>13218</v>
      </c>
      <c r="C2031" s="372" t="s">
        <v>13219</v>
      </c>
      <c r="D2031" s="374">
        <v>1101114493344</v>
      </c>
      <c r="E2031" s="372" t="s">
        <v>13220</v>
      </c>
      <c r="F2031" s="375" t="s">
        <v>4233</v>
      </c>
      <c r="G2031" s="375" t="s">
        <v>4234</v>
      </c>
      <c r="H2031" s="375" t="s">
        <v>975</v>
      </c>
      <c r="I2031" s="375" t="s">
        <v>755</v>
      </c>
      <c r="J2031" s="375">
        <v>200135.77799999999</v>
      </c>
      <c r="K2031" s="375">
        <v>-1927.4373800000001</v>
      </c>
      <c r="L2031" s="375">
        <v>2451.0272599999998</v>
      </c>
      <c r="M2031" s="375">
        <v>64785.987970000002</v>
      </c>
      <c r="N2031" s="372">
        <v>0.95399999999999996</v>
      </c>
      <c r="O2031" s="703">
        <v>10.046007670602371</v>
      </c>
      <c r="P2031" s="375" t="s">
        <v>623</v>
      </c>
      <c r="Q2031" s="372" t="s">
        <v>623</v>
      </c>
      <c r="R2031" s="695">
        <v>20110125</v>
      </c>
      <c r="S2031" s="372" t="s">
        <v>13221</v>
      </c>
      <c r="T2031" s="696">
        <v>0.20900000000000002</v>
      </c>
      <c r="U2031" s="372" t="s">
        <v>13222</v>
      </c>
      <c r="V2031" s="722">
        <v>14.09</v>
      </c>
      <c r="W2031" s="722">
        <v>0.84</v>
      </c>
      <c r="X2031" s="722">
        <v>0.28999999999999998</v>
      </c>
      <c r="Y2031" s="722">
        <v>23.65</v>
      </c>
      <c r="Z2031" s="382" t="s">
        <v>934</v>
      </c>
      <c r="AA2031" s="372">
        <v>2274.9031248000001</v>
      </c>
      <c r="AB2031" s="372">
        <v>2519.3690336</v>
      </c>
      <c r="AC2031" s="372">
        <v>2433.2065837</v>
      </c>
      <c r="AD2031" s="372">
        <v>2001.35778</v>
      </c>
      <c r="AE2031" s="372">
        <v>0</v>
      </c>
      <c r="AF2031" s="372">
        <v>0</v>
      </c>
      <c r="AG2031" s="372">
        <v>0</v>
      </c>
      <c r="AH2031" s="372">
        <v>0</v>
      </c>
    </row>
    <row r="2032" spans="1:34">
      <c r="A2032" s="372" t="s">
        <v>13223</v>
      </c>
      <c r="B2032" s="373" t="s">
        <v>13224</v>
      </c>
      <c r="C2032" s="372" t="s">
        <v>13225</v>
      </c>
      <c r="D2032" s="374">
        <v>1358110087437</v>
      </c>
      <c r="E2032" s="372" t="s">
        <v>13226</v>
      </c>
      <c r="F2032" s="375" t="s">
        <v>2207</v>
      </c>
      <c r="G2032" s="375" t="s">
        <v>3559</v>
      </c>
      <c r="H2032" s="375" t="s">
        <v>868</v>
      </c>
      <c r="I2032" s="375" t="s">
        <v>869</v>
      </c>
      <c r="J2032" s="375">
        <v>12771.33669</v>
      </c>
      <c r="K2032" s="375">
        <v>-11936.82627</v>
      </c>
      <c r="L2032" s="375">
        <v>-10656.945739999999</v>
      </c>
      <c r="M2032" s="375">
        <v>9999.7286899999999</v>
      </c>
      <c r="N2032" s="372" t="s">
        <v>1033</v>
      </c>
      <c r="O2032" s="703">
        <v>26.31174546539124</v>
      </c>
      <c r="P2032" s="375" t="s">
        <v>16142</v>
      </c>
      <c r="Q2032" s="372" t="s">
        <v>16145</v>
      </c>
      <c r="R2032" s="695">
        <v>20170726</v>
      </c>
      <c r="S2032" s="372" t="s">
        <v>13227</v>
      </c>
      <c r="T2032" s="696" t="s">
        <v>772</v>
      </c>
      <c r="U2032" s="372" t="s">
        <v>13228</v>
      </c>
      <c r="V2032" s="722" t="s">
        <v>774</v>
      </c>
      <c r="W2032" s="722">
        <v>4.34</v>
      </c>
      <c r="X2032" s="722">
        <v>4.25</v>
      </c>
      <c r="Y2032" s="722" t="s">
        <v>774</v>
      </c>
      <c r="Z2032" s="382" t="s">
        <v>934</v>
      </c>
      <c r="AA2032" s="372">
        <v>219.67038500000001</v>
      </c>
      <c r="AB2032" s="372">
        <v>446.5516973</v>
      </c>
      <c r="AC2032" s="372">
        <v>555.51732300000003</v>
      </c>
      <c r="AD2032" s="372">
        <v>127.7133669</v>
      </c>
      <c r="AE2032" s="372">
        <v>0</v>
      </c>
      <c r="AF2032" s="372">
        <v>0</v>
      </c>
      <c r="AG2032" s="372">
        <v>0</v>
      </c>
      <c r="AH2032" s="372">
        <v>0</v>
      </c>
    </row>
    <row r="2033" spans="1:34">
      <c r="A2033" s="372" t="s">
        <v>13229</v>
      </c>
      <c r="B2033" s="373" t="s">
        <v>13230</v>
      </c>
      <c r="C2033" s="372" t="s">
        <v>13231</v>
      </c>
      <c r="D2033" s="374">
        <v>1314110241465</v>
      </c>
      <c r="E2033" s="372" t="s">
        <v>13232</v>
      </c>
      <c r="F2033" s="375" t="s">
        <v>1881</v>
      </c>
      <c r="G2033" s="375" t="s">
        <v>1882</v>
      </c>
      <c r="H2033" s="375" t="s">
        <v>797</v>
      </c>
      <c r="I2033" s="375" t="s">
        <v>755</v>
      </c>
      <c r="J2033" s="375">
        <v>198880.1574</v>
      </c>
      <c r="K2033" s="375">
        <v>13231.44162</v>
      </c>
      <c r="L2033" s="375">
        <v>22588.191930000001</v>
      </c>
      <c r="M2033" s="375">
        <v>198935.49135</v>
      </c>
      <c r="N2033" s="372">
        <v>0.96799999999999997</v>
      </c>
      <c r="O2033" s="703">
        <v>21.672222370123453</v>
      </c>
      <c r="P2033" s="375" t="s">
        <v>623</v>
      </c>
      <c r="Q2033" s="372" t="s">
        <v>623</v>
      </c>
      <c r="R2033" s="695">
        <v>20100531</v>
      </c>
      <c r="S2033" s="372" t="s">
        <v>13233</v>
      </c>
      <c r="T2033" s="696">
        <v>0.23100000000000001</v>
      </c>
      <c r="U2033" s="372" t="s">
        <v>13234</v>
      </c>
      <c r="V2033" s="722">
        <v>3.24</v>
      </c>
      <c r="W2033" s="722">
        <v>0.3</v>
      </c>
      <c r="X2033" s="722">
        <v>0.28999999999999998</v>
      </c>
      <c r="Y2033" s="722">
        <v>3.22</v>
      </c>
      <c r="Z2033" s="382" t="s">
        <v>934</v>
      </c>
      <c r="AA2033" s="372">
        <v>1386.6895191000001</v>
      </c>
      <c r="AB2033" s="372">
        <v>1457.2571946</v>
      </c>
      <c r="AC2033" s="372">
        <v>1802.3770492000001</v>
      </c>
      <c r="AD2033" s="372">
        <v>1988.8015740000001</v>
      </c>
      <c r="AE2033" s="372">
        <v>0</v>
      </c>
      <c r="AF2033" s="372">
        <v>0</v>
      </c>
      <c r="AG2033" s="372">
        <v>0</v>
      </c>
      <c r="AH2033" s="372">
        <v>0</v>
      </c>
    </row>
    <row r="2034" spans="1:34">
      <c r="A2034" s="372" t="s">
        <v>13235</v>
      </c>
      <c r="B2034" s="373" t="s">
        <v>13236</v>
      </c>
      <c r="C2034" s="372" t="s">
        <v>13237</v>
      </c>
      <c r="D2034" s="374">
        <v>1358110139949</v>
      </c>
      <c r="E2034" s="372" t="s">
        <v>13238</v>
      </c>
      <c r="F2034" s="375" t="s">
        <v>1124</v>
      </c>
      <c r="G2034" s="375" t="s">
        <v>1347</v>
      </c>
      <c r="H2034" s="375" t="s">
        <v>1348</v>
      </c>
      <c r="I2034" s="375" t="s">
        <v>869</v>
      </c>
      <c r="J2034" s="375">
        <v>30128.735339999999</v>
      </c>
      <c r="K2034" s="375">
        <v>1305.21181</v>
      </c>
      <c r="L2034" s="375">
        <v>1278.52054</v>
      </c>
      <c r="M2034" s="375">
        <v>33973.534979999997</v>
      </c>
      <c r="N2034" s="372" t="s">
        <v>1033</v>
      </c>
      <c r="O2034" s="703">
        <v>18.162099786668033</v>
      </c>
      <c r="P2034" s="375" t="s">
        <v>623</v>
      </c>
      <c r="Q2034" s="372" t="s">
        <v>623</v>
      </c>
      <c r="R2034" s="695">
        <v>20230302</v>
      </c>
      <c r="S2034" s="372" t="s">
        <v>13239</v>
      </c>
      <c r="T2034" s="696">
        <v>0.20900000000000002</v>
      </c>
      <c r="U2034" s="372" t="s">
        <v>13240</v>
      </c>
      <c r="V2034" s="722">
        <v>0</v>
      </c>
      <c r="W2034" s="722">
        <v>1.71</v>
      </c>
      <c r="X2034" s="722">
        <v>0</v>
      </c>
      <c r="Y2034" s="722">
        <v>0</v>
      </c>
      <c r="Z2034" s="382" t="s">
        <v>934</v>
      </c>
      <c r="AA2034" s="372">
        <v>196.0995246</v>
      </c>
      <c r="AB2034" s="372">
        <v>305.55326580000002</v>
      </c>
      <c r="AC2034" s="372">
        <v>354.27367529999998</v>
      </c>
      <c r="AD2034" s="372">
        <v>301.28735339999997</v>
      </c>
      <c r="AE2034" s="372">
        <v>0</v>
      </c>
      <c r="AF2034" s="372">
        <v>0</v>
      </c>
      <c r="AG2034" s="372">
        <v>0</v>
      </c>
      <c r="AH2034" s="372">
        <v>0</v>
      </c>
    </row>
    <row r="2035" spans="1:34">
      <c r="A2035" s="372" t="s">
        <v>13241</v>
      </c>
      <c r="B2035" s="373" t="s">
        <v>13242</v>
      </c>
      <c r="C2035" s="372" t="s">
        <v>13243</v>
      </c>
      <c r="D2035" s="374">
        <v>1301110007989</v>
      </c>
      <c r="E2035" s="372" t="s">
        <v>13244</v>
      </c>
      <c r="F2035" s="375" t="s">
        <v>1774</v>
      </c>
      <c r="G2035" s="375" t="s">
        <v>6561</v>
      </c>
      <c r="H2035" s="375" t="s">
        <v>754</v>
      </c>
      <c r="I2035" s="375" t="s">
        <v>755</v>
      </c>
      <c r="J2035" s="375">
        <v>41641.878380000002</v>
      </c>
      <c r="K2035" s="375">
        <v>-7214.3316199999999</v>
      </c>
      <c r="L2035" s="375">
        <v>-18399.344519999999</v>
      </c>
      <c r="M2035" s="375">
        <v>22956.731899999999</v>
      </c>
      <c r="N2035" s="372" t="s">
        <v>1033</v>
      </c>
      <c r="O2035" s="703">
        <v>103.36895601723745</v>
      </c>
      <c r="P2035" s="375" t="s">
        <v>16142</v>
      </c>
      <c r="Q2035" s="375" t="s">
        <v>623</v>
      </c>
      <c r="R2035" s="695">
        <v>19891130</v>
      </c>
      <c r="S2035" s="375" t="s">
        <v>13245</v>
      </c>
      <c r="T2035" s="696" t="s">
        <v>772</v>
      </c>
      <c r="U2035" s="372" t="s">
        <v>13246</v>
      </c>
      <c r="V2035" s="722" t="s">
        <v>774</v>
      </c>
      <c r="W2035" s="722">
        <v>2.33</v>
      </c>
      <c r="X2035" s="722">
        <v>1.3</v>
      </c>
      <c r="Y2035" s="722" t="s">
        <v>774</v>
      </c>
      <c r="Z2035" s="382" t="s">
        <v>934</v>
      </c>
      <c r="AA2035" s="372">
        <v>785.62259289999997</v>
      </c>
      <c r="AB2035" s="372">
        <v>692.00326700000005</v>
      </c>
      <c r="AC2035" s="372">
        <v>640.20094119999999</v>
      </c>
      <c r="AD2035" s="372">
        <v>416.41878380000003</v>
      </c>
      <c r="AE2035" s="372">
        <v>0</v>
      </c>
      <c r="AF2035" s="372">
        <v>0</v>
      </c>
      <c r="AG2035" s="372">
        <v>0</v>
      </c>
      <c r="AH2035" s="372">
        <v>0</v>
      </c>
    </row>
    <row r="2036" spans="1:34">
      <c r="A2036" s="372" t="s">
        <v>13247</v>
      </c>
      <c r="B2036" s="373" t="s">
        <v>13248</v>
      </c>
      <c r="C2036" s="372" t="s">
        <v>16208</v>
      </c>
      <c r="D2036" s="374">
        <v>1601110075170</v>
      </c>
      <c r="E2036" s="372" t="s">
        <v>16110</v>
      </c>
      <c r="F2036" s="375" t="s">
        <v>622</v>
      </c>
      <c r="G2036" s="375" t="s">
        <v>622</v>
      </c>
      <c r="H2036" s="375" t="s">
        <v>1388</v>
      </c>
      <c r="I2036" s="375" t="s">
        <v>869</v>
      </c>
      <c r="J2036" s="375">
        <v>21694.145949999998</v>
      </c>
      <c r="K2036" s="375">
        <v>-9353.6472099999992</v>
      </c>
      <c r="L2036" s="375">
        <v>-19849.96428</v>
      </c>
      <c r="M2036" s="375">
        <v>49297.428599999999</v>
      </c>
      <c r="N2036" s="372">
        <v>0.78900000000000003</v>
      </c>
      <c r="O2036" s="703">
        <v>15.892930365181753</v>
      </c>
      <c r="P2036" s="375" t="s">
        <v>623</v>
      </c>
      <c r="Q2036" s="372" t="s">
        <v>623</v>
      </c>
      <c r="R2036" s="695">
        <v>20040211</v>
      </c>
      <c r="S2036" s="372" t="s">
        <v>13249</v>
      </c>
      <c r="T2036" s="696" t="s">
        <v>772</v>
      </c>
      <c r="U2036" s="372" t="s">
        <v>13250</v>
      </c>
      <c r="V2036" s="722" t="s">
        <v>774</v>
      </c>
      <c r="W2036" s="722">
        <v>1.25</v>
      </c>
      <c r="X2036" s="722">
        <v>2.85</v>
      </c>
      <c r="Y2036" s="722" t="s">
        <v>774</v>
      </c>
      <c r="Z2036" s="382" t="s">
        <v>934</v>
      </c>
      <c r="AA2036" s="372">
        <v>196.43286140000001</v>
      </c>
      <c r="AB2036" s="372">
        <v>441.40528660000001</v>
      </c>
      <c r="AC2036" s="372">
        <v>525.57973649999997</v>
      </c>
      <c r="AD2036" s="372">
        <v>216.94145950000001</v>
      </c>
      <c r="AE2036" s="372">
        <v>0</v>
      </c>
      <c r="AF2036" s="372">
        <v>0</v>
      </c>
      <c r="AG2036" s="372">
        <v>0</v>
      </c>
      <c r="AH2036" s="372">
        <v>0</v>
      </c>
    </row>
    <row r="2037" spans="1:34">
      <c r="A2037" s="372" t="s">
        <v>13251</v>
      </c>
      <c r="B2037" s="373" t="s">
        <v>13252</v>
      </c>
      <c r="C2037" s="372" t="s">
        <v>13253</v>
      </c>
      <c r="D2037" s="374">
        <v>1211110054981</v>
      </c>
      <c r="E2037" s="372" t="s">
        <v>13254</v>
      </c>
      <c r="F2037" s="375" t="s">
        <v>3151</v>
      </c>
      <c r="G2037" s="375" t="s">
        <v>3151</v>
      </c>
      <c r="H2037" s="375" t="s">
        <v>868</v>
      </c>
      <c r="I2037" s="375" t="s">
        <v>869</v>
      </c>
      <c r="J2037" s="375">
        <v>91429.08928</v>
      </c>
      <c r="K2037" s="375">
        <v>305.26037000000002</v>
      </c>
      <c r="L2037" s="375">
        <v>497.89184999999998</v>
      </c>
      <c r="M2037" s="375">
        <v>103383.57097</v>
      </c>
      <c r="N2037" s="372">
        <v>0.76200000000000001</v>
      </c>
      <c r="O2037" s="703">
        <v>5.1111164131062754</v>
      </c>
      <c r="P2037" s="375" t="s">
        <v>623</v>
      </c>
      <c r="Q2037" s="372" t="s">
        <v>623</v>
      </c>
      <c r="R2037" s="695">
        <v>20070919</v>
      </c>
      <c r="S2037" s="372" t="s">
        <v>13255</v>
      </c>
      <c r="T2037" s="696">
        <v>0.20900000000000002</v>
      </c>
      <c r="U2037" s="372" t="s">
        <v>13256</v>
      </c>
      <c r="V2037" s="722">
        <v>14.91</v>
      </c>
      <c r="W2037" s="722">
        <v>0.53</v>
      </c>
      <c r="X2037" s="722">
        <v>0.54</v>
      </c>
      <c r="Y2037" s="722">
        <v>69.459999999999994</v>
      </c>
      <c r="Z2037" s="382" t="s">
        <v>934</v>
      </c>
      <c r="AA2037" s="372">
        <v>983.01146830000005</v>
      </c>
      <c r="AB2037" s="372">
        <v>911.00694009999995</v>
      </c>
      <c r="AC2037" s="372">
        <v>980.47986000000003</v>
      </c>
      <c r="AD2037" s="372">
        <v>914.29089280000005</v>
      </c>
      <c r="AE2037" s="372">
        <v>0</v>
      </c>
      <c r="AF2037" s="372">
        <v>0</v>
      </c>
      <c r="AG2037" s="372">
        <v>0</v>
      </c>
      <c r="AH2037" s="372">
        <v>0</v>
      </c>
    </row>
    <row r="2038" spans="1:34">
      <c r="A2038" s="372" t="s">
        <v>13257</v>
      </c>
      <c r="B2038" s="373" t="s">
        <v>13258</v>
      </c>
      <c r="C2038" s="372" t="s">
        <v>13259</v>
      </c>
      <c r="D2038" s="374">
        <v>1101111402851</v>
      </c>
      <c r="E2038" s="372" t="s">
        <v>13260</v>
      </c>
      <c r="F2038" s="375" t="s">
        <v>4308</v>
      </c>
      <c r="G2038" s="375" t="s">
        <v>4309</v>
      </c>
      <c r="H2038" s="375" t="s">
        <v>1950</v>
      </c>
      <c r="I2038" s="375" t="s">
        <v>869</v>
      </c>
      <c r="J2038" s="375">
        <v>24893.455010000001</v>
      </c>
      <c r="K2038" s="375">
        <v>3332.1166699999999</v>
      </c>
      <c r="L2038" s="375">
        <v>2923.3201100000001</v>
      </c>
      <c r="M2038" s="375">
        <v>36621.921269999999</v>
      </c>
      <c r="N2038" s="372">
        <v>1.0509999999999999</v>
      </c>
      <c r="O2038" s="703">
        <v>16.463676182950586</v>
      </c>
      <c r="P2038" s="375" t="s">
        <v>623</v>
      </c>
      <c r="Q2038" s="372" t="s">
        <v>623</v>
      </c>
      <c r="R2038" s="695">
        <v>20010706</v>
      </c>
      <c r="S2038" s="372" t="s">
        <v>13261</v>
      </c>
      <c r="T2038" s="696">
        <v>0.20900000000000002</v>
      </c>
      <c r="U2038" s="372" t="s">
        <v>13262</v>
      </c>
      <c r="V2038" s="722">
        <v>0</v>
      </c>
      <c r="W2038" s="722">
        <v>1.58</v>
      </c>
      <c r="X2038" s="722">
        <v>0</v>
      </c>
      <c r="Y2038" s="722">
        <v>0</v>
      </c>
      <c r="Z2038" s="382" t="s">
        <v>934</v>
      </c>
      <c r="AA2038" s="372">
        <v>244.4715582</v>
      </c>
      <c r="AB2038" s="372">
        <v>230.84315950000001</v>
      </c>
      <c r="AC2038" s="372">
        <v>219.6227451</v>
      </c>
      <c r="AD2038" s="372">
        <v>248.9345501</v>
      </c>
      <c r="AE2038" s="372">
        <v>0</v>
      </c>
      <c r="AF2038" s="372">
        <v>0</v>
      </c>
      <c r="AG2038" s="372">
        <v>0</v>
      </c>
      <c r="AH2038" s="372">
        <v>0</v>
      </c>
    </row>
    <row r="2039" spans="1:34">
      <c r="A2039" s="372" t="s">
        <v>13263</v>
      </c>
      <c r="B2039" s="373" t="s">
        <v>13264</v>
      </c>
      <c r="C2039" s="372" t="s">
        <v>13265</v>
      </c>
      <c r="D2039" s="374">
        <v>1741110000098</v>
      </c>
      <c r="E2039" s="372" t="s">
        <v>13266</v>
      </c>
      <c r="F2039" s="375" t="s">
        <v>4098</v>
      </c>
      <c r="G2039" s="375" t="s">
        <v>4098</v>
      </c>
      <c r="H2039" s="375" t="s">
        <v>868</v>
      </c>
      <c r="I2039" s="375" t="s">
        <v>869</v>
      </c>
      <c r="J2039" s="375">
        <v>123630.72374</v>
      </c>
      <c r="K2039" s="375">
        <v>11873.2453</v>
      </c>
      <c r="L2039" s="375">
        <v>12214.459210000001</v>
      </c>
      <c r="M2039" s="375">
        <v>130550.07414</v>
      </c>
      <c r="N2039" s="372">
        <v>0.998</v>
      </c>
      <c r="O2039" s="703">
        <v>0.81506264643049031</v>
      </c>
      <c r="P2039" s="375" t="s">
        <v>623</v>
      </c>
      <c r="Q2039" s="375" t="s">
        <v>623</v>
      </c>
      <c r="R2039" s="695">
        <v>20100126</v>
      </c>
      <c r="S2039" s="375" t="s">
        <v>13267</v>
      </c>
      <c r="T2039" s="696">
        <v>0.20900000000000002</v>
      </c>
      <c r="U2039" s="372" t="s">
        <v>13268</v>
      </c>
      <c r="V2039" s="722">
        <v>0</v>
      </c>
      <c r="W2039" s="722">
        <v>0.47</v>
      </c>
      <c r="X2039" s="722">
        <v>0</v>
      </c>
      <c r="Y2039" s="722">
        <v>0</v>
      </c>
      <c r="Z2039" s="382" t="s">
        <v>934</v>
      </c>
      <c r="AA2039" s="372">
        <v>1129.5050659000001</v>
      </c>
      <c r="AB2039" s="372">
        <v>1065.4079626</v>
      </c>
      <c r="AC2039" s="372">
        <v>1377.1867915</v>
      </c>
      <c r="AD2039" s="372">
        <v>1236.3072374000001</v>
      </c>
      <c r="AE2039" s="372">
        <v>0</v>
      </c>
      <c r="AF2039" s="372">
        <v>0</v>
      </c>
      <c r="AG2039" s="372">
        <v>0</v>
      </c>
      <c r="AH2039" s="372">
        <v>0</v>
      </c>
    </row>
    <row r="2040" spans="1:34">
      <c r="A2040" s="372" t="s">
        <v>13269</v>
      </c>
      <c r="B2040" s="373" t="s">
        <v>13270</v>
      </c>
      <c r="C2040" s="372" t="s">
        <v>13271</v>
      </c>
      <c r="D2040" s="374">
        <v>1601110048870</v>
      </c>
      <c r="E2040" s="372" t="s">
        <v>13272</v>
      </c>
      <c r="F2040" s="375" t="s">
        <v>1761</v>
      </c>
      <c r="G2040" s="375" t="s">
        <v>1761</v>
      </c>
      <c r="H2040" s="375" t="s">
        <v>3127</v>
      </c>
      <c r="I2040" s="375" t="s">
        <v>869</v>
      </c>
      <c r="J2040" s="375">
        <v>11863.305350000001</v>
      </c>
      <c r="K2040" s="375">
        <v>-683.17850999999996</v>
      </c>
      <c r="L2040" s="375">
        <v>-2363.97174</v>
      </c>
      <c r="M2040" s="375">
        <v>410262.46237000002</v>
      </c>
      <c r="N2040" s="372">
        <v>1.1599999999999999</v>
      </c>
      <c r="O2040" s="703">
        <v>1.1694527477527825</v>
      </c>
      <c r="P2040" s="375" t="s">
        <v>623</v>
      </c>
      <c r="Q2040" s="372" t="s">
        <v>623</v>
      </c>
      <c r="R2040" s="695">
        <v>20010731</v>
      </c>
      <c r="S2040" s="372" t="s">
        <v>13273</v>
      </c>
      <c r="T2040" s="696" t="s">
        <v>772</v>
      </c>
      <c r="U2040" s="372" t="s">
        <v>16111</v>
      </c>
      <c r="V2040" s="722">
        <v>11.15</v>
      </c>
      <c r="W2040" s="722">
        <v>0.33</v>
      </c>
      <c r="X2040" s="722">
        <v>5.87</v>
      </c>
      <c r="Y2040" s="722" t="s">
        <v>774</v>
      </c>
      <c r="Z2040" s="382" t="s">
        <v>934</v>
      </c>
      <c r="AA2040" s="372">
        <v>166.92706960000001</v>
      </c>
      <c r="AB2040" s="372">
        <v>561.59454419999997</v>
      </c>
      <c r="AC2040" s="372">
        <v>134.63832629999999</v>
      </c>
      <c r="AD2040" s="372">
        <v>118.6330535</v>
      </c>
      <c r="AE2040" s="372">
        <v>0</v>
      </c>
      <c r="AF2040" s="372">
        <v>0</v>
      </c>
      <c r="AG2040" s="372">
        <v>0</v>
      </c>
      <c r="AH2040" s="372">
        <v>0</v>
      </c>
    </row>
    <row r="2041" spans="1:34">
      <c r="A2041" s="372" t="s">
        <v>13274</v>
      </c>
      <c r="B2041" s="373" t="s">
        <v>13275</v>
      </c>
      <c r="C2041" s="372" t="s">
        <v>13276</v>
      </c>
      <c r="D2041" s="374">
        <v>1243110006456</v>
      </c>
      <c r="E2041" s="372" t="s">
        <v>13277</v>
      </c>
      <c r="F2041" s="375" t="s">
        <v>1005</v>
      </c>
      <c r="G2041" s="375" t="s">
        <v>1006</v>
      </c>
      <c r="H2041" s="375" t="s">
        <v>754</v>
      </c>
      <c r="I2041" s="375" t="s">
        <v>755</v>
      </c>
      <c r="J2041" s="375">
        <v>140906.02325</v>
      </c>
      <c r="K2041" s="375">
        <v>-1824.8397500000001</v>
      </c>
      <c r="L2041" s="375">
        <v>-9888.3802899999991</v>
      </c>
      <c r="M2041" s="375">
        <v>32249.152569999998</v>
      </c>
      <c r="N2041" s="372">
        <v>0.54800000000000004</v>
      </c>
      <c r="O2041" s="703">
        <v>68.615457372779176</v>
      </c>
      <c r="P2041" s="375" t="s">
        <v>623</v>
      </c>
      <c r="Q2041" s="372" t="s">
        <v>623</v>
      </c>
      <c r="R2041" s="695">
        <v>19880118</v>
      </c>
      <c r="S2041" s="372" t="s">
        <v>13278</v>
      </c>
      <c r="T2041" s="696" t="s">
        <v>772</v>
      </c>
      <c r="U2041" s="372" t="s">
        <v>13279</v>
      </c>
      <c r="V2041" s="722">
        <v>39.47</v>
      </c>
      <c r="W2041" s="722">
        <v>1.86</v>
      </c>
      <c r="X2041" s="722">
        <v>0.43</v>
      </c>
      <c r="Y2041" s="722" t="s">
        <v>774</v>
      </c>
      <c r="Z2041" s="382" t="s">
        <v>934</v>
      </c>
      <c r="AA2041" s="372">
        <v>820.78262380000001</v>
      </c>
      <c r="AB2041" s="372">
        <v>692.85788500000001</v>
      </c>
      <c r="AC2041" s="372">
        <v>1074.5877820999999</v>
      </c>
      <c r="AD2041" s="372">
        <v>1409.0602325</v>
      </c>
      <c r="AE2041" s="372">
        <v>0</v>
      </c>
      <c r="AF2041" s="372">
        <v>0</v>
      </c>
      <c r="AG2041" s="372">
        <v>0</v>
      </c>
      <c r="AH2041" s="372">
        <v>0</v>
      </c>
    </row>
    <row r="2042" spans="1:34">
      <c r="A2042" s="372" t="s">
        <v>13280</v>
      </c>
      <c r="B2042" s="373" t="s">
        <v>13281</v>
      </c>
      <c r="C2042" s="372" t="s">
        <v>13282</v>
      </c>
      <c r="D2042" s="374">
        <v>1101110613607</v>
      </c>
      <c r="E2042" s="372" t="s">
        <v>13283</v>
      </c>
      <c r="F2042" s="375" t="s">
        <v>1286</v>
      </c>
      <c r="G2042" s="375" t="s">
        <v>1465</v>
      </c>
      <c r="H2042" s="375" t="s">
        <v>1388</v>
      </c>
      <c r="I2042" s="375" t="s">
        <v>869</v>
      </c>
      <c r="J2042" s="375">
        <v>0</v>
      </c>
      <c r="K2042" s="375">
        <v>0</v>
      </c>
      <c r="L2042" s="375">
        <v>0</v>
      </c>
      <c r="M2042" s="375">
        <v>0</v>
      </c>
      <c r="N2042" s="372">
        <v>1.1140000000000001</v>
      </c>
      <c r="O2042" s="703">
        <v>0</v>
      </c>
      <c r="P2042" s="375" t="s">
        <v>623</v>
      </c>
      <c r="Q2042" s="372" t="s">
        <v>623</v>
      </c>
      <c r="R2042" s="695">
        <v>19971013</v>
      </c>
      <c r="S2042" s="372" t="s">
        <v>13284</v>
      </c>
      <c r="T2042" s="696" t="s">
        <v>772</v>
      </c>
      <c r="U2042" s="372" t="s">
        <v>13285</v>
      </c>
      <c r="V2042" s="722">
        <v>0</v>
      </c>
      <c r="W2042" s="722">
        <v>0</v>
      </c>
      <c r="X2042" s="722">
        <v>0</v>
      </c>
      <c r="Y2042" s="722">
        <v>0</v>
      </c>
      <c r="Z2042" s="382" t="s">
        <v>774</v>
      </c>
      <c r="AA2042" s="372">
        <v>269.84852169999999</v>
      </c>
      <c r="AB2042" s="372">
        <v>289.64480450000002</v>
      </c>
      <c r="AC2042" s="372">
        <v>319.5693938</v>
      </c>
      <c r="AD2042" s="372">
        <v>0</v>
      </c>
      <c r="AE2042" s="372">
        <v>0</v>
      </c>
      <c r="AF2042" s="372">
        <v>0</v>
      </c>
      <c r="AG2042" s="372">
        <v>0</v>
      </c>
      <c r="AH2042" s="372">
        <v>0</v>
      </c>
    </row>
    <row r="2043" spans="1:34">
      <c r="A2043" s="372" t="s">
        <v>13286</v>
      </c>
      <c r="B2043" s="373" t="s">
        <v>13287</v>
      </c>
      <c r="C2043" s="372" t="s">
        <v>13288</v>
      </c>
      <c r="D2043" s="374">
        <v>1101115125649</v>
      </c>
      <c r="E2043" s="372" t="s">
        <v>13289</v>
      </c>
      <c r="F2043" s="375" t="s">
        <v>13290</v>
      </c>
      <c r="G2043" s="375" t="s">
        <v>13290</v>
      </c>
      <c r="H2043" s="375" t="s">
        <v>868</v>
      </c>
      <c r="I2043" s="375" t="s">
        <v>869</v>
      </c>
      <c r="J2043" s="375">
        <v>117613.66219</v>
      </c>
      <c r="K2043" s="375">
        <v>-16703.739010000001</v>
      </c>
      <c r="L2043" s="375">
        <v>-21983.27938</v>
      </c>
      <c r="M2043" s="375">
        <v>44559.536939999998</v>
      </c>
      <c r="N2043" s="372">
        <v>0.93700000000000006</v>
      </c>
      <c r="O2043" s="703">
        <v>49.659261196078788</v>
      </c>
      <c r="P2043" s="375" t="s">
        <v>623</v>
      </c>
      <c r="Q2043" s="372" t="s">
        <v>623</v>
      </c>
      <c r="R2043" s="695">
        <v>20190711</v>
      </c>
      <c r="S2043" s="372" t="s">
        <v>13291</v>
      </c>
      <c r="T2043" s="696" t="s">
        <v>772</v>
      </c>
      <c r="U2043" s="372" t="s">
        <v>13292</v>
      </c>
      <c r="V2043" s="722" t="s">
        <v>774</v>
      </c>
      <c r="W2043" s="722">
        <v>1.05</v>
      </c>
      <c r="X2043" s="722">
        <v>0.42</v>
      </c>
      <c r="Y2043" s="722" t="s">
        <v>774</v>
      </c>
      <c r="Z2043" s="382" t="s">
        <v>934</v>
      </c>
      <c r="AA2043" s="372">
        <v>1155.2044811000001</v>
      </c>
      <c r="AB2043" s="372">
        <v>1285.6829565</v>
      </c>
      <c r="AC2043" s="372">
        <v>1338.4249167999999</v>
      </c>
      <c r="AD2043" s="372">
        <v>1176.1366218999999</v>
      </c>
      <c r="AE2043" s="372">
        <v>0</v>
      </c>
      <c r="AF2043" s="372">
        <v>0</v>
      </c>
      <c r="AG2043" s="372">
        <v>0</v>
      </c>
      <c r="AH2043" s="372">
        <v>0</v>
      </c>
    </row>
    <row r="2044" spans="1:34">
      <c r="A2044" s="372" t="s">
        <v>13293</v>
      </c>
      <c r="B2044" s="373" t="s">
        <v>13294</v>
      </c>
      <c r="C2044" s="372" t="s">
        <v>13295</v>
      </c>
      <c r="D2044" s="374">
        <v>1311110041192</v>
      </c>
      <c r="E2044" s="372" t="s">
        <v>13296</v>
      </c>
      <c r="F2044" s="375" t="s">
        <v>2542</v>
      </c>
      <c r="G2044" s="375" t="s">
        <v>2542</v>
      </c>
      <c r="H2044" s="375" t="s">
        <v>823</v>
      </c>
      <c r="I2044" s="375" t="s">
        <v>755</v>
      </c>
      <c r="J2044" s="375">
        <v>36639.038639999999</v>
      </c>
      <c r="K2044" s="375">
        <v>-1777.25909</v>
      </c>
      <c r="L2044" s="375">
        <v>1938.58933</v>
      </c>
      <c r="M2044" s="375">
        <v>54830.211280000003</v>
      </c>
      <c r="N2044" s="372">
        <v>1.0029999999999999</v>
      </c>
      <c r="O2044" s="703">
        <v>4.5818717282899133</v>
      </c>
      <c r="P2044" s="375" t="s">
        <v>623</v>
      </c>
      <c r="Q2044" s="372" t="s">
        <v>623</v>
      </c>
      <c r="R2044" s="695">
        <v>20030701</v>
      </c>
      <c r="S2044" s="372" t="s">
        <v>13297</v>
      </c>
      <c r="T2044" s="696">
        <v>0.20900000000000002</v>
      </c>
      <c r="U2044" s="372" t="s">
        <v>13298</v>
      </c>
      <c r="V2044" s="722">
        <v>9742.5499999999993</v>
      </c>
      <c r="W2044" s="722">
        <v>0.76</v>
      </c>
      <c r="X2044" s="722">
        <v>1.3</v>
      </c>
      <c r="Y2044" s="722">
        <v>33.130000000000003</v>
      </c>
      <c r="Z2044" s="382" t="s">
        <v>934</v>
      </c>
      <c r="AA2044" s="372">
        <v>270.63345090000001</v>
      </c>
      <c r="AB2044" s="372">
        <v>296.81809010000001</v>
      </c>
      <c r="AC2044" s="372">
        <v>300.44902860000002</v>
      </c>
      <c r="AD2044" s="372">
        <v>366.39038640000001</v>
      </c>
      <c r="AE2044" s="372">
        <v>0</v>
      </c>
      <c r="AF2044" s="372">
        <v>0</v>
      </c>
      <c r="AG2044" s="372">
        <v>0</v>
      </c>
      <c r="AH2044" s="372">
        <v>0</v>
      </c>
    </row>
    <row r="2045" spans="1:34">
      <c r="A2045" s="372" t="s">
        <v>13299</v>
      </c>
      <c r="B2045" s="373" t="s">
        <v>13300</v>
      </c>
      <c r="C2045" s="372" t="s">
        <v>13301</v>
      </c>
      <c r="D2045" s="374">
        <v>1201110290289</v>
      </c>
      <c r="E2045" s="372" t="s">
        <v>13302</v>
      </c>
      <c r="F2045" s="372" t="s">
        <v>12790</v>
      </c>
      <c r="G2045" s="375" t="s">
        <v>13303</v>
      </c>
      <c r="H2045" s="375" t="s">
        <v>868</v>
      </c>
      <c r="I2045" s="375" t="s">
        <v>869</v>
      </c>
      <c r="J2045" s="375">
        <v>0</v>
      </c>
      <c r="K2045" s="375">
        <v>0</v>
      </c>
      <c r="L2045" s="375">
        <v>0</v>
      </c>
      <c r="M2045" s="375">
        <v>40494.43939</v>
      </c>
      <c r="N2045" s="372" t="s">
        <v>1033</v>
      </c>
      <c r="O2045" s="703">
        <v>19.003044144832554</v>
      </c>
      <c r="P2045" s="375" t="s">
        <v>623</v>
      </c>
      <c r="Q2045" s="372" t="s">
        <v>623</v>
      </c>
      <c r="R2045" s="695">
        <v>20170928</v>
      </c>
      <c r="S2045" s="372" t="s">
        <v>13304</v>
      </c>
      <c r="T2045" s="696" t="s">
        <v>772</v>
      </c>
      <c r="U2045" s="372" t="s">
        <v>16112</v>
      </c>
      <c r="V2045" s="722">
        <v>0</v>
      </c>
      <c r="W2045" s="722">
        <v>1.37</v>
      </c>
      <c r="X2045" s="722">
        <v>0</v>
      </c>
      <c r="Y2045" s="722">
        <v>0</v>
      </c>
      <c r="Z2045" s="382" t="s">
        <v>934</v>
      </c>
      <c r="AA2045" s="372">
        <v>344.68376210000002</v>
      </c>
      <c r="AB2045" s="372">
        <v>125.42742</v>
      </c>
      <c r="AC2045" s="372">
        <v>356.3009917</v>
      </c>
      <c r="AD2045" s="372">
        <v>484.25321550000001</v>
      </c>
      <c r="AE2045" s="372">
        <v>0</v>
      </c>
      <c r="AF2045" s="372">
        <v>0</v>
      </c>
      <c r="AG2045" s="372">
        <v>0</v>
      </c>
      <c r="AH2045" s="372">
        <v>0</v>
      </c>
    </row>
    <row r="2046" spans="1:34">
      <c r="A2046" s="372" t="s">
        <v>13305</v>
      </c>
      <c r="B2046" s="373" t="s">
        <v>13306</v>
      </c>
      <c r="C2046" s="372" t="s">
        <v>13307</v>
      </c>
      <c r="D2046" s="374">
        <v>1648110026753</v>
      </c>
      <c r="E2046" s="372" t="s">
        <v>13308</v>
      </c>
      <c r="F2046" s="375" t="s">
        <v>1286</v>
      </c>
      <c r="G2046" s="375" t="s">
        <v>1286</v>
      </c>
      <c r="H2046" s="375" t="s">
        <v>868</v>
      </c>
      <c r="I2046" s="375" t="s">
        <v>869</v>
      </c>
      <c r="J2046" s="375">
        <v>4582.8734599999998</v>
      </c>
      <c r="K2046" s="375">
        <v>-3162.3857699999999</v>
      </c>
      <c r="L2046" s="375">
        <v>-4135.0618299999996</v>
      </c>
      <c r="M2046" s="375">
        <v>26817.931960000002</v>
      </c>
      <c r="N2046" s="372">
        <v>1.288</v>
      </c>
      <c r="O2046" s="703">
        <v>18.535334264139465</v>
      </c>
      <c r="P2046" s="375" t="s">
        <v>623</v>
      </c>
      <c r="Q2046" s="375" t="s">
        <v>623</v>
      </c>
      <c r="R2046" s="695">
        <v>20210309</v>
      </c>
      <c r="S2046" s="372" t="s">
        <v>13309</v>
      </c>
      <c r="T2046" s="696" t="s">
        <v>772</v>
      </c>
      <c r="U2046" s="372" t="s">
        <v>13310</v>
      </c>
      <c r="V2046" s="722">
        <v>0</v>
      </c>
      <c r="W2046" s="722">
        <v>2.2400000000000002</v>
      </c>
      <c r="X2046" s="722">
        <v>0</v>
      </c>
      <c r="Y2046" s="722">
        <v>0</v>
      </c>
      <c r="Z2046" s="382" t="s">
        <v>934</v>
      </c>
      <c r="AA2046" s="372">
        <v>42.3661016</v>
      </c>
      <c r="AB2046" s="372">
        <v>40.832625700000001</v>
      </c>
      <c r="AC2046" s="372">
        <v>74.097641999999993</v>
      </c>
      <c r="AD2046" s="372">
        <v>45.828734599999997</v>
      </c>
      <c r="AE2046" s="372">
        <v>0</v>
      </c>
      <c r="AF2046" s="372">
        <v>0</v>
      </c>
      <c r="AG2046" s="372">
        <v>0</v>
      </c>
      <c r="AH2046" s="372">
        <v>0</v>
      </c>
    </row>
    <row r="2047" spans="1:34">
      <c r="A2047" s="372" t="s">
        <v>13311</v>
      </c>
      <c r="B2047" s="372" t="s">
        <v>13312</v>
      </c>
      <c r="C2047" s="372" t="s">
        <v>13313</v>
      </c>
      <c r="D2047" s="374">
        <v>1201110658289</v>
      </c>
      <c r="E2047" s="372" t="s">
        <v>13314</v>
      </c>
      <c r="F2047" s="372" t="s">
        <v>1124</v>
      </c>
      <c r="G2047" s="375" t="s">
        <v>1347</v>
      </c>
      <c r="H2047" s="375" t="s">
        <v>1348</v>
      </c>
      <c r="I2047" s="375" t="s">
        <v>869</v>
      </c>
      <c r="J2047" s="375">
        <v>88456.744569999995</v>
      </c>
      <c r="K2047" s="375">
        <v>-9358.6864299999997</v>
      </c>
      <c r="L2047" s="375">
        <v>-34087.99164</v>
      </c>
      <c r="M2047" s="375">
        <v>39111.452290000001</v>
      </c>
      <c r="N2047" s="372">
        <v>0.86299999999999999</v>
      </c>
      <c r="O2047" s="703">
        <v>175.45092112357452</v>
      </c>
      <c r="P2047" s="375" t="s">
        <v>16142</v>
      </c>
      <c r="Q2047" s="372" t="s">
        <v>16145</v>
      </c>
      <c r="R2047" s="695">
        <v>20180626</v>
      </c>
      <c r="S2047" s="372" t="s">
        <v>13315</v>
      </c>
      <c r="T2047" s="696" t="s">
        <v>772</v>
      </c>
      <c r="U2047" s="372" t="s">
        <v>13316</v>
      </c>
      <c r="V2047" s="722" t="s">
        <v>774</v>
      </c>
      <c r="W2047" s="722">
        <v>1.28</v>
      </c>
      <c r="X2047" s="722">
        <v>0.46</v>
      </c>
      <c r="Y2047" s="722" t="s">
        <v>774</v>
      </c>
      <c r="Z2047" s="382" t="s">
        <v>934</v>
      </c>
      <c r="AA2047" s="372">
        <v>925.41208930000005</v>
      </c>
      <c r="AB2047" s="372">
        <v>892.82114469999999</v>
      </c>
      <c r="AC2047" s="372">
        <v>942.43692880000003</v>
      </c>
      <c r="AD2047" s="372">
        <v>884.56744570000001</v>
      </c>
      <c r="AE2047" s="372">
        <v>0</v>
      </c>
      <c r="AF2047" s="372">
        <v>0</v>
      </c>
      <c r="AG2047" s="372">
        <v>0</v>
      </c>
      <c r="AH2047" s="372">
        <v>0</v>
      </c>
    </row>
    <row r="2048" spans="1:34">
      <c r="A2048" s="372" t="s">
        <v>13317</v>
      </c>
      <c r="B2048" s="372" t="s">
        <v>13318</v>
      </c>
      <c r="C2048" s="372" t="s">
        <v>13319</v>
      </c>
      <c r="D2048" s="374">
        <v>1243110001513</v>
      </c>
      <c r="E2048" s="372" t="s">
        <v>13320</v>
      </c>
      <c r="F2048" s="372" t="s">
        <v>1782</v>
      </c>
      <c r="G2048" s="375" t="s">
        <v>13321</v>
      </c>
      <c r="H2048" s="375" t="s">
        <v>868</v>
      </c>
      <c r="I2048" s="375" t="s">
        <v>869</v>
      </c>
      <c r="J2048" s="375">
        <v>158428.13451999999</v>
      </c>
      <c r="K2048" s="375">
        <v>10179.683279999999</v>
      </c>
      <c r="L2048" s="375">
        <v>11007.86945</v>
      </c>
      <c r="M2048" s="375">
        <v>111359.86394</v>
      </c>
      <c r="N2048" s="372">
        <v>0.83199999999999996</v>
      </c>
      <c r="O2048" s="703">
        <v>9.3247188217628274</v>
      </c>
      <c r="P2048" s="375" t="s">
        <v>623</v>
      </c>
      <c r="Q2048" s="372" t="s">
        <v>623</v>
      </c>
      <c r="R2048" s="695">
        <v>20000808</v>
      </c>
      <c r="S2048" s="372" t="s">
        <v>13322</v>
      </c>
      <c r="T2048" s="696">
        <v>0.20900000000000002</v>
      </c>
      <c r="U2048" s="372" t="s">
        <v>13323</v>
      </c>
      <c r="V2048" s="722">
        <v>4.28</v>
      </c>
      <c r="W2048" s="722">
        <v>0.49</v>
      </c>
      <c r="X2048" s="722">
        <v>0.34</v>
      </c>
      <c r="Y2048" s="722">
        <v>6.05</v>
      </c>
      <c r="Z2048" s="382" t="s">
        <v>934</v>
      </c>
      <c r="AA2048" s="372">
        <v>1508.1192655</v>
      </c>
      <c r="AB2048" s="372">
        <v>1699.4429485999999</v>
      </c>
      <c r="AC2048" s="372">
        <v>1704.2356956000001</v>
      </c>
      <c r="AD2048" s="372">
        <v>1584.2813452</v>
      </c>
      <c r="AE2048" s="372">
        <v>0</v>
      </c>
      <c r="AF2048" s="372">
        <v>0</v>
      </c>
      <c r="AG2048" s="372">
        <v>0</v>
      </c>
      <c r="AH2048" s="372">
        <v>0</v>
      </c>
    </row>
    <row r="2049" spans="1:34">
      <c r="A2049" s="372" t="s">
        <v>13324</v>
      </c>
      <c r="B2049" s="372" t="s">
        <v>13325</v>
      </c>
      <c r="C2049" s="372" t="s">
        <v>13326</v>
      </c>
      <c r="D2049" s="374">
        <v>2201110123463</v>
      </c>
      <c r="E2049" s="372" t="s">
        <v>13327</v>
      </c>
      <c r="F2049" s="372" t="s">
        <v>9175</v>
      </c>
      <c r="G2049" s="375" t="s">
        <v>13328</v>
      </c>
      <c r="H2049" s="375" t="s">
        <v>868</v>
      </c>
      <c r="I2049" s="375" t="s">
        <v>869</v>
      </c>
      <c r="J2049" s="375">
        <v>22449.535019999999</v>
      </c>
      <c r="K2049" s="375">
        <v>-11007.839910000001</v>
      </c>
      <c r="L2049" s="375">
        <v>-12308.69787</v>
      </c>
      <c r="M2049" s="375">
        <v>22806.47035</v>
      </c>
      <c r="N2049" s="372">
        <v>1.2070000000000001</v>
      </c>
      <c r="O2049" s="703">
        <v>22.982516327551341</v>
      </c>
      <c r="P2049" s="375" t="s">
        <v>623</v>
      </c>
      <c r="Q2049" s="375" t="s">
        <v>623</v>
      </c>
      <c r="R2049" s="695">
        <v>20210526</v>
      </c>
      <c r="S2049" s="375" t="s">
        <v>13329</v>
      </c>
      <c r="T2049" s="696" t="s">
        <v>772</v>
      </c>
      <c r="U2049" s="372" t="s">
        <v>13330</v>
      </c>
      <c r="V2049" s="722" t="s">
        <v>774</v>
      </c>
      <c r="W2049" s="722">
        <v>3.1</v>
      </c>
      <c r="X2049" s="722">
        <v>2.48</v>
      </c>
      <c r="Y2049" s="722" t="s">
        <v>774</v>
      </c>
      <c r="Z2049" s="382" t="s">
        <v>934</v>
      </c>
      <c r="AA2049" s="372">
        <v>215.549128</v>
      </c>
      <c r="AB2049" s="372">
        <v>288.38913170000001</v>
      </c>
      <c r="AC2049" s="372">
        <v>239.69942750000001</v>
      </c>
      <c r="AD2049" s="372">
        <v>224.49535019999999</v>
      </c>
      <c r="AE2049" s="372">
        <v>0</v>
      </c>
      <c r="AF2049" s="372">
        <v>0</v>
      </c>
      <c r="AG2049" s="372">
        <v>0</v>
      </c>
      <c r="AH2049" s="372">
        <v>0</v>
      </c>
    </row>
    <row r="2050" spans="1:34">
      <c r="A2050" s="372" t="s">
        <v>13331</v>
      </c>
      <c r="B2050" s="372" t="s">
        <v>13332</v>
      </c>
      <c r="C2050" s="372" t="s">
        <v>13333</v>
      </c>
      <c r="D2050" s="374">
        <v>1101110123408</v>
      </c>
      <c r="E2050" s="372" t="s">
        <v>13334</v>
      </c>
      <c r="F2050" s="372" t="s">
        <v>5674</v>
      </c>
      <c r="G2050" s="375" t="s">
        <v>5674</v>
      </c>
      <c r="H2050" s="375" t="s">
        <v>868</v>
      </c>
      <c r="I2050" s="375" t="s">
        <v>869</v>
      </c>
      <c r="J2050" s="375">
        <v>166290.44768000001</v>
      </c>
      <c r="K2050" s="375">
        <v>4161.9396900000002</v>
      </c>
      <c r="L2050" s="375">
        <v>1168.9404199999999</v>
      </c>
      <c r="M2050" s="375">
        <v>43640.005929999999</v>
      </c>
      <c r="N2050" s="372">
        <v>0.76400000000000001</v>
      </c>
      <c r="O2050" s="703">
        <v>116.01094502610934</v>
      </c>
      <c r="P2050" s="375" t="s">
        <v>623</v>
      </c>
      <c r="Q2050" s="372" t="s">
        <v>623</v>
      </c>
      <c r="R2050" s="695">
        <v>19940729</v>
      </c>
      <c r="S2050" s="372" t="s">
        <v>13335</v>
      </c>
      <c r="T2050" s="696">
        <v>0.20900000000000002</v>
      </c>
      <c r="U2050" s="372" t="s">
        <v>13336</v>
      </c>
      <c r="V2050" s="722">
        <v>10.59</v>
      </c>
      <c r="W2050" s="722">
        <v>1.19</v>
      </c>
      <c r="X2050" s="722">
        <v>0.32</v>
      </c>
      <c r="Y2050" s="722">
        <v>55.38</v>
      </c>
      <c r="Z2050" s="382" t="s">
        <v>934</v>
      </c>
      <c r="AA2050" s="372">
        <v>1105.7115513000001</v>
      </c>
      <c r="AB2050" s="372">
        <v>1228.7430147</v>
      </c>
      <c r="AC2050" s="372">
        <v>1463.2433326</v>
      </c>
      <c r="AD2050" s="372">
        <v>1662.9044768000001</v>
      </c>
      <c r="AE2050" s="372">
        <v>0</v>
      </c>
      <c r="AF2050" s="372">
        <v>0</v>
      </c>
      <c r="AG2050" s="372">
        <v>0</v>
      </c>
      <c r="AH2050" s="372">
        <v>0</v>
      </c>
    </row>
    <row r="2051" spans="1:34">
      <c r="A2051" s="372" t="s">
        <v>13337</v>
      </c>
      <c r="B2051" s="372" t="s">
        <v>13338</v>
      </c>
      <c r="C2051" s="372" t="s">
        <v>13339</v>
      </c>
      <c r="D2051" s="374">
        <v>1101110276116</v>
      </c>
      <c r="E2051" s="372" t="s">
        <v>13340</v>
      </c>
      <c r="F2051" s="372" t="s">
        <v>2771</v>
      </c>
      <c r="G2051" s="375" t="s">
        <v>2772</v>
      </c>
      <c r="H2051" s="375" t="s">
        <v>868</v>
      </c>
      <c r="I2051" s="375" t="s">
        <v>869</v>
      </c>
      <c r="J2051" s="375">
        <v>419753.13373</v>
      </c>
      <c r="K2051" s="375">
        <v>5729.0817299999999</v>
      </c>
      <c r="L2051" s="375">
        <v>2743.6589199999999</v>
      </c>
      <c r="M2051" s="375">
        <v>151785.44693999999</v>
      </c>
      <c r="N2051" s="372">
        <v>1.097</v>
      </c>
      <c r="O2051" s="703">
        <v>117.6324163684847</v>
      </c>
      <c r="P2051" s="562" t="s">
        <v>623</v>
      </c>
      <c r="Q2051" s="372" t="s">
        <v>623</v>
      </c>
      <c r="R2051" s="695">
        <v>20141205</v>
      </c>
      <c r="S2051" s="372" t="s">
        <v>13341</v>
      </c>
      <c r="T2051" s="696">
        <v>0.20900000000000002</v>
      </c>
      <c r="U2051" s="372" t="s">
        <v>13342</v>
      </c>
      <c r="V2051" s="722">
        <v>13.3</v>
      </c>
      <c r="W2051" s="722">
        <v>0.38</v>
      </c>
      <c r="X2051" s="722">
        <v>0.14000000000000001</v>
      </c>
      <c r="Y2051" s="722">
        <v>22.25</v>
      </c>
      <c r="Z2051" s="382" t="s">
        <v>934</v>
      </c>
      <c r="AA2051" s="372">
        <v>1713.3242703000001</v>
      </c>
      <c r="AB2051" s="372">
        <v>2962.0327226999998</v>
      </c>
      <c r="AC2051" s="372">
        <v>3985.1632478000001</v>
      </c>
      <c r="AD2051" s="372">
        <v>4197.5313372999999</v>
      </c>
      <c r="AE2051" s="372">
        <v>0</v>
      </c>
      <c r="AF2051" s="372">
        <v>0</v>
      </c>
      <c r="AG2051" s="372">
        <v>0</v>
      </c>
      <c r="AH2051" s="372">
        <v>0</v>
      </c>
    </row>
    <row r="2052" spans="1:34">
      <c r="A2052" s="372" t="s">
        <v>13343</v>
      </c>
      <c r="B2052" s="372" t="s">
        <v>13344</v>
      </c>
      <c r="C2052" s="372" t="s">
        <v>13345</v>
      </c>
      <c r="D2052" s="374">
        <v>1101111892010</v>
      </c>
      <c r="E2052" s="372" t="s">
        <v>13346</v>
      </c>
      <c r="F2052" s="372" t="s">
        <v>1076</v>
      </c>
      <c r="G2052" s="375" t="s">
        <v>2355</v>
      </c>
      <c r="H2052" s="375" t="s">
        <v>1693</v>
      </c>
      <c r="I2052" s="375" t="s">
        <v>869</v>
      </c>
      <c r="J2052" s="375">
        <v>82291.210120000003</v>
      </c>
      <c r="K2052" s="375">
        <v>15142.638300000001</v>
      </c>
      <c r="L2052" s="375">
        <v>11679.749830000001</v>
      </c>
      <c r="M2052" s="375">
        <v>145158.02369</v>
      </c>
      <c r="N2052" s="372">
        <v>0.78700000000000003</v>
      </c>
      <c r="O2052" s="703">
        <v>42.768621749072445</v>
      </c>
      <c r="P2052" s="562" t="s">
        <v>623</v>
      </c>
      <c r="Q2052" s="372" t="s">
        <v>623</v>
      </c>
      <c r="R2052" s="695">
        <v>20050930</v>
      </c>
      <c r="S2052" s="372" t="s">
        <v>13347</v>
      </c>
      <c r="T2052" s="696">
        <v>0.20900000000000002</v>
      </c>
      <c r="U2052" s="372" t="s">
        <v>13348</v>
      </c>
      <c r="V2052" s="722">
        <v>4.2300000000000004</v>
      </c>
      <c r="W2052" s="722">
        <v>0.43</v>
      </c>
      <c r="X2052" s="722">
        <v>0.64</v>
      </c>
      <c r="Y2052" s="722">
        <v>8.61</v>
      </c>
      <c r="Z2052" s="382" t="s">
        <v>934</v>
      </c>
      <c r="AA2052" s="372">
        <v>414.2356284</v>
      </c>
      <c r="AB2052" s="372">
        <v>571.55970390000004</v>
      </c>
      <c r="AC2052" s="372">
        <v>699.6220538</v>
      </c>
      <c r="AD2052" s="372">
        <v>822.91210120000005</v>
      </c>
      <c r="AE2052" s="372">
        <v>0</v>
      </c>
      <c r="AF2052" s="372">
        <v>0</v>
      </c>
      <c r="AG2052" s="372">
        <v>0</v>
      </c>
      <c r="AH2052" s="372">
        <v>0</v>
      </c>
    </row>
    <row r="2053" spans="1:34">
      <c r="A2053" s="372" t="s">
        <v>13349</v>
      </c>
      <c r="B2053" s="372" t="s">
        <v>13350</v>
      </c>
      <c r="C2053" s="372" t="s">
        <v>13351</v>
      </c>
      <c r="D2053" s="374">
        <v>0</v>
      </c>
      <c r="E2053" s="372" t="s">
        <v>13352</v>
      </c>
      <c r="F2053" s="372" t="s">
        <v>2126</v>
      </c>
      <c r="G2053" s="375" t="s">
        <v>2126</v>
      </c>
      <c r="H2053" s="375">
        <v>0</v>
      </c>
      <c r="I2053" s="375" t="s">
        <v>869</v>
      </c>
      <c r="J2053" s="375">
        <v>46427.529000000002</v>
      </c>
      <c r="K2053" s="375">
        <v>5689.1229999999996</v>
      </c>
      <c r="L2053" s="375">
        <v>6116.26</v>
      </c>
      <c r="M2053" s="375">
        <v>248192.16099999999</v>
      </c>
      <c r="N2053" s="372">
        <v>0.85899999999999999</v>
      </c>
      <c r="O2053" s="703">
        <v>63.2128315132531</v>
      </c>
      <c r="P2053" s="562" t="s">
        <v>623</v>
      </c>
      <c r="Q2053" s="372" t="s">
        <v>623</v>
      </c>
      <c r="R2053" s="695">
        <v>20170810</v>
      </c>
      <c r="S2053" s="372" t="s">
        <v>13353</v>
      </c>
      <c r="T2053" s="696">
        <v>0.20900000000000002</v>
      </c>
      <c r="U2053" s="372" t="s">
        <v>13354</v>
      </c>
      <c r="V2053" s="722">
        <v>5.55</v>
      </c>
      <c r="W2053" s="722">
        <v>0.23</v>
      </c>
      <c r="X2053" s="722">
        <v>1.24</v>
      </c>
      <c r="Y2053" s="722">
        <v>10.84</v>
      </c>
      <c r="Z2053" s="382" t="s">
        <v>934</v>
      </c>
      <c r="AA2053" s="372">
        <v>737.37536</v>
      </c>
      <c r="AB2053" s="372">
        <v>609.09753000000001</v>
      </c>
      <c r="AC2053" s="372">
        <v>388.56466</v>
      </c>
      <c r="AD2053" s="372">
        <v>464.27528999999998</v>
      </c>
      <c r="AE2053" s="372">
        <v>0</v>
      </c>
      <c r="AF2053" s="372">
        <v>0</v>
      </c>
      <c r="AG2053" s="372">
        <v>0</v>
      </c>
      <c r="AH2053" s="372">
        <v>0</v>
      </c>
    </row>
    <row r="2054" spans="1:34">
      <c r="A2054" s="372" t="s">
        <v>13355</v>
      </c>
      <c r="B2054" s="372" t="s">
        <v>13356</v>
      </c>
      <c r="C2054" s="372" t="s">
        <v>13357</v>
      </c>
      <c r="D2054" s="374">
        <v>1115110000136</v>
      </c>
      <c r="E2054" s="372" t="s">
        <v>13358</v>
      </c>
      <c r="F2054" s="372" t="s">
        <v>1881</v>
      </c>
      <c r="G2054" s="375" t="s">
        <v>1882</v>
      </c>
      <c r="H2054" s="375" t="s">
        <v>797</v>
      </c>
      <c r="I2054" s="375" t="s">
        <v>755</v>
      </c>
      <c r="J2054" s="375">
        <v>566931.44285999995</v>
      </c>
      <c r="K2054" s="375">
        <v>36096.187590000001</v>
      </c>
      <c r="L2054" s="375">
        <v>-79723.32617</v>
      </c>
      <c r="M2054" s="375">
        <v>36798.139889999999</v>
      </c>
      <c r="N2054" s="372">
        <v>0.93</v>
      </c>
      <c r="O2054" s="703">
        <v>215.27304933940732</v>
      </c>
      <c r="P2054" s="562" t="s">
        <v>623</v>
      </c>
      <c r="Q2054" s="372" t="s">
        <v>623</v>
      </c>
      <c r="R2054" s="695">
        <v>19770218</v>
      </c>
      <c r="S2054" s="372" t="s">
        <v>13359</v>
      </c>
      <c r="T2054" s="696" t="s">
        <v>772</v>
      </c>
      <c r="U2054" s="372" t="s">
        <v>13360</v>
      </c>
      <c r="V2054" s="722">
        <v>1.88</v>
      </c>
      <c r="W2054" s="722">
        <v>1.54</v>
      </c>
      <c r="X2054" s="722">
        <v>0.08</v>
      </c>
      <c r="Y2054" s="722" t="s">
        <v>774</v>
      </c>
      <c r="Z2054" s="382" t="s">
        <v>934</v>
      </c>
      <c r="AA2054" s="372">
        <v>14669.042477499999</v>
      </c>
      <c r="AB2054" s="372">
        <v>15697.0744129</v>
      </c>
      <c r="AC2054" s="372">
        <v>5012.8587158</v>
      </c>
      <c r="AD2054" s="372">
        <v>5669.3144285999997</v>
      </c>
      <c r="AE2054" s="372">
        <v>0</v>
      </c>
      <c r="AF2054" s="372">
        <v>0</v>
      </c>
      <c r="AG2054" s="372">
        <v>0</v>
      </c>
      <c r="AH2054" s="372">
        <v>0</v>
      </c>
    </row>
    <row r="2055" spans="1:34">
      <c r="A2055" s="372" t="s">
        <v>13361</v>
      </c>
      <c r="B2055" s="372" t="s">
        <v>13362</v>
      </c>
      <c r="C2055" s="372" t="s">
        <v>13363</v>
      </c>
      <c r="D2055" s="374">
        <v>1358110122283</v>
      </c>
      <c r="E2055" s="372" t="s">
        <v>13364</v>
      </c>
      <c r="F2055" s="372" t="s">
        <v>1285</v>
      </c>
      <c r="G2055" s="375" t="s">
        <v>1285</v>
      </c>
      <c r="H2055" s="375" t="s">
        <v>1388</v>
      </c>
      <c r="I2055" s="375" t="s">
        <v>869</v>
      </c>
      <c r="J2055" s="375">
        <v>124304.99541</v>
      </c>
      <c r="K2055" s="375">
        <v>-1063.2823699999999</v>
      </c>
      <c r="L2055" s="375">
        <v>-22470.03026</v>
      </c>
      <c r="M2055" s="375">
        <v>23191.113150000001</v>
      </c>
      <c r="N2055" s="372">
        <v>0.63200000000000001</v>
      </c>
      <c r="O2055" s="703">
        <v>17.656879209599552</v>
      </c>
      <c r="P2055" s="562" t="s">
        <v>623</v>
      </c>
      <c r="Q2055" s="372" t="s">
        <v>623</v>
      </c>
      <c r="R2055" s="695">
        <v>20080723</v>
      </c>
      <c r="S2055" s="372" t="s">
        <v>13365</v>
      </c>
      <c r="T2055" s="696" t="s">
        <v>772</v>
      </c>
      <c r="U2055" s="372" t="s">
        <v>13366</v>
      </c>
      <c r="V2055" s="722">
        <v>9.81</v>
      </c>
      <c r="W2055" s="722">
        <v>2.04</v>
      </c>
      <c r="X2055" s="722">
        <v>0.42</v>
      </c>
      <c r="Y2055" s="722" t="s">
        <v>774</v>
      </c>
      <c r="Z2055" s="382">
        <v>0.15222806427353364</v>
      </c>
      <c r="AA2055" s="372">
        <v>1462.9979244000001</v>
      </c>
      <c r="AB2055" s="372">
        <v>1528.6588382</v>
      </c>
      <c r="AC2055" s="372">
        <v>1173.7964102999999</v>
      </c>
      <c r="AD2055" s="372">
        <v>1243.0499540999999</v>
      </c>
      <c r="AE2055" s="372">
        <v>1375</v>
      </c>
      <c r="AF2055" s="372">
        <v>1940</v>
      </c>
      <c r="AG2055" s="372">
        <v>2191</v>
      </c>
      <c r="AH2055" s="372">
        <v>0</v>
      </c>
    </row>
    <row r="2056" spans="1:34">
      <c r="A2056" s="372" t="s">
        <v>13367</v>
      </c>
      <c r="B2056" s="372" t="s">
        <v>13368</v>
      </c>
      <c r="C2056" s="372" t="s">
        <v>13369</v>
      </c>
      <c r="D2056" s="374">
        <v>1351110045025</v>
      </c>
      <c r="E2056" s="372" t="s">
        <v>13370</v>
      </c>
      <c r="F2056" s="372" t="s">
        <v>622</v>
      </c>
      <c r="G2056" s="375" t="s">
        <v>622</v>
      </c>
      <c r="H2056" s="375" t="s">
        <v>868</v>
      </c>
      <c r="I2056" s="375" t="s">
        <v>869</v>
      </c>
      <c r="J2056" s="375">
        <v>253580.86592000001</v>
      </c>
      <c r="K2056" s="375">
        <v>-3314.1938</v>
      </c>
      <c r="L2056" s="375">
        <v>-31820.477579999999</v>
      </c>
      <c r="M2056" s="375">
        <v>-6358.7240199999997</v>
      </c>
      <c r="N2056" s="372">
        <v>1.1559999999999999</v>
      </c>
      <c r="O2056" s="703">
        <v>23.534641688864934</v>
      </c>
      <c r="P2056" s="562" t="s">
        <v>16142</v>
      </c>
      <c r="Q2056" s="372" t="s">
        <v>16145</v>
      </c>
      <c r="R2056" s="695">
        <v>20010821</v>
      </c>
      <c r="S2056" s="372" t="s">
        <v>13371</v>
      </c>
      <c r="T2056" s="696" t="s">
        <v>772</v>
      </c>
      <c r="U2056" s="372" t="s">
        <v>13372</v>
      </c>
      <c r="V2056" s="722" t="s">
        <v>774</v>
      </c>
      <c r="W2056" s="722" t="s">
        <v>774</v>
      </c>
      <c r="X2056" s="722">
        <v>0.21</v>
      </c>
      <c r="Y2056" s="722" t="s">
        <v>774</v>
      </c>
      <c r="Z2056" s="382" t="s">
        <v>934</v>
      </c>
      <c r="AA2056" s="372">
        <v>3231.4839529999999</v>
      </c>
      <c r="AB2056" s="372">
        <v>3530.8212910000002</v>
      </c>
      <c r="AC2056" s="372">
        <v>3059.3141988000002</v>
      </c>
      <c r="AD2056" s="372">
        <v>2535.8086592</v>
      </c>
      <c r="AE2056" s="372">
        <v>0</v>
      </c>
      <c r="AF2056" s="372">
        <v>0</v>
      </c>
      <c r="AG2056" s="372">
        <v>0</v>
      </c>
      <c r="AH2056" s="372">
        <v>0</v>
      </c>
    </row>
    <row r="2057" spans="1:34">
      <c r="A2057" s="372" t="s">
        <v>13373</v>
      </c>
      <c r="B2057" s="372" t="s">
        <v>13374</v>
      </c>
      <c r="C2057" s="372" t="s">
        <v>13375</v>
      </c>
      <c r="D2057" s="374">
        <v>1101112317653</v>
      </c>
      <c r="E2057" s="372" t="s">
        <v>13376</v>
      </c>
      <c r="F2057" s="372" t="s">
        <v>2147</v>
      </c>
      <c r="G2057" s="375" t="s">
        <v>4273</v>
      </c>
      <c r="H2057" s="375" t="s">
        <v>868</v>
      </c>
      <c r="I2057" s="375" t="s">
        <v>869</v>
      </c>
      <c r="J2057" s="375">
        <v>21304.785940000002</v>
      </c>
      <c r="K2057" s="375">
        <v>283.82020999999997</v>
      </c>
      <c r="L2057" s="375">
        <v>607.85733000000005</v>
      </c>
      <c r="M2057" s="375">
        <v>18540.530309999998</v>
      </c>
      <c r="N2057" s="372" t="s">
        <v>1033</v>
      </c>
      <c r="O2057" s="703">
        <v>1.2255173059399498</v>
      </c>
      <c r="P2057" s="562" t="s">
        <v>623</v>
      </c>
      <c r="Q2057" s="372" t="s">
        <v>623</v>
      </c>
      <c r="R2057" s="695">
        <v>20221018</v>
      </c>
      <c r="S2057" s="372" t="s">
        <v>13377</v>
      </c>
      <c r="T2057" s="696">
        <v>0.20900000000000002</v>
      </c>
      <c r="U2057" s="372" t="s">
        <v>13378</v>
      </c>
      <c r="V2057" s="722">
        <v>0</v>
      </c>
      <c r="W2057" s="722">
        <v>2.7</v>
      </c>
      <c r="X2057" s="722">
        <v>0</v>
      </c>
      <c r="Y2057" s="722">
        <v>0</v>
      </c>
      <c r="Z2057" s="382" t="s">
        <v>934</v>
      </c>
      <c r="AA2057" s="372">
        <v>180.22850170000001</v>
      </c>
      <c r="AB2057" s="372">
        <v>205.2237671</v>
      </c>
      <c r="AC2057" s="372">
        <v>239.6320407</v>
      </c>
      <c r="AD2057" s="372">
        <v>213.04785939999999</v>
      </c>
      <c r="AE2057" s="372">
        <v>0</v>
      </c>
      <c r="AF2057" s="372">
        <v>0</v>
      </c>
      <c r="AG2057" s="372">
        <v>0</v>
      </c>
      <c r="AH2057" s="372">
        <v>0</v>
      </c>
    </row>
    <row r="2058" spans="1:34">
      <c r="A2058" s="372" t="s">
        <v>13379</v>
      </c>
      <c r="B2058" s="372" t="s">
        <v>13380</v>
      </c>
      <c r="C2058" s="372" t="s">
        <v>13381</v>
      </c>
      <c r="D2058" s="374">
        <v>1243110003006</v>
      </c>
      <c r="E2058" s="372" t="s">
        <v>13382</v>
      </c>
      <c r="F2058" s="372" t="s">
        <v>887</v>
      </c>
      <c r="G2058" s="375" t="s">
        <v>887</v>
      </c>
      <c r="H2058" s="375" t="s">
        <v>868</v>
      </c>
      <c r="I2058" s="375" t="s">
        <v>869</v>
      </c>
      <c r="J2058" s="375">
        <v>79095.170750000005</v>
      </c>
      <c r="K2058" s="375">
        <v>-11092.591210000001</v>
      </c>
      <c r="L2058" s="375">
        <v>-12827.54206</v>
      </c>
      <c r="M2058" s="375">
        <v>31792.24309</v>
      </c>
      <c r="N2058" s="372">
        <v>1.1040000000000001</v>
      </c>
      <c r="O2058" s="703">
        <v>64.228851134670606</v>
      </c>
      <c r="P2058" s="562" t="s">
        <v>623</v>
      </c>
      <c r="Q2058" s="372" t="s">
        <v>623</v>
      </c>
      <c r="R2058" s="695">
        <v>19970212</v>
      </c>
      <c r="S2058" s="372" t="s">
        <v>13383</v>
      </c>
      <c r="T2058" s="696" t="s">
        <v>772</v>
      </c>
      <c r="U2058" s="372" t="s">
        <v>13384</v>
      </c>
      <c r="V2058" s="722" t="s">
        <v>774</v>
      </c>
      <c r="W2058" s="722">
        <v>1.67</v>
      </c>
      <c r="X2058" s="722">
        <v>0.52</v>
      </c>
      <c r="Y2058" s="722" t="s">
        <v>774</v>
      </c>
      <c r="Z2058" s="382" t="s">
        <v>934</v>
      </c>
      <c r="AA2058" s="372">
        <v>575.99121700000001</v>
      </c>
      <c r="AB2058" s="372">
        <v>690.71327050000002</v>
      </c>
      <c r="AC2058" s="372">
        <v>753.21857680000005</v>
      </c>
      <c r="AD2058" s="372">
        <v>790.9517075</v>
      </c>
      <c r="AE2058" s="372">
        <v>0</v>
      </c>
      <c r="AF2058" s="372">
        <v>0</v>
      </c>
      <c r="AG2058" s="372">
        <v>0</v>
      </c>
      <c r="AH2058" s="372">
        <v>0</v>
      </c>
    </row>
    <row r="2059" spans="1:34">
      <c r="A2059" s="372" t="s">
        <v>13385</v>
      </c>
      <c r="B2059" s="372" t="s">
        <v>13386</v>
      </c>
      <c r="C2059" s="372" t="s">
        <v>13387</v>
      </c>
      <c r="D2059" s="374">
        <v>1101110717441</v>
      </c>
      <c r="E2059" s="372" t="s">
        <v>13388</v>
      </c>
      <c r="F2059" s="372" t="s">
        <v>1673</v>
      </c>
      <c r="G2059" s="375" t="s">
        <v>1673</v>
      </c>
      <c r="H2059" s="375" t="s">
        <v>1388</v>
      </c>
      <c r="I2059" s="375" t="s">
        <v>869</v>
      </c>
      <c r="J2059" s="375">
        <v>52783.978410000003</v>
      </c>
      <c r="K2059" s="375">
        <v>710.09211000000005</v>
      </c>
      <c r="L2059" s="375">
        <v>1138.9795999999999</v>
      </c>
      <c r="M2059" s="375">
        <v>49963.549019999999</v>
      </c>
      <c r="N2059" s="372">
        <v>1.1240000000000001</v>
      </c>
      <c r="O2059" s="703">
        <v>3.8315993044956254</v>
      </c>
      <c r="P2059" s="562" t="s">
        <v>623</v>
      </c>
      <c r="Q2059" s="372" t="s">
        <v>623</v>
      </c>
      <c r="R2059" s="695">
        <v>19970422</v>
      </c>
      <c r="S2059" s="372" t="s">
        <v>13389</v>
      </c>
      <c r="T2059" s="696">
        <v>0.20900000000000002</v>
      </c>
      <c r="U2059" s="372" t="s">
        <v>13390</v>
      </c>
      <c r="V2059" s="722">
        <v>0</v>
      </c>
      <c r="W2059" s="722">
        <v>1.08</v>
      </c>
      <c r="X2059" s="722">
        <v>0</v>
      </c>
      <c r="Y2059" s="722">
        <v>0</v>
      </c>
      <c r="Z2059" s="382" t="s">
        <v>934</v>
      </c>
      <c r="AA2059" s="372">
        <v>586.91305490000002</v>
      </c>
      <c r="AB2059" s="372">
        <v>776.36822640000003</v>
      </c>
      <c r="AC2059" s="372">
        <v>725.59081230000004</v>
      </c>
      <c r="AD2059" s="372">
        <v>527.83978409999997</v>
      </c>
      <c r="AE2059" s="372">
        <v>0</v>
      </c>
      <c r="AF2059" s="372">
        <v>0</v>
      </c>
      <c r="AG2059" s="372">
        <v>0</v>
      </c>
      <c r="AH2059" s="372">
        <v>0</v>
      </c>
    </row>
    <row r="2060" spans="1:34">
      <c r="A2060" s="372" t="s">
        <v>13391</v>
      </c>
      <c r="B2060" s="372" t="s">
        <v>13392</v>
      </c>
      <c r="C2060" s="372" t="s">
        <v>13393</v>
      </c>
      <c r="D2060" s="374">
        <v>1943110005149</v>
      </c>
      <c r="E2060" s="372" t="s">
        <v>13394</v>
      </c>
      <c r="F2060" s="372" t="s">
        <v>1592</v>
      </c>
      <c r="G2060" s="375" t="s">
        <v>1593</v>
      </c>
      <c r="H2060" s="375" t="s">
        <v>868</v>
      </c>
      <c r="I2060" s="375" t="s">
        <v>869</v>
      </c>
      <c r="J2060" s="375">
        <v>95749.467250000002</v>
      </c>
      <c r="K2060" s="375">
        <v>5993.6404700000003</v>
      </c>
      <c r="L2060" s="375">
        <v>6483.0806400000001</v>
      </c>
      <c r="M2060" s="375">
        <v>68364.154810000007</v>
      </c>
      <c r="N2060" s="372">
        <v>1.125</v>
      </c>
      <c r="O2060" s="703">
        <v>54.984271098399503</v>
      </c>
      <c r="P2060" s="562" t="s">
        <v>623</v>
      </c>
      <c r="Q2060" s="372" t="s">
        <v>623</v>
      </c>
      <c r="R2060" s="695">
        <v>20011113</v>
      </c>
      <c r="S2060" s="372" t="s">
        <v>13395</v>
      </c>
      <c r="T2060" s="696">
        <v>0.20900000000000002</v>
      </c>
      <c r="U2060" s="372" t="s">
        <v>13396</v>
      </c>
      <c r="V2060" s="722">
        <v>8.1</v>
      </c>
      <c r="W2060" s="722">
        <v>0.77</v>
      </c>
      <c r="X2060" s="722">
        <v>0.56999999999999995</v>
      </c>
      <c r="Y2060" s="722">
        <v>9.09</v>
      </c>
      <c r="Z2060" s="382" t="s">
        <v>934</v>
      </c>
      <c r="AA2060" s="372">
        <v>680.2041921</v>
      </c>
      <c r="AB2060" s="372">
        <v>698.12139400000001</v>
      </c>
      <c r="AC2060" s="372">
        <v>906.76947919999998</v>
      </c>
      <c r="AD2060" s="372">
        <v>957.49467249999998</v>
      </c>
      <c r="AE2060" s="372">
        <v>1265</v>
      </c>
      <c r="AF2060" s="372">
        <v>0</v>
      </c>
      <c r="AG2060" s="372">
        <v>0</v>
      </c>
      <c r="AH2060" s="372">
        <v>0</v>
      </c>
    </row>
    <row r="2061" spans="1:34">
      <c r="A2061" s="372" t="s">
        <v>13397</v>
      </c>
      <c r="B2061" s="372" t="s">
        <v>13398</v>
      </c>
      <c r="C2061" s="372" t="s">
        <v>13399</v>
      </c>
      <c r="D2061" s="374">
        <v>1701110029802</v>
      </c>
      <c r="E2061" s="372" t="s">
        <v>13400</v>
      </c>
      <c r="F2061" s="372" t="s">
        <v>3020</v>
      </c>
      <c r="G2061" s="375" t="s">
        <v>3020</v>
      </c>
      <c r="H2061" s="375" t="s">
        <v>868</v>
      </c>
      <c r="I2061" s="375" t="s">
        <v>869</v>
      </c>
      <c r="J2061" s="375">
        <v>628485.71496000001</v>
      </c>
      <c r="K2061" s="375">
        <v>35416.248399999997</v>
      </c>
      <c r="L2061" s="375">
        <v>44196.808559999998</v>
      </c>
      <c r="M2061" s="375">
        <v>122665.87621</v>
      </c>
      <c r="N2061" s="372">
        <v>1.0349999999999999</v>
      </c>
      <c r="O2061" s="703">
        <v>354.35811805283868</v>
      </c>
      <c r="P2061" s="562" t="s">
        <v>623</v>
      </c>
      <c r="Q2061" s="372" t="s">
        <v>623</v>
      </c>
      <c r="R2061" s="695">
        <v>19921027</v>
      </c>
      <c r="S2061" s="372" t="s">
        <v>13401</v>
      </c>
      <c r="T2061" s="696">
        <v>0.23100000000000001</v>
      </c>
      <c r="U2061" s="372" t="s">
        <v>13402</v>
      </c>
      <c r="V2061" s="722">
        <v>2.79</v>
      </c>
      <c r="W2061" s="722">
        <v>0.4</v>
      </c>
      <c r="X2061" s="722">
        <v>0.08</v>
      </c>
      <c r="Y2061" s="722">
        <v>1.57</v>
      </c>
      <c r="Z2061" s="382" t="s">
        <v>934</v>
      </c>
      <c r="AA2061" s="372">
        <v>1916.624292</v>
      </c>
      <c r="AB2061" s="372">
        <v>1958.4744831</v>
      </c>
      <c r="AC2061" s="372">
        <v>2291.4451162999999</v>
      </c>
      <c r="AD2061" s="372">
        <v>6284.8571496000004</v>
      </c>
      <c r="AE2061" s="372">
        <v>0</v>
      </c>
      <c r="AF2061" s="372">
        <v>0</v>
      </c>
      <c r="AG2061" s="372">
        <v>0</v>
      </c>
      <c r="AH2061" s="372">
        <v>0</v>
      </c>
    </row>
    <row r="2062" spans="1:34">
      <c r="A2062" s="372" t="s">
        <v>13403</v>
      </c>
      <c r="B2062" s="372" t="s">
        <v>13404</v>
      </c>
      <c r="C2062" s="372" t="s">
        <v>13405</v>
      </c>
      <c r="D2062" s="374">
        <v>1301110008862</v>
      </c>
      <c r="E2062" s="372" t="s">
        <v>13406</v>
      </c>
      <c r="F2062" s="372" t="s">
        <v>12185</v>
      </c>
      <c r="G2062" s="375" t="s">
        <v>12185</v>
      </c>
      <c r="H2062" s="375" t="s">
        <v>853</v>
      </c>
      <c r="I2062" s="375" t="s">
        <v>755</v>
      </c>
      <c r="J2062" s="375">
        <v>202841.32759999999</v>
      </c>
      <c r="K2062" s="375">
        <v>14656.30459</v>
      </c>
      <c r="L2062" s="375">
        <v>25791.846570000002</v>
      </c>
      <c r="M2062" s="375">
        <v>275482.58424</v>
      </c>
      <c r="N2062" s="372">
        <v>0.628</v>
      </c>
      <c r="O2062" s="703">
        <v>45.339268011675657</v>
      </c>
      <c r="P2062" s="562" t="s">
        <v>623</v>
      </c>
      <c r="Q2062" s="372" t="s">
        <v>623</v>
      </c>
      <c r="R2062" s="695">
        <v>19970212</v>
      </c>
      <c r="S2062" s="372" t="s">
        <v>13407</v>
      </c>
      <c r="T2062" s="696">
        <v>0.23100000000000001</v>
      </c>
      <c r="U2062" s="372" t="s">
        <v>13408</v>
      </c>
      <c r="V2062" s="722">
        <v>7.85</v>
      </c>
      <c r="W2062" s="722">
        <v>0.34</v>
      </c>
      <c r="X2062" s="722">
        <v>0.27</v>
      </c>
      <c r="Y2062" s="722">
        <v>5.79</v>
      </c>
      <c r="Z2062" s="382" t="s">
        <v>934</v>
      </c>
      <c r="AA2062" s="372">
        <v>1415.5345949</v>
      </c>
      <c r="AB2062" s="372">
        <v>1496.6881266</v>
      </c>
      <c r="AC2062" s="372">
        <v>1842.2368921</v>
      </c>
      <c r="AD2062" s="372">
        <v>2028.413276</v>
      </c>
      <c r="AE2062" s="372">
        <v>0</v>
      </c>
      <c r="AF2062" s="372">
        <v>0</v>
      </c>
      <c r="AG2062" s="372">
        <v>0</v>
      </c>
      <c r="AH2062" s="372">
        <v>0</v>
      </c>
    </row>
    <row r="2063" spans="1:34">
      <c r="A2063" s="372" t="s">
        <v>13409</v>
      </c>
      <c r="B2063" s="372" t="s">
        <v>13410</v>
      </c>
      <c r="C2063" s="372" t="s">
        <v>13411</v>
      </c>
      <c r="D2063" s="374">
        <v>1101111136145</v>
      </c>
      <c r="E2063" s="372" t="s">
        <v>13412</v>
      </c>
      <c r="F2063" s="372" t="s">
        <v>13413</v>
      </c>
      <c r="G2063" s="375" t="s">
        <v>13414</v>
      </c>
      <c r="H2063" s="375" t="s">
        <v>3127</v>
      </c>
      <c r="I2063" s="375" t="s">
        <v>869</v>
      </c>
      <c r="J2063" s="375">
        <v>56065.934820000002</v>
      </c>
      <c r="K2063" s="375">
        <v>708.38304000000005</v>
      </c>
      <c r="L2063" s="375">
        <v>1898.0710799999999</v>
      </c>
      <c r="M2063" s="375">
        <v>86815.03688</v>
      </c>
      <c r="N2063" s="372">
        <v>1.1439999999999999</v>
      </c>
      <c r="O2063" s="703">
        <v>25.630809972205043</v>
      </c>
      <c r="P2063" s="562" t="s">
        <v>623</v>
      </c>
      <c r="Q2063" s="372" t="s">
        <v>623</v>
      </c>
      <c r="R2063" s="695">
        <v>20000502</v>
      </c>
      <c r="S2063" s="372" t="s">
        <v>13415</v>
      </c>
      <c r="T2063" s="696">
        <v>0.20900000000000002</v>
      </c>
      <c r="U2063" s="372" t="s">
        <v>13416</v>
      </c>
      <c r="V2063" s="722">
        <v>28.66</v>
      </c>
      <c r="W2063" s="722">
        <v>0.63</v>
      </c>
      <c r="X2063" s="722">
        <v>0.94</v>
      </c>
      <c r="Y2063" s="722">
        <v>36.99</v>
      </c>
      <c r="Z2063" s="382" t="s">
        <v>934</v>
      </c>
      <c r="AA2063" s="372">
        <v>282.06514299999998</v>
      </c>
      <c r="AB2063" s="372">
        <v>331.97754300000003</v>
      </c>
      <c r="AC2063" s="372">
        <v>412.1394123</v>
      </c>
      <c r="AD2063" s="372">
        <v>560.65934819999995</v>
      </c>
      <c r="AE2063" s="372">
        <v>0</v>
      </c>
      <c r="AF2063" s="372">
        <v>0</v>
      </c>
      <c r="AG2063" s="372">
        <v>0</v>
      </c>
      <c r="AH2063" s="372">
        <v>0</v>
      </c>
    </row>
    <row r="2064" spans="1:34">
      <c r="A2064" s="372" t="s">
        <v>13417</v>
      </c>
      <c r="B2064" s="372" t="s">
        <v>13418</v>
      </c>
      <c r="C2064" s="372" t="s">
        <v>13419</v>
      </c>
      <c r="D2064" s="374">
        <v>1717110093010</v>
      </c>
      <c r="E2064" s="372" t="s">
        <v>13420</v>
      </c>
      <c r="F2064" s="372" t="s">
        <v>3708</v>
      </c>
      <c r="G2064" s="375" t="s">
        <v>3708</v>
      </c>
      <c r="H2064" s="375" t="s">
        <v>1348</v>
      </c>
      <c r="I2064" s="375" t="s">
        <v>869</v>
      </c>
      <c r="J2064" s="375">
        <v>243.18631999999999</v>
      </c>
      <c r="K2064" s="375">
        <v>-12206.65653</v>
      </c>
      <c r="L2064" s="375">
        <v>-13601.504419999999</v>
      </c>
      <c r="M2064" s="375">
        <v>15478.8969</v>
      </c>
      <c r="N2064" s="372">
        <v>0.65</v>
      </c>
      <c r="O2064" s="703">
        <v>17.263754816868275</v>
      </c>
      <c r="P2064" s="562" t="s">
        <v>623</v>
      </c>
      <c r="Q2064" s="372" t="s">
        <v>623</v>
      </c>
      <c r="R2064" s="695">
        <v>20200916</v>
      </c>
      <c r="S2064" s="372" t="s">
        <v>13421</v>
      </c>
      <c r="T2064" s="696" t="s">
        <v>772</v>
      </c>
      <c r="U2064" s="372" t="s">
        <v>13422</v>
      </c>
      <c r="V2064" s="722">
        <v>0</v>
      </c>
      <c r="W2064" s="722">
        <v>4.17</v>
      </c>
      <c r="X2064" s="722">
        <v>0</v>
      </c>
      <c r="Y2064" s="722">
        <v>0</v>
      </c>
      <c r="Z2064" s="382" t="s">
        <v>934</v>
      </c>
      <c r="AA2064" s="372">
        <v>2.2850609</v>
      </c>
      <c r="AB2064" s="372">
        <v>2.6927506999999999</v>
      </c>
      <c r="AC2064" s="372">
        <v>3.5825288</v>
      </c>
      <c r="AD2064" s="372">
        <v>2.4318632</v>
      </c>
      <c r="AE2064" s="372">
        <v>0</v>
      </c>
      <c r="AF2064" s="372">
        <v>0</v>
      </c>
      <c r="AG2064" s="372">
        <v>0</v>
      </c>
      <c r="AH2064" s="372">
        <v>0</v>
      </c>
    </row>
    <row r="2065" spans="1:34">
      <c r="A2065" s="372" t="s">
        <v>13423</v>
      </c>
      <c r="B2065" s="372" t="s">
        <v>13424</v>
      </c>
      <c r="C2065" s="372" t="s">
        <v>13425</v>
      </c>
      <c r="D2065" s="374">
        <v>1101110808357</v>
      </c>
      <c r="E2065" s="372" t="s">
        <v>13426</v>
      </c>
      <c r="F2065" s="372" t="s">
        <v>10213</v>
      </c>
      <c r="G2065" s="375" t="s">
        <v>10214</v>
      </c>
      <c r="H2065" s="375" t="s">
        <v>1388</v>
      </c>
      <c r="I2065" s="375" t="s">
        <v>869</v>
      </c>
      <c r="J2065" s="375">
        <v>32770.353179999998</v>
      </c>
      <c r="K2065" s="375">
        <v>-7712.4058199999999</v>
      </c>
      <c r="L2065" s="375">
        <v>-2932.3975</v>
      </c>
      <c r="M2065" s="375">
        <v>157472.38303</v>
      </c>
      <c r="N2065" s="372">
        <v>0.83099999999999996</v>
      </c>
      <c r="O2065" s="703">
        <v>10.39475694121063</v>
      </c>
      <c r="P2065" s="562" t="s">
        <v>623</v>
      </c>
      <c r="Q2065" s="372" t="s">
        <v>623</v>
      </c>
      <c r="R2065" s="695">
        <v>20110126</v>
      </c>
      <c r="S2065" s="372" t="s">
        <v>13427</v>
      </c>
      <c r="T2065" s="696" t="s">
        <v>772</v>
      </c>
      <c r="U2065" s="372" t="s">
        <v>13428</v>
      </c>
      <c r="V2065" s="722" t="s">
        <v>774</v>
      </c>
      <c r="W2065" s="722">
        <v>0.33</v>
      </c>
      <c r="X2065" s="722">
        <v>1.61</v>
      </c>
      <c r="Y2065" s="722" t="s">
        <v>774</v>
      </c>
      <c r="Z2065" s="382" t="s">
        <v>934</v>
      </c>
      <c r="AA2065" s="372">
        <v>535.48726820000002</v>
      </c>
      <c r="AB2065" s="372">
        <v>714.92337710000004</v>
      </c>
      <c r="AC2065" s="372">
        <v>586.18047320000005</v>
      </c>
      <c r="AD2065" s="372">
        <v>327.70353180000001</v>
      </c>
      <c r="AE2065" s="372">
        <v>0</v>
      </c>
      <c r="AF2065" s="372">
        <v>0</v>
      </c>
      <c r="AG2065" s="372">
        <v>0</v>
      </c>
      <c r="AH2065" s="372">
        <v>0</v>
      </c>
    </row>
    <row r="2066" spans="1:34">
      <c r="A2066" s="372" t="s">
        <v>13429</v>
      </c>
      <c r="B2066" s="372" t="s">
        <v>13430</v>
      </c>
      <c r="C2066" s="372" t="s">
        <v>13431</v>
      </c>
      <c r="D2066" s="374">
        <v>1601110088660</v>
      </c>
      <c r="E2066" s="372" t="s">
        <v>13432</v>
      </c>
      <c r="F2066" s="372" t="s">
        <v>770</v>
      </c>
      <c r="G2066" s="375" t="s">
        <v>770</v>
      </c>
      <c r="H2066" s="375" t="s">
        <v>1388</v>
      </c>
      <c r="I2066" s="375" t="s">
        <v>869</v>
      </c>
      <c r="J2066" s="375">
        <v>27071.40696</v>
      </c>
      <c r="K2066" s="375">
        <v>-17281.628400000001</v>
      </c>
      <c r="L2066" s="375">
        <v>-36168.979059999998</v>
      </c>
      <c r="M2066" s="375">
        <v>14582.22342</v>
      </c>
      <c r="N2066" s="372">
        <v>1.6879999999999999</v>
      </c>
      <c r="O2066" s="703">
        <v>16.953318751193656</v>
      </c>
      <c r="P2066" s="562" t="s">
        <v>16142</v>
      </c>
      <c r="Q2066" s="372" t="s">
        <v>16145</v>
      </c>
      <c r="R2066" s="695">
        <v>20071120</v>
      </c>
      <c r="S2066" s="372" t="s">
        <v>13433</v>
      </c>
      <c r="T2066" s="696" t="s">
        <v>772</v>
      </c>
      <c r="U2066" s="372" t="s">
        <v>13434</v>
      </c>
      <c r="V2066" s="722" t="s">
        <v>774</v>
      </c>
      <c r="W2066" s="722">
        <v>4.24</v>
      </c>
      <c r="X2066" s="722">
        <v>2.02</v>
      </c>
      <c r="Y2066" s="722" t="s">
        <v>774</v>
      </c>
      <c r="Z2066" s="382" t="s">
        <v>934</v>
      </c>
      <c r="AA2066" s="372">
        <v>339.21914340000001</v>
      </c>
      <c r="AB2066" s="372">
        <v>367.85321269999997</v>
      </c>
      <c r="AC2066" s="372">
        <v>332.38398439999997</v>
      </c>
      <c r="AD2066" s="372">
        <v>270.71406960000002</v>
      </c>
      <c r="AE2066" s="372">
        <v>0</v>
      </c>
      <c r="AF2066" s="372">
        <v>0</v>
      </c>
      <c r="AG2066" s="372">
        <v>0</v>
      </c>
      <c r="AH2066" s="372">
        <v>0</v>
      </c>
    </row>
    <row r="2067" spans="1:34">
      <c r="A2067" s="372" t="s">
        <v>13435</v>
      </c>
      <c r="B2067" s="372" t="s">
        <v>13436</v>
      </c>
      <c r="C2067" s="372" t="s">
        <v>13437</v>
      </c>
      <c r="D2067" s="374">
        <v>1101111354961</v>
      </c>
      <c r="E2067" s="372" t="s">
        <v>13438</v>
      </c>
      <c r="F2067" s="372" t="s">
        <v>5655</v>
      </c>
      <c r="G2067" s="375" t="s">
        <v>5655</v>
      </c>
      <c r="H2067" s="375" t="s">
        <v>1547</v>
      </c>
      <c r="I2067" s="375" t="s">
        <v>869</v>
      </c>
      <c r="J2067" s="375">
        <v>23670.251799999998</v>
      </c>
      <c r="K2067" s="375">
        <v>-4824.1540000000005</v>
      </c>
      <c r="L2067" s="375">
        <v>-13539.03614</v>
      </c>
      <c r="M2067" s="375">
        <v>71647.241680000006</v>
      </c>
      <c r="N2067" s="372">
        <v>0.89300000000000002</v>
      </c>
      <c r="O2067" s="703">
        <v>77.584665474929096</v>
      </c>
      <c r="P2067" s="562" t="s">
        <v>623</v>
      </c>
      <c r="Q2067" s="372" t="s">
        <v>623</v>
      </c>
      <c r="R2067" s="695">
        <v>19990813</v>
      </c>
      <c r="S2067" s="372" t="s">
        <v>13439</v>
      </c>
      <c r="T2067" s="696" t="s">
        <v>772</v>
      </c>
      <c r="U2067" s="372" t="s">
        <v>13440</v>
      </c>
      <c r="V2067" s="722" t="s">
        <v>774</v>
      </c>
      <c r="W2067" s="722">
        <v>0.65</v>
      </c>
      <c r="X2067" s="722">
        <v>2.04</v>
      </c>
      <c r="Y2067" s="722" t="s">
        <v>774</v>
      </c>
      <c r="Z2067" s="382" t="s">
        <v>934</v>
      </c>
      <c r="AA2067" s="372">
        <v>152.06735470000001</v>
      </c>
      <c r="AB2067" s="372">
        <v>107.11420630000001</v>
      </c>
      <c r="AC2067" s="372">
        <v>260.327651</v>
      </c>
      <c r="AD2067" s="372">
        <v>236.702518</v>
      </c>
      <c r="AE2067" s="372">
        <v>0</v>
      </c>
      <c r="AF2067" s="372">
        <v>0</v>
      </c>
      <c r="AG2067" s="372">
        <v>0</v>
      </c>
      <c r="AH2067" s="372">
        <v>0</v>
      </c>
    </row>
    <row r="2068" spans="1:34">
      <c r="A2068" s="372" t="s">
        <v>13441</v>
      </c>
      <c r="B2068" s="372" t="s">
        <v>13442</v>
      </c>
      <c r="C2068" s="372" t="s">
        <v>13443</v>
      </c>
      <c r="D2068" s="374">
        <v>1101111538664</v>
      </c>
      <c r="E2068" s="372" t="s">
        <v>13444</v>
      </c>
      <c r="F2068" s="372" t="s">
        <v>1814</v>
      </c>
      <c r="G2068" s="375" t="s">
        <v>2821</v>
      </c>
      <c r="H2068" s="375" t="s">
        <v>1693</v>
      </c>
      <c r="I2068" s="375" t="s">
        <v>869</v>
      </c>
      <c r="J2068" s="375">
        <v>56033.528380000003</v>
      </c>
      <c r="K2068" s="375">
        <v>3034.5324300000002</v>
      </c>
      <c r="L2068" s="375">
        <v>3545.0313900000001</v>
      </c>
      <c r="M2068" s="375">
        <v>45087.845500000003</v>
      </c>
      <c r="N2068" s="372">
        <v>0.92</v>
      </c>
      <c r="O2068" s="703">
        <v>11.333241685464905</v>
      </c>
      <c r="P2068" s="562" t="s">
        <v>623</v>
      </c>
      <c r="Q2068" s="372" t="s">
        <v>623</v>
      </c>
      <c r="R2068" s="695">
        <v>20030124</v>
      </c>
      <c r="S2068" s="372" t="s">
        <v>13445</v>
      </c>
      <c r="T2068" s="696">
        <v>0.20900000000000002</v>
      </c>
      <c r="U2068" s="372" t="s">
        <v>13446</v>
      </c>
      <c r="V2068" s="722">
        <v>14</v>
      </c>
      <c r="W2068" s="722">
        <v>1.04</v>
      </c>
      <c r="X2068" s="722">
        <v>0.88</v>
      </c>
      <c r="Y2068" s="722">
        <v>13.28</v>
      </c>
      <c r="Z2068" s="382" t="s">
        <v>934</v>
      </c>
      <c r="AA2068" s="372">
        <v>457.14930390000001</v>
      </c>
      <c r="AB2068" s="372">
        <v>561.85382630000004</v>
      </c>
      <c r="AC2068" s="372">
        <v>565.61772020000001</v>
      </c>
      <c r="AD2068" s="372">
        <v>560.33528379999996</v>
      </c>
      <c r="AE2068" s="372">
        <v>0</v>
      </c>
      <c r="AF2068" s="372">
        <v>0</v>
      </c>
      <c r="AG2068" s="372">
        <v>0</v>
      </c>
      <c r="AH2068" s="372">
        <v>0</v>
      </c>
    </row>
    <row r="2069" spans="1:34">
      <c r="A2069" s="372" t="s">
        <v>13447</v>
      </c>
      <c r="B2069" s="372" t="s">
        <v>13448</v>
      </c>
      <c r="C2069" s="372" t="s">
        <v>13449</v>
      </c>
      <c r="D2069" s="374">
        <v>1358110139600</v>
      </c>
      <c r="E2069" s="372" t="s">
        <v>13450</v>
      </c>
      <c r="F2069" s="372" t="s">
        <v>1614</v>
      </c>
      <c r="G2069" s="375" t="s">
        <v>1615</v>
      </c>
      <c r="H2069" s="375" t="s">
        <v>868</v>
      </c>
      <c r="I2069" s="375" t="s">
        <v>869</v>
      </c>
      <c r="J2069" s="375">
        <v>6459.0765300000003</v>
      </c>
      <c r="K2069" s="375">
        <v>-2482.0200100000002</v>
      </c>
      <c r="L2069" s="375">
        <v>-6284.1844899999996</v>
      </c>
      <c r="M2069" s="375">
        <v>9704.11492</v>
      </c>
      <c r="N2069" s="372">
        <v>1.0289999999999999</v>
      </c>
      <c r="O2069" s="703">
        <v>17.165859912660466</v>
      </c>
      <c r="P2069" s="562" t="s">
        <v>623</v>
      </c>
      <c r="Q2069" s="372" t="s">
        <v>623</v>
      </c>
      <c r="R2069" s="695">
        <v>20190819</v>
      </c>
      <c r="S2069" s="372" t="s">
        <v>13451</v>
      </c>
      <c r="T2069" s="696" t="s">
        <v>772</v>
      </c>
      <c r="U2069" s="372" t="s">
        <v>13452</v>
      </c>
      <c r="V2069" s="722" t="s">
        <v>774</v>
      </c>
      <c r="W2069" s="722">
        <v>7.04</v>
      </c>
      <c r="X2069" s="722">
        <v>10.53</v>
      </c>
      <c r="Y2069" s="722" t="s">
        <v>774</v>
      </c>
      <c r="Z2069" s="382" t="s">
        <v>934</v>
      </c>
      <c r="AA2069" s="372">
        <v>86.519305200000005</v>
      </c>
      <c r="AB2069" s="372">
        <v>70.044844100000006</v>
      </c>
      <c r="AC2069" s="372">
        <v>71.392990499999996</v>
      </c>
      <c r="AD2069" s="372">
        <v>64.590765300000001</v>
      </c>
      <c r="AE2069" s="372">
        <v>182</v>
      </c>
      <c r="AF2069" s="372">
        <v>311</v>
      </c>
      <c r="AG2069" s="372">
        <v>0</v>
      </c>
      <c r="AH2069" s="372">
        <v>0</v>
      </c>
    </row>
    <row r="2070" spans="1:34">
      <c r="A2070" s="372" t="s">
        <v>13453</v>
      </c>
      <c r="B2070" s="372" t="s">
        <v>13454</v>
      </c>
      <c r="C2070" s="372" t="s">
        <v>13455</v>
      </c>
      <c r="D2070" s="374">
        <v>1101116735067</v>
      </c>
      <c r="E2070" s="372" t="s">
        <v>13456</v>
      </c>
      <c r="F2070" s="372" t="s">
        <v>622</v>
      </c>
      <c r="G2070" s="375" t="s">
        <v>622</v>
      </c>
      <c r="H2070" s="375" t="s">
        <v>1388</v>
      </c>
      <c r="I2070" s="375" t="s">
        <v>869</v>
      </c>
      <c r="J2070" s="375">
        <v>26583.526239999999</v>
      </c>
      <c r="K2070" s="375">
        <v>4250.2124400000002</v>
      </c>
      <c r="L2070" s="375">
        <v>5711.4111700000003</v>
      </c>
      <c r="M2070" s="375">
        <v>40691.908640000001</v>
      </c>
      <c r="N2070" s="372">
        <v>1.119</v>
      </c>
      <c r="O2070" s="703">
        <v>25.41820848051848</v>
      </c>
      <c r="P2070" s="562" t="s">
        <v>623</v>
      </c>
      <c r="Q2070" s="372" t="s">
        <v>623</v>
      </c>
      <c r="R2070" s="695">
        <v>20180720</v>
      </c>
      <c r="S2070" s="372" t="s">
        <v>13457</v>
      </c>
      <c r="T2070" s="696">
        <v>0.20900000000000002</v>
      </c>
      <c r="U2070" s="372" t="s">
        <v>13458</v>
      </c>
      <c r="V2070" s="722">
        <v>0</v>
      </c>
      <c r="W2070" s="722">
        <v>1.28</v>
      </c>
      <c r="X2070" s="722">
        <v>0</v>
      </c>
      <c r="Y2070" s="722">
        <v>0</v>
      </c>
      <c r="Z2070" s="382" t="s">
        <v>934</v>
      </c>
      <c r="AA2070" s="372">
        <v>256.24534590000002</v>
      </c>
      <c r="AB2070" s="372">
        <v>366.72802380000002</v>
      </c>
      <c r="AC2070" s="372">
        <v>287.44200260000002</v>
      </c>
      <c r="AD2070" s="372">
        <v>265.83526239999998</v>
      </c>
      <c r="AE2070" s="372">
        <v>0</v>
      </c>
      <c r="AF2070" s="372">
        <v>0</v>
      </c>
      <c r="AG2070" s="372">
        <v>0</v>
      </c>
      <c r="AH2070" s="372">
        <v>0</v>
      </c>
    </row>
    <row r="2071" spans="1:34">
      <c r="A2071" s="372" t="s">
        <v>13459</v>
      </c>
      <c r="B2071" s="372" t="s">
        <v>13460</v>
      </c>
      <c r="C2071" s="372" t="s">
        <v>13461</v>
      </c>
      <c r="D2071" s="374">
        <v>2101110007510</v>
      </c>
      <c r="E2071" s="372" t="s">
        <v>13462</v>
      </c>
      <c r="F2071" s="372" t="s">
        <v>1404</v>
      </c>
      <c r="G2071" s="375" t="s">
        <v>6909</v>
      </c>
      <c r="H2071" s="375" t="s">
        <v>902</v>
      </c>
      <c r="I2071" s="375" t="s">
        <v>869</v>
      </c>
      <c r="J2071" s="375">
        <v>0</v>
      </c>
      <c r="K2071" s="375">
        <v>0</v>
      </c>
      <c r="L2071" s="375">
        <v>0</v>
      </c>
      <c r="M2071" s="375">
        <v>0</v>
      </c>
      <c r="N2071" s="372">
        <v>1.073</v>
      </c>
      <c r="O2071" s="703">
        <v>0</v>
      </c>
      <c r="P2071" s="562" t="s">
        <v>623</v>
      </c>
      <c r="Q2071" s="372" t="s">
        <v>623</v>
      </c>
      <c r="R2071" s="695">
        <v>19960826</v>
      </c>
      <c r="S2071" s="372" t="s">
        <v>13463</v>
      </c>
      <c r="T2071" s="696" t="s">
        <v>772</v>
      </c>
      <c r="U2071" s="372" t="s">
        <v>13464</v>
      </c>
      <c r="V2071" s="722">
        <v>0</v>
      </c>
      <c r="W2071" s="722">
        <v>0</v>
      </c>
      <c r="X2071" s="722">
        <v>0</v>
      </c>
      <c r="Y2071" s="722">
        <v>0</v>
      </c>
      <c r="Z2071" s="382" t="s">
        <v>774</v>
      </c>
      <c r="AA2071" s="372">
        <v>54.488502500000003</v>
      </c>
      <c r="AB2071" s="372">
        <v>17.998812300000001</v>
      </c>
      <c r="AC2071" s="372">
        <v>-6.3918730000000004</v>
      </c>
      <c r="AD2071" s="372">
        <v>0</v>
      </c>
      <c r="AE2071" s="372">
        <v>0</v>
      </c>
      <c r="AF2071" s="372">
        <v>0</v>
      </c>
      <c r="AG2071" s="372">
        <v>0</v>
      </c>
      <c r="AH2071" s="372">
        <v>0</v>
      </c>
    </row>
    <row r="2072" spans="1:34">
      <c r="A2072" s="372" t="s">
        <v>13465</v>
      </c>
      <c r="B2072" s="372" t="s">
        <v>13466</v>
      </c>
      <c r="C2072" s="372" t="s">
        <v>16209</v>
      </c>
      <c r="D2072" s="374">
        <v>1401110011243</v>
      </c>
      <c r="E2072" s="372" t="s">
        <v>16210</v>
      </c>
      <c r="F2072" s="372" t="s">
        <v>1814</v>
      </c>
      <c r="G2072" s="375" t="s">
        <v>1815</v>
      </c>
      <c r="H2072" s="375" t="s">
        <v>1693</v>
      </c>
      <c r="I2072" s="375" t="s">
        <v>869</v>
      </c>
      <c r="J2072" s="375">
        <v>16892.288209999999</v>
      </c>
      <c r="K2072" s="375">
        <v>240.28278</v>
      </c>
      <c r="L2072" s="375">
        <v>733.03052000000002</v>
      </c>
      <c r="M2072" s="375">
        <v>12315.987870000001</v>
      </c>
      <c r="N2072" s="372">
        <v>1.208</v>
      </c>
      <c r="O2072" s="703">
        <v>1.4151443557060777</v>
      </c>
      <c r="P2072" s="562" t="s">
        <v>623</v>
      </c>
      <c r="Q2072" s="372" t="s">
        <v>623</v>
      </c>
      <c r="R2072" s="695">
        <v>20161116</v>
      </c>
      <c r="S2072" s="372" t="s">
        <v>13467</v>
      </c>
      <c r="T2072" s="696">
        <v>0.20900000000000002</v>
      </c>
      <c r="U2072" s="372" t="s">
        <v>13468</v>
      </c>
      <c r="V2072" s="722">
        <v>43.44</v>
      </c>
      <c r="W2072" s="722">
        <v>3.24</v>
      </c>
      <c r="X2072" s="722">
        <v>2.36</v>
      </c>
      <c r="Y2072" s="722">
        <v>54.48</v>
      </c>
      <c r="Z2072" s="382" t="s">
        <v>934</v>
      </c>
      <c r="AA2072" s="372">
        <v>149.25949900000001</v>
      </c>
      <c r="AB2072" s="372">
        <v>170.1822258</v>
      </c>
      <c r="AC2072" s="372">
        <v>162.5863726</v>
      </c>
      <c r="AD2072" s="372">
        <v>168.92288210000001</v>
      </c>
      <c r="AE2072" s="372">
        <v>0</v>
      </c>
      <c r="AF2072" s="372">
        <v>0</v>
      </c>
      <c r="AG2072" s="372">
        <v>0</v>
      </c>
      <c r="AH2072" s="372">
        <v>0</v>
      </c>
    </row>
    <row r="2073" spans="1:34">
      <c r="A2073" s="372" t="s">
        <v>13469</v>
      </c>
      <c r="B2073" s="372" t="s">
        <v>13470</v>
      </c>
      <c r="C2073" s="372" t="s">
        <v>13471</v>
      </c>
      <c r="D2073" s="374">
        <v>1101111421257</v>
      </c>
      <c r="E2073" s="372" t="s">
        <v>13472</v>
      </c>
      <c r="F2073" s="372" t="s">
        <v>2692</v>
      </c>
      <c r="G2073" s="375" t="s">
        <v>13041</v>
      </c>
      <c r="H2073" s="375" t="s">
        <v>868</v>
      </c>
      <c r="I2073" s="375" t="s">
        <v>869</v>
      </c>
      <c r="J2073" s="375">
        <v>146952.54569999999</v>
      </c>
      <c r="K2073" s="375">
        <v>7903.5396300000002</v>
      </c>
      <c r="L2073" s="375">
        <v>3508.2731600000002</v>
      </c>
      <c r="M2073" s="375">
        <v>131597.00542</v>
      </c>
      <c r="N2073" s="372">
        <v>0.89</v>
      </c>
      <c r="O2073" s="703">
        <v>149.93419496077482</v>
      </c>
      <c r="P2073" s="562" t="s">
        <v>623</v>
      </c>
      <c r="Q2073" s="372" t="s">
        <v>623</v>
      </c>
      <c r="R2073" s="695">
        <v>20020524</v>
      </c>
      <c r="S2073" s="372" t="s">
        <v>13473</v>
      </c>
      <c r="T2073" s="696">
        <v>0.20900000000000002</v>
      </c>
      <c r="U2073" s="372" t="s">
        <v>13474</v>
      </c>
      <c r="V2073" s="722">
        <v>13.99</v>
      </c>
      <c r="W2073" s="722">
        <v>1.1599999999999999</v>
      </c>
      <c r="X2073" s="722">
        <v>0.4</v>
      </c>
      <c r="Y2073" s="722" t="s">
        <v>774</v>
      </c>
      <c r="Z2073" s="382" t="s">
        <v>934</v>
      </c>
      <c r="AA2073" s="372">
        <v>1281.6647092000001</v>
      </c>
      <c r="AB2073" s="372">
        <v>1354.0930542000001</v>
      </c>
      <c r="AC2073" s="372">
        <v>1432.7608614000001</v>
      </c>
      <c r="AD2073" s="372">
        <v>1469.525457</v>
      </c>
      <c r="AE2073" s="372">
        <v>0</v>
      </c>
      <c r="AF2073" s="372">
        <v>0</v>
      </c>
      <c r="AG2073" s="372">
        <v>0</v>
      </c>
      <c r="AH2073" s="372">
        <v>0</v>
      </c>
    </row>
    <row r="2074" spans="1:34">
      <c r="A2074" s="372" t="s">
        <v>13475</v>
      </c>
      <c r="B2074" s="372" t="s">
        <v>13476</v>
      </c>
      <c r="C2074" s="372" t="s">
        <v>13477</v>
      </c>
      <c r="D2074" s="374">
        <v>1101110604200</v>
      </c>
      <c r="E2074" s="372" t="s">
        <v>13478</v>
      </c>
      <c r="F2074" s="372" t="s">
        <v>5824</v>
      </c>
      <c r="G2074" s="375" t="s">
        <v>5824</v>
      </c>
      <c r="H2074" s="375" t="s">
        <v>1693</v>
      </c>
      <c r="I2074" s="375" t="s">
        <v>869</v>
      </c>
      <c r="J2074" s="375">
        <v>659801.36155999999</v>
      </c>
      <c r="K2074" s="375">
        <v>11771.0268</v>
      </c>
      <c r="L2074" s="375">
        <v>-78443.475399999996</v>
      </c>
      <c r="M2074" s="375">
        <v>247311.86609</v>
      </c>
      <c r="N2074" s="372">
        <v>1.1279999999999999</v>
      </c>
      <c r="O2074" s="703">
        <v>725.19096513917941</v>
      </c>
      <c r="P2074" s="562" t="s">
        <v>623</v>
      </c>
      <c r="Q2074" s="372" t="s">
        <v>623</v>
      </c>
      <c r="R2074" s="695">
        <v>19970416</v>
      </c>
      <c r="S2074" s="372" t="s">
        <v>13479</v>
      </c>
      <c r="T2074" s="696" t="s">
        <v>772</v>
      </c>
      <c r="U2074" s="372" t="s">
        <v>13480</v>
      </c>
      <c r="V2074" s="722">
        <v>20.37</v>
      </c>
      <c r="W2074" s="722">
        <v>0.65</v>
      </c>
      <c r="X2074" s="722">
        <v>0.09</v>
      </c>
      <c r="Y2074" s="722" t="s">
        <v>774</v>
      </c>
      <c r="Z2074" s="382" t="s">
        <v>934</v>
      </c>
      <c r="AA2074" s="372">
        <v>51.025964100000003</v>
      </c>
      <c r="AB2074" s="372">
        <v>77.561311900000007</v>
      </c>
      <c r="AC2074" s="372">
        <v>6973.8053422000003</v>
      </c>
      <c r="AD2074" s="372">
        <v>6598.0136155999999</v>
      </c>
      <c r="AE2074" s="372">
        <v>0</v>
      </c>
      <c r="AF2074" s="372">
        <v>0</v>
      </c>
      <c r="AG2074" s="372">
        <v>0</v>
      </c>
      <c r="AH2074" s="372">
        <v>0</v>
      </c>
    </row>
    <row r="2075" spans="1:34">
      <c r="A2075" s="372" t="s">
        <v>13481</v>
      </c>
      <c r="B2075" s="372" t="s">
        <v>13482</v>
      </c>
      <c r="C2075" s="372" t="s">
        <v>13483</v>
      </c>
      <c r="D2075" s="374">
        <v>1358110088245</v>
      </c>
      <c r="E2075" s="372" t="s">
        <v>13484</v>
      </c>
      <c r="F2075" s="372" t="s">
        <v>982</v>
      </c>
      <c r="G2075" s="375" t="s">
        <v>983</v>
      </c>
      <c r="H2075" s="375" t="s">
        <v>1693</v>
      </c>
      <c r="I2075" s="375" t="s">
        <v>869</v>
      </c>
      <c r="J2075" s="375">
        <v>16147.53062</v>
      </c>
      <c r="K2075" s="375">
        <v>2169.3159300000002</v>
      </c>
      <c r="L2075" s="375">
        <v>1398.8639599999999</v>
      </c>
      <c r="M2075" s="375">
        <v>34111.476430000002</v>
      </c>
      <c r="N2075" s="372">
        <v>1.0780000000000001</v>
      </c>
      <c r="O2075" s="703">
        <v>27.460726586970424</v>
      </c>
      <c r="P2075" s="562" t="s">
        <v>623</v>
      </c>
      <c r="Q2075" s="372" t="s">
        <v>623</v>
      </c>
      <c r="R2075" s="695">
        <v>20061213</v>
      </c>
      <c r="S2075" s="372" t="s">
        <v>13485</v>
      </c>
      <c r="T2075" s="696">
        <v>0.20900000000000002</v>
      </c>
      <c r="U2075" s="372" t="s">
        <v>13486</v>
      </c>
      <c r="V2075" s="722">
        <v>0</v>
      </c>
      <c r="W2075" s="722">
        <v>1.45</v>
      </c>
      <c r="X2075" s="722">
        <v>0</v>
      </c>
      <c r="Y2075" s="722">
        <v>0</v>
      </c>
      <c r="Z2075" s="382" t="s">
        <v>934</v>
      </c>
      <c r="AA2075" s="372">
        <v>204.77337370000001</v>
      </c>
      <c r="AB2075" s="372">
        <v>137.79099769999999</v>
      </c>
      <c r="AC2075" s="372">
        <v>145.6671125</v>
      </c>
      <c r="AD2075" s="372">
        <v>161.47530620000001</v>
      </c>
      <c r="AE2075" s="372">
        <v>0</v>
      </c>
      <c r="AF2075" s="372">
        <v>0</v>
      </c>
      <c r="AG2075" s="372">
        <v>0</v>
      </c>
      <c r="AH2075" s="372">
        <v>0</v>
      </c>
    </row>
    <row r="2076" spans="1:34">
      <c r="A2076" s="372" t="s">
        <v>13487</v>
      </c>
      <c r="B2076" s="372" t="s">
        <v>13488</v>
      </c>
      <c r="C2076" s="372" t="s">
        <v>13489</v>
      </c>
      <c r="D2076" s="374">
        <v>1615110006796</v>
      </c>
      <c r="E2076" s="372" t="s">
        <v>13490</v>
      </c>
      <c r="F2076" s="372" t="s">
        <v>3020</v>
      </c>
      <c r="G2076" s="375" t="s">
        <v>3020</v>
      </c>
      <c r="H2076" s="375" t="s">
        <v>868</v>
      </c>
      <c r="I2076" s="375" t="s">
        <v>869</v>
      </c>
      <c r="J2076" s="375">
        <v>141975.54418</v>
      </c>
      <c r="K2076" s="375">
        <v>9903.9444100000001</v>
      </c>
      <c r="L2076" s="375">
        <v>17136.28255</v>
      </c>
      <c r="M2076" s="375">
        <v>100356.14453000001</v>
      </c>
      <c r="N2076" s="372">
        <v>0.98799999999999999</v>
      </c>
      <c r="O2076" s="703">
        <v>78.570783955161843</v>
      </c>
      <c r="P2076" s="562" t="s">
        <v>623</v>
      </c>
      <c r="Q2076" s="372" t="s">
        <v>623</v>
      </c>
      <c r="R2076" s="695">
        <v>19970212</v>
      </c>
      <c r="S2076" s="372" t="s">
        <v>13491</v>
      </c>
      <c r="T2076" s="696">
        <v>0.20900000000000002</v>
      </c>
      <c r="U2076" s="372" t="s">
        <v>13492</v>
      </c>
      <c r="V2076" s="722">
        <v>3.93</v>
      </c>
      <c r="W2076" s="722">
        <v>0.53</v>
      </c>
      <c r="X2076" s="722">
        <v>0.38</v>
      </c>
      <c r="Y2076" s="722">
        <v>6.25</v>
      </c>
      <c r="Z2076" s="382" t="s">
        <v>934</v>
      </c>
      <c r="AA2076" s="372">
        <v>1281.6480891000001</v>
      </c>
      <c r="AB2076" s="372">
        <v>1127.835376</v>
      </c>
      <c r="AC2076" s="372">
        <v>1108.9257548999999</v>
      </c>
      <c r="AD2076" s="372">
        <v>1419.7554418</v>
      </c>
      <c r="AE2076" s="372">
        <v>0</v>
      </c>
      <c r="AF2076" s="372">
        <v>0</v>
      </c>
      <c r="AG2076" s="372">
        <v>0</v>
      </c>
      <c r="AH2076" s="372">
        <v>0</v>
      </c>
    </row>
    <row r="2077" spans="1:34">
      <c r="A2077" s="372" t="s">
        <v>13493</v>
      </c>
      <c r="B2077" s="372" t="s">
        <v>13494</v>
      </c>
      <c r="C2077" s="372" t="s">
        <v>13495</v>
      </c>
      <c r="D2077" s="374">
        <v>1845110000105</v>
      </c>
      <c r="E2077" s="372" t="s">
        <v>13496</v>
      </c>
      <c r="F2077" s="372" t="s">
        <v>5414</v>
      </c>
      <c r="G2077" s="375" t="s">
        <v>6455</v>
      </c>
      <c r="H2077" s="375" t="s">
        <v>3998</v>
      </c>
      <c r="I2077" s="375" t="s">
        <v>755</v>
      </c>
      <c r="J2077" s="375">
        <v>276033.57562000002</v>
      </c>
      <c r="K2077" s="375">
        <v>-11474.501609999999</v>
      </c>
      <c r="L2077" s="375">
        <v>-17041.537550000001</v>
      </c>
      <c r="M2077" s="375">
        <v>91037.618610000005</v>
      </c>
      <c r="N2077" s="372">
        <v>0.86899999999999999</v>
      </c>
      <c r="O2077" s="703">
        <v>301.80042207501793</v>
      </c>
      <c r="P2077" s="562" t="s">
        <v>623</v>
      </c>
      <c r="Q2077" s="372" t="s">
        <v>623</v>
      </c>
      <c r="R2077" s="695">
        <v>19871223</v>
      </c>
      <c r="S2077" s="372" t="s">
        <v>13497</v>
      </c>
      <c r="T2077" s="696" t="s">
        <v>772</v>
      </c>
      <c r="U2077" s="372" t="s">
        <v>13498</v>
      </c>
      <c r="V2077" s="722">
        <v>0</v>
      </c>
      <c r="W2077" s="722">
        <v>0.61</v>
      </c>
      <c r="X2077" s="722">
        <v>0</v>
      </c>
      <c r="Y2077" s="722">
        <v>0</v>
      </c>
      <c r="Z2077" s="382" t="s">
        <v>934</v>
      </c>
      <c r="AA2077" s="372">
        <v>1714.7830229000001</v>
      </c>
      <c r="AB2077" s="372">
        <v>1822.0963887</v>
      </c>
      <c r="AC2077" s="372">
        <v>2149.2350479000002</v>
      </c>
      <c r="AD2077" s="372">
        <v>2760.3357562000001</v>
      </c>
      <c r="AE2077" s="372">
        <v>0</v>
      </c>
      <c r="AF2077" s="372">
        <v>0</v>
      </c>
      <c r="AG2077" s="372">
        <v>0</v>
      </c>
      <c r="AH2077" s="372">
        <v>0</v>
      </c>
    </row>
    <row r="2078" spans="1:34">
      <c r="A2078" s="372" t="s">
        <v>13499</v>
      </c>
      <c r="B2078" s="372" t="s">
        <v>13500</v>
      </c>
      <c r="C2078" s="372" t="s">
        <v>13501</v>
      </c>
      <c r="D2078" s="374">
        <v>1101114275958</v>
      </c>
      <c r="E2078" s="372" t="s">
        <v>13502</v>
      </c>
      <c r="F2078" s="372" t="s">
        <v>1005</v>
      </c>
      <c r="G2078" s="375" t="s">
        <v>7193</v>
      </c>
      <c r="H2078" s="375" t="s">
        <v>1388</v>
      </c>
      <c r="I2078" s="375" t="s">
        <v>869</v>
      </c>
      <c r="J2078" s="375">
        <v>235656.83415000001</v>
      </c>
      <c r="K2078" s="375">
        <v>5917.1983700000001</v>
      </c>
      <c r="L2078" s="375">
        <v>4178.5863799999997</v>
      </c>
      <c r="M2078" s="375">
        <v>92969.06796</v>
      </c>
      <c r="N2078" s="372">
        <v>1.01</v>
      </c>
      <c r="O2078" s="703">
        <v>126.18965917750195</v>
      </c>
      <c r="P2078" s="562" t="s">
        <v>623</v>
      </c>
      <c r="Q2078" s="372" t="s">
        <v>623</v>
      </c>
      <c r="R2078" s="695">
        <v>20200316</v>
      </c>
      <c r="S2078" s="372" t="s">
        <v>13503</v>
      </c>
      <c r="T2078" s="696">
        <v>0.20900000000000002</v>
      </c>
      <c r="U2078" s="372" t="s">
        <v>13504</v>
      </c>
      <c r="V2078" s="722">
        <v>4.67</v>
      </c>
      <c r="W2078" s="722">
        <v>0.51</v>
      </c>
      <c r="X2078" s="722">
        <v>0.2</v>
      </c>
      <c r="Y2078" s="722">
        <v>14.43</v>
      </c>
      <c r="Z2078" s="382" t="s">
        <v>934</v>
      </c>
      <c r="AA2078" s="372">
        <v>2331.0077563</v>
      </c>
      <c r="AB2078" s="372">
        <v>3049.2904993000002</v>
      </c>
      <c r="AC2078" s="372">
        <v>3161.4031868000002</v>
      </c>
      <c r="AD2078" s="372">
        <v>2356.5683414999999</v>
      </c>
      <c r="AE2078" s="372">
        <v>0</v>
      </c>
      <c r="AF2078" s="372">
        <v>0</v>
      </c>
      <c r="AG2078" s="372">
        <v>0</v>
      </c>
      <c r="AH2078" s="372">
        <v>0</v>
      </c>
    </row>
    <row r="2079" spans="1:34">
      <c r="A2079" s="372" t="s">
        <v>13505</v>
      </c>
      <c r="B2079" s="372" t="s">
        <v>13506</v>
      </c>
      <c r="C2079" s="372" t="s">
        <v>13507</v>
      </c>
      <c r="D2079" s="374">
        <v>1101117262754</v>
      </c>
      <c r="E2079" s="372" t="s">
        <v>13508</v>
      </c>
      <c r="F2079" s="372" t="s">
        <v>2535</v>
      </c>
      <c r="G2079" s="375" t="s">
        <v>2535</v>
      </c>
      <c r="H2079" s="375" t="s">
        <v>868</v>
      </c>
      <c r="I2079" s="375" t="s">
        <v>869</v>
      </c>
      <c r="J2079" s="375">
        <v>58245.452499999999</v>
      </c>
      <c r="K2079" s="375">
        <v>4298.9838399999999</v>
      </c>
      <c r="L2079" s="375">
        <v>4569.3444099999997</v>
      </c>
      <c r="M2079" s="375">
        <v>33053.642870000003</v>
      </c>
      <c r="N2079" s="372">
        <v>1.1499999999999999</v>
      </c>
      <c r="O2079" s="703">
        <v>17.900019798601011</v>
      </c>
      <c r="P2079" s="562" t="s">
        <v>623</v>
      </c>
      <c r="Q2079" s="372" t="s">
        <v>623</v>
      </c>
      <c r="R2079" s="695">
        <v>20191227</v>
      </c>
      <c r="S2079" s="372" t="s">
        <v>13509</v>
      </c>
      <c r="T2079" s="696">
        <v>0.20900000000000002</v>
      </c>
      <c r="U2079" s="372" t="s">
        <v>13510</v>
      </c>
      <c r="V2079" s="722">
        <v>0</v>
      </c>
      <c r="W2079" s="722">
        <v>1.62</v>
      </c>
      <c r="X2079" s="722">
        <v>0</v>
      </c>
      <c r="Y2079" s="722">
        <v>0</v>
      </c>
      <c r="Z2079" s="382" t="s">
        <v>934</v>
      </c>
      <c r="AA2079" s="372">
        <v>394.4096232</v>
      </c>
      <c r="AB2079" s="372">
        <v>476.75469340000001</v>
      </c>
      <c r="AC2079" s="372">
        <v>525.2615366</v>
      </c>
      <c r="AD2079" s="372">
        <v>582.45452499999999</v>
      </c>
      <c r="AE2079" s="372">
        <v>0</v>
      </c>
      <c r="AF2079" s="372">
        <v>0</v>
      </c>
      <c r="AG2079" s="372">
        <v>0</v>
      </c>
      <c r="AH2079" s="372">
        <v>0</v>
      </c>
    </row>
    <row r="2080" spans="1:34">
      <c r="A2080" s="372" t="s">
        <v>13511</v>
      </c>
      <c r="B2080" s="372" t="s">
        <v>13512</v>
      </c>
      <c r="C2080" s="372" t="s">
        <v>13513</v>
      </c>
      <c r="D2080" s="374">
        <v>1101112870784</v>
      </c>
      <c r="E2080" s="372" t="s">
        <v>13514</v>
      </c>
      <c r="F2080" s="372" t="s">
        <v>1285</v>
      </c>
      <c r="G2080" s="375" t="s">
        <v>1285</v>
      </c>
      <c r="H2080" s="375" t="s">
        <v>1388</v>
      </c>
      <c r="I2080" s="375" t="s">
        <v>869</v>
      </c>
      <c r="J2080" s="375">
        <v>32289.441719999999</v>
      </c>
      <c r="K2080" s="375">
        <v>-10123.06589</v>
      </c>
      <c r="L2080" s="375">
        <v>-13475.87766</v>
      </c>
      <c r="M2080" s="375">
        <v>45534.706819999999</v>
      </c>
      <c r="N2080" s="372">
        <v>0.48399999999999999</v>
      </c>
      <c r="O2080" s="703">
        <v>66.849560120927265</v>
      </c>
      <c r="P2080" s="562" t="s">
        <v>623</v>
      </c>
      <c r="Q2080" s="372" t="s">
        <v>623</v>
      </c>
      <c r="R2080" s="695">
        <v>20141031</v>
      </c>
      <c r="S2080" s="372" t="s">
        <v>13515</v>
      </c>
      <c r="T2080" s="696" t="s">
        <v>772</v>
      </c>
      <c r="U2080" s="372" t="s">
        <v>13516</v>
      </c>
      <c r="V2080" s="722" t="s">
        <v>774</v>
      </c>
      <c r="W2080" s="722">
        <v>1.1399999999999999</v>
      </c>
      <c r="X2080" s="722">
        <v>1.64</v>
      </c>
      <c r="Y2080" s="722" t="s">
        <v>774</v>
      </c>
      <c r="Z2080" s="382" t="s">
        <v>934</v>
      </c>
      <c r="AA2080" s="372">
        <v>80.529825799999998</v>
      </c>
      <c r="AB2080" s="372">
        <v>90.662285900000001</v>
      </c>
      <c r="AC2080" s="372">
        <v>120.0925938</v>
      </c>
      <c r="AD2080" s="372">
        <v>322.89441720000002</v>
      </c>
      <c r="AE2080" s="372">
        <v>0</v>
      </c>
      <c r="AF2080" s="372">
        <v>0</v>
      </c>
      <c r="AG2080" s="372">
        <v>0</v>
      </c>
      <c r="AH2080" s="372">
        <v>0</v>
      </c>
    </row>
    <row r="2081" spans="1:34">
      <c r="A2081" s="372" t="s">
        <v>13517</v>
      </c>
      <c r="B2081" s="372" t="s">
        <v>13518</v>
      </c>
      <c r="C2081" s="372" t="s">
        <v>13519</v>
      </c>
      <c r="D2081" s="374">
        <v>1601110007660</v>
      </c>
      <c r="E2081" s="372" t="s">
        <v>13520</v>
      </c>
      <c r="F2081" s="372" t="s">
        <v>1381</v>
      </c>
      <c r="G2081" s="375" t="s">
        <v>1381</v>
      </c>
      <c r="H2081" s="375" t="s">
        <v>1693</v>
      </c>
      <c r="I2081" s="375" t="s">
        <v>869</v>
      </c>
      <c r="J2081" s="375">
        <v>28552.255509999999</v>
      </c>
      <c r="K2081" s="375">
        <v>-6647.0646200000001</v>
      </c>
      <c r="L2081" s="375">
        <v>-6201.9051900000004</v>
      </c>
      <c r="M2081" s="375">
        <v>25933.868310000002</v>
      </c>
      <c r="N2081" s="372">
        <v>0.92</v>
      </c>
      <c r="O2081" s="703">
        <v>7.3236770111897016</v>
      </c>
      <c r="P2081" s="562" t="s">
        <v>623</v>
      </c>
      <c r="Q2081" s="372" t="s">
        <v>623</v>
      </c>
      <c r="R2081" s="695">
        <v>19941031</v>
      </c>
      <c r="S2081" s="372" t="s">
        <v>13521</v>
      </c>
      <c r="T2081" s="696" t="s">
        <v>772</v>
      </c>
      <c r="U2081" s="372" t="s">
        <v>13522</v>
      </c>
      <c r="V2081" s="722">
        <v>0</v>
      </c>
      <c r="W2081" s="722">
        <v>1.89</v>
      </c>
      <c r="X2081" s="722">
        <v>0</v>
      </c>
      <c r="Y2081" s="722">
        <v>0</v>
      </c>
      <c r="Z2081" s="382" t="s">
        <v>934</v>
      </c>
      <c r="AA2081" s="372">
        <v>429.62786089999997</v>
      </c>
      <c r="AB2081" s="372">
        <v>132.64691350000001</v>
      </c>
      <c r="AC2081" s="372">
        <v>145.05487819999999</v>
      </c>
      <c r="AD2081" s="372">
        <v>285.52255509999998</v>
      </c>
      <c r="AE2081" s="372">
        <v>0</v>
      </c>
      <c r="AF2081" s="372">
        <v>0</v>
      </c>
      <c r="AG2081" s="372">
        <v>0</v>
      </c>
      <c r="AH2081" s="372">
        <v>0</v>
      </c>
    </row>
    <row r="2082" spans="1:34">
      <c r="A2082" s="372" t="s">
        <v>13523</v>
      </c>
      <c r="B2082" s="372" t="s">
        <v>13524</v>
      </c>
      <c r="C2082" s="372" t="s">
        <v>13525</v>
      </c>
      <c r="D2082" s="374">
        <v>1101117912309</v>
      </c>
      <c r="E2082" s="372" t="s">
        <v>13526</v>
      </c>
      <c r="F2082" s="372" t="s">
        <v>1151</v>
      </c>
      <c r="G2082" s="375" t="s">
        <v>1152</v>
      </c>
      <c r="H2082" s="375" t="s">
        <v>902</v>
      </c>
      <c r="I2082" s="375" t="s">
        <v>869</v>
      </c>
      <c r="J2082" s="375">
        <v>0</v>
      </c>
      <c r="K2082" s="375">
        <v>-75.677819999999997</v>
      </c>
      <c r="L2082" s="375">
        <v>1670.00495</v>
      </c>
      <c r="M2082" s="375">
        <v>47376.34132</v>
      </c>
      <c r="N2082" s="372">
        <v>0.35799999999999998</v>
      </c>
      <c r="O2082" s="703">
        <v>8.0197445681308732</v>
      </c>
      <c r="P2082" s="562" t="s">
        <v>16142</v>
      </c>
      <c r="Q2082" s="372" t="s">
        <v>16145</v>
      </c>
      <c r="R2082" s="695">
        <v>20211005</v>
      </c>
      <c r="S2082" s="372" t="e">
        <v>#N/A</v>
      </c>
      <c r="T2082" s="696">
        <v>0.20900000000000002</v>
      </c>
      <c r="U2082" s="372">
        <v>0</v>
      </c>
      <c r="V2082" s="722">
        <v>0</v>
      </c>
      <c r="W2082" s="722">
        <v>1.04</v>
      </c>
      <c r="X2082" s="722">
        <v>0</v>
      </c>
      <c r="Y2082" s="722">
        <v>0</v>
      </c>
      <c r="Z2082" s="382" t="s">
        <v>774</v>
      </c>
      <c r="AA2082" s="372">
        <v>0</v>
      </c>
      <c r="AB2082" s="372">
        <v>0</v>
      </c>
      <c r="AC2082" s="372">
        <v>0</v>
      </c>
      <c r="AD2082" s="372">
        <v>0</v>
      </c>
      <c r="AE2082" s="372">
        <v>0</v>
      </c>
      <c r="AF2082" s="372">
        <v>0</v>
      </c>
      <c r="AG2082" s="372">
        <v>0</v>
      </c>
      <c r="AH2082" s="372">
        <v>0</v>
      </c>
    </row>
    <row r="2083" spans="1:34">
      <c r="A2083" s="372" t="s">
        <v>13528</v>
      </c>
      <c r="B2083" s="372" t="s">
        <v>13529</v>
      </c>
      <c r="C2083" s="372" t="s">
        <v>13530</v>
      </c>
      <c r="D2083" s="374">
        <v>1201110155011</v>
      </c>
      <c r="E2083" s="372" t="s">
        <v>13531</v>
      </c>
      <c r="F2083" s="372" t="s">
        <v>1286</v>
      </c>
      <c r="G2083" s="375" t="s">
        <v>1465</v>
      </c>
      <c r="H2083" s="375" t="s">
        <v>868</v>
      </c>
      <c r="I2083" s="375" t="s">
        <v>869</v>
      </c>
      <c r="J2083" s="375">
        <v>120684.70918999999</v>
      </c>
      <c r="K2083" s="375">
        <v>1691.73362</v>
      </c>
      <c r="L2083" s="375">
        <v>-152.23053999999999</v>
      </c>
      <c r="M2083" s="375">
        <v>74253.031090000004</v>
      </c>
      <c r="N2083" s="372">
        <v>0.69299999999999995</v>
      </c>
      <c r="O2083" s="703">
        <v>101.812936595601</v>
      </c>
      <c r="P2083" s="562" t="s">
        <v>623</v>
      </c>
      <c r="Q2083" s="372" t="s">
        <v>623</v>
      </c>
      <c r="R2083" s="695">
        <v>20140804</v>
      </c>
      <c r="S2083" s="372" t="s">
        <v>13532</v>
      </c>
      <c r="T2083" s="696" t="s">
        <v>772</v>
      </c>
      <c r="U2083" s="372" t="s">
        <v>13533</v>
      </c>
      <c r="V2083" s="722">
        <v>8.57</v>
      </c>
      <c r="W2083" s="722">
        <v>0.61</v>
      </c>
      <c r="X2083" s="722">
        <v>0.41</v>
      </c>
      <c r="Y2083" s="722">
        <v>338.03</v>
      </c>
      <c r="Z2083" s="382" t="s">
        <v>934</v>
      </c>
      <c r="AA2083" s="372">
        <v>1288.1227616000001</v>
      </c>
      <c r="AB2083" s="372">
        <v>1262.6480669</v>
      </c>
      <c r="AC2083" s="372">
        <v>1180.3793831</v>
      </c>
      <c r="AD2083" s="372">
        <v>1206.8470918999999</v>
      </c>
      <c r="AE2083" s="372">
        <v>0</v>
      </c>
      <c r="AF2083" s="372">
        <v>0</v>
      </c>
      <c r="AG2083" s="372">
        <v>0</v>
      </c>
      <c r="AH2083" s="372">
        <v>0</v>
      </c>
    </row>
    <row r="2084" spans="1:34">
      <c r="A2084" s="372" t="s">
        <v>13534</v>
      </c>
      <c r="B2084" s="372" t="s">
        <v>13535</v>
      </c>
      <c r="C2084" s="372" t="s">
        <v>13536</v>
      </c>
      <c r="D2084" s="374">
        <v>1543110010576</v>
      </c>
      <c r="E2084" s="372" t="s">
        <v>13537</v>
      </c>
      <c r="F2084" s="372" t="s">
        <v>4294</v>
      </c>
      <c r="G2084" s="375" t="s">
        <v>4295</v>
      </c>
      <c r="H2084" s="375" t="s">
        <v>868</v>
      </c>
      <c r="I2084" s="375" t="s">
        <v>869</v>
      </c>
      <c r="J2084" s="375">
        <v>51101.481899999999</v>
      </c>
      <c r="K2084" s="375">
        <v>5030.7553200000002</v>
      </c>
      <c r="L2084" s="375">
        <v>3687.6092699999999</v>
      </c>
      <c r="M2084" s="375">
        <v>77045.053159999996</v>
      </c>
      <c r="N2084" s="372">
        <v>0.82799999999999996</v>
      </c>
      <c r="O2084" s="703">
        <v>21.428466596206068</v>
      </c>
      <c r="P2084" s="562" t="s">
        <v>623</v>
      </c>
      <c r="Q2084" s="372" t="s">
        <v>623</v>
      </c>
      <c r="R2084" s="695">
        <v>20111108</v>
      </c>
      <c r="S2084" s="372" t="s">
        <v>13538</v>
      </c>
      <c r="T2084" s="696">
        <v>0.20900000000000002</v>
      </c>
      <c r="U2084" s="372" t="s">
        <v>13539</v>
      </c>
      <c r="V2084" s="722">
        <v>0</v>
      </c>
      <c r="W2084" s="722">
        <v>0.64</v>
      </c>
      <c r="X2084" s="722">
        <v>0</v>
      </c>
      <c r="Y2084" s="722">
        <v>0</v>
      </c>
      <c r="Z2084" s="382" t="s">
        <v>934</v>
      </c>
      <c r="AA2084" s="372">
        <v>369.71668670000003</v>
      </c>
      <c r="AB2084" s="372">
        <v>400.02344959999999</v>
      </c>
      <c r="AC2084" s="372">
        <v>462.84761429999998</v>
      </c>
      <c r="AD2084" s="372">
        <v>511.01481899999999</v>
      </c>
      <c r="AE2084" s="372">
        <v>0</v>
      </c>
      <c r="AF2084" s="372">
        <v>0</v>
      </c>
      <c r="AG2084" s="372">
        <v>0</v>
      </c>
      <c r="AH2084" s="372">
        <v>0</v>
      </c>
    </row>
    <row r="2085" spans="1:34">
      <c r="A2085" s="372" t="s">
        <v>13540</v>
      </c>
      <c r="B2085" s="372" t="s">
        <v>13541</v>
      </c>
      <c r="C2085" s="372" t="s">
        <v>13542</v>
      </c>
      <c r="D2085" s="374">
        <v>1748110004244</v>
      </c>
      <c r="E2085" s="372" t="s">
        <v>13543</v>
      </c>
      <c r="F2085" s="372" t="s">
        <v>1881</v>
      </c>
      <c r="G2085" s="375" t="s">
        <v>1882</v>
      </c>
      <c r="H2085" s="375" t="s">
        <v>797</v>
      </c>
      <c r="I2085" s="375" t="s">
        <v>755</v>
      </c>
      <c r="J2085" s="375">
        <v>60534.305379999998</v>
      </c>
      <c r="K2085" s="375">
        <v>2787.3137000000002</v>
      </c>
      <c r="L2085" s="375">
        <v>-434.63308000000001</v>
      </c>
      <c r="M2085" s="375">
        <v>30959.620220000001</v>
      </c>
      <c r="N2085" s="372">
        <v>0.84299999999999997</v>
      </c>
      <c r="O2085" s="703">
        <v>67.194718699879715</v>
      </c>
      <c r="P2085" s="562" t="s">
        <v>623</v>
      </c>
      <c r="Q2085" s="372" t="s">
        <v>623</v>
      </c>
      <c r="R2085" s="695">
        <v>19990811</v>
      </c>
      <c r="S2085" s="372" t="s">
        <v>13544</v>
      </c>
      <c r="T2085" s="696" t="s">
        <v>772</v>
      </c>
      <c r="U2085" s="372" t="s">
        <v>13545</v>
      </c>
      <c r="V2085" s="722">
        <v>6.17</v>
      </c>
      <c r="W2085" s="722">
        <v>1.03</v>
      </c>
      <c r="X2085" s="722">
        <v>0.53</v>
      </c>
      <c r="Y2085" s="722" t="s">
        <v>774</v>
      </c>
      <c r="Z2085" s="382" t="s">
        <v>934</v>
      </c>
      <c r="AA2085" s="372">
        <v>501.70588450000002</v>
      </c>
      <c r="AB2085" s="372">
        <v>429.052886</v>
      </c>
      <c r="AC2085" s="372">
        <v>328.17107179999999</v>
      </c>
      <c r="AD2085" s="372">
        <v>605.34305380000001</v>
      </c>
      <c r="AE2085" s="372">
        <v>0</v>
      </c>
      <c r="AF2085" s="372">
        <v>0</v>
      </c>
      <c r="AG2085" s="372">
        <v>0</v>
      </c>
      <c r="AH2085" s="372">
        <v>0</v>
      </c>
    </row>
    <row r="2086" spans="1:34">
      <c r="A2086" s="372" t="s">
        <v>13546</v>
      </c>
      <c r="B2086" s="372" t="s">
        <v>13547</v>
      </c>
      <c r="C2086" s="372" t="s">
        <v>13548</v>
      </c>
      <c r="D2086" s="374">
        <v>1101113594763</v>
      </c>
      <c r="E2086" s="372" t="s">
        <v>13549</v>
      </c>
      <c r="F2086" s="372" t="s">
        <v>1915</v>
      </c>
      <c r="G2086" s="375" t="s">
        <v>1916</v>
      </c>
      <c r="H2086" s="375" t="s">
        <v>868</v>
      </c>
      <c r="I2086" s="375" t="s">
        <v>869</v>
      </c>
      <c r="J2086" s="375">
        <v>24866.771850000001</v>
      </c>
      <c r="K2086" s="375">
        <v>278.86900000000003</v>
      </c>
      <c r="L2086" s="375">
        <v>-5293.9185699999998</v>
      </c>
      <c r="M2086" s="375">
        <v>38861.472679999999</v>
      </c>
      <c r="N2086" s="372">
        <v>1.0489999999999999</v>
      </c>
      <c r="O2086" s="703">
        <v>40.591684018211119</v>
      </c>
      <c r="P2086" s="562" t="s">
        <v>623</v>
      </c>
      <c r="Q2086" s="372" t="s">
        <v>623</v>
      </c>
      <c r="R2086" s="695">
        <v>20190822</v>
      </c>
      <c r="S2086" s="372" t="s">
        <v>13550</v>
      </c>
      <c r="T2086" s="696" t="s">
        <v>772</v>
      </c>
      <c r="U2086" s="372" t="s">
        <v>13551</v>
      </c>
      <c r="V2086" s="722">
        <v>34.299999999999997</v>
      </c>
      <c r="W2086" s="722">
        <v>1.72</v>
      </c>
      <c r="X2086" s="722">
        <v>2.75</v>
      </c>
      <c r="Y2086" s="722" t="s">
        <v>774</v>
      </c>
      <c r="Z2086" s="382" t="s">
        <v>934</v>
      </c>
      <c r="AA2086" s="372">
        <v>298.21100539999998</v>
      </c>
      <c r="AB2086" s="372">
        <v>298.86729409999998</v>
      </c>
      <c r="AC2086" s="372">
        <v>267.02893110000002</v>
      </c>
      <c r="AD2086" s="372">
        <v>248.66771850000001</v>
      </c>
      <c r="AE2086" s="372">
        <v>0</v>
      </c>
      <c r="AF2086" s="372">
        <v>0</v>
      </c>
      <c r="AG2086" s="372">
        <v>0</v>
      </c>
      <c r="AH2086" s="372">
        <v>0</v>
      </c>
    </row>
    <row r="2087" spans="1:34">
      <c r="A2087" s="372" t="s">
        <v>13552</v>
      </c>
      <c r="B2087" s="372" t="s">
        <v>13553</v>
      </c>
      <c r="C2087" s="372" t="s">
        <v>13554</v>
      </c>
      <c r="D2087" s="374">
        <v>1101111495971</v>
      </c>
      <c r="E2087" s="372" t="s">
        <v>13555</v>
      </c>
      <c r="F2087" s="372" t="s">
        <v>3941</v>
      </c>
      <c r="G2087" s="375" t="s">
        <v>13556</v>
      </c>
      <c r="H2087" s="375" t="s">
        <v>868</v>
      </c>
      <c r="I2087" s="375" t="s">
        <v>869</v>
      </c>
      <c r="J2087" s="375">
        <v>78399.918449999997</v>
      </c>
      <c r="K2087" s="375">
        <v>-4185.9812400000001</v>
      </c>
      <c r="L2087" s="375">
        <v>-4462.0357299999996</v>
      </c>
      <c r="M2087" s="375">
        <v>37513.457829999999</v>
      </c>
      <c r="N2087" s="372">
        <v>1.048</v>
      </c>
      <c r="O2087" s="703">
        <v>73.563950916669313</v>
      </c>
      <c r="P2087" s="562" t="s">
        <v>623</v>
      </c>
      <c r="Q2087" s="372" t="s">
        <v>623</v>
      </c>
      <c r="R2087" s="695">
        <v>20151223</v>
      </c>
      <c r="S2087" s="372" t="s">
        <v>13557</v>
      </c>
      <c r="T2087" s="696" t="s">
        <v>772</v>
      </c>
      <c r="U2087" s="372" t="s">
        <v>13558</v>
      </c>
      <c r="V2087" s="722" t="s">
        <v>774</v>
      </c>
      <c r="W2087" s="722">
        <v>1.36</v>
      </c>
      <c r="X2087" s="722">
        <v>0.6</v>
      </c>
      <c r="Y2087" s="722" t="s">
        <v>774</v>
      </c>
      <c r="Z2087" s="382" t="s">
        <v>934</v>
      </c>
      <c r="AA2087" s="372">
        <v>490.6465551</v>
      </c>
      <c r="AB2087" s="372">
        <v>534.097803</v>
      </c>
      <c r="AC2087" s="372">
        <v>702.14592819999996</v>
      </c>
      <c r="AD2087" s="372">
        <v>783.99918449999996</v>
      </c>
      <c r="AE2087" s="372">
        <v>0</v>
      </c>
      <c r="AF2087" s="372">
        <v>0</v>
      </c>
      <c r="AG2087" s="372">
        <v>0</v>
      </c>
      <c r="AH2087" s="372">
        <v>0</v>
      </c>
    </row>
    <row r="2088" spans="1:34">
      <c r="A2088" s="372" t="s">
        <v>13559</v>
      </c>
      <c r="B2088" s="372" t="s">
        <v>13560</v>
      </c>
      <c r="C2088" s="372" t="s">
        <v>13561</v>
      </c>
      <c r="D2088" s="374">
        <v>1341110013255</v>
      </c>
      <c r="E2088" s="372" t="s">
        <v>13562</v>
      </c>
      <c r="F2088" s="372" t="s">
        <v>1782</v>
      </c>
      <c r="G2088" s="375" t="s">
        <v>2261</v>
      </c>
      <c r="H2088" s="375" t="s">
        <v>868</v>
      </c>
      <c r="I2088" s="375" t="s">
        <v>869</v>
      </c>
      <c r="J2088" s="375">
        <v>59145.786350000002</v>
      </c>
      <c r="K2088" s="375">
        <v>6252.5944099999997</v>
      </c>
      <c r="L2088" s="375">
        <v>5635.4961899999998</v>
      </c>
      <c r="M2088" s="375">
        <v>99558.536240000001</v>
      </c>
      <c r="N2088" s="372">
        <v>0.84399999999999997</v>
      </c>
      <c r="O2088" s="703">
        <v>42.280256863951031</v>
      </c>
      <c r="P2088" s="562" t="s">
        <v>623</v>
      </c>
      <c r="Q2088" s="372" t="s">
        <v>623</v>
      </c>
      <c r="R2088" s="695">
        <v>20151119</v>
      </c>
      <c r="S2088" s="372" t="s">
        <v>13563</v>
      </c>
      <c r="T2088" s="696">
        <v>0.20900000000000002</v>
      </c>
      <c r="U2088" s="372" t="s">
        <v>13564</v>
      </c>
      <c r="V2088" s="722">
        <v>7.21</v>
      </c>
      <c r="W2088" s="722">
        <v>0.48</v>
      </c>
      <c r="X2088" s="722">
        <v>0.84</v>
      </c>
      <c r="Y2088" s="722">
        <v>9.34</v>
      </c>
      <c r="Z2088" s="382" t="s">
        <v>934</v>
      </c>
      <c r="AA2088" s="372">
        <v>475.30634789999999</v>
      </c>
      <c r="AB2088" s="372">
        <v>540.57340859999999</v>
      </c>
      <c r="AC2088" s="372">
        <v>621.24551829999996</v>
      </c>
      <c r="AD2088" s="372">
        <v>591.45786350000003</v>
      </c>
      <c r="AE2088" s="372">
        <v>0</v>
      </c>
      <c r="AF2088" s="372">
        <v>0</v>
      </c>
      <c r="AG2088" s="372">
        <v>0</v>
      </c>
      <c r="AH2088" s="372">
        <v>0</v>
      </c>
    </row>
    <row r="2089" spans="1:34">
      <c r="A2089" s="372" t="s">
        <v>13565</v>
      </c>
      <c r="B2089" s="372" t="s">
        <v>13566</v>
      </c>
      <c r="C2089" s="372" t="s">
        <v>16211</v>
      </c>
      <c r="D2089" s="374">
        <v>1101111390816</v>
      </c>
      <c r="E2089" s="372" t="s">
        <v>16212</v>
      </c>
      <c r="F2089" s="372" t="s">
        <v>1854</v>
      </c>
      <c r="G2089" s="375" t="s">
        <v>1854</v>
      </c>
      <c r="H2089" s="375" t="s">
        <v>3127</v>
      </c>
      <c r="I2089" s="375" t="s">
        <v>869</v>
      </c>
      <c r="J2089" s="375">
        <v>52042.00546</v>
      </c>
      <c r="K2089" s="375">
        <v>-1348.5758499999999</v>
      </c>
      <c r="L2089" s="375">
        <v>-1960.39337</v>
      </c>
      <c r="M2089" s="375">
        <v>36892.838000000003</v>
      </c>
      <c r="N2089" s="372">
        <v>1.34</v>
      </c>
      <c r="O2089" s="703">
        <v>13.281267714500286</v>
      </c>
      <c r="P2089" s="562" t="s">
        <v>623</v>
      </c>
      <c r="Q2089" s="372" t="s">
        <v>623</v>
      </c>
      <c r="R2089" s="695">
        <v>20030117</v>
      </c>
      <c r="S2089" s="372" t="s">
        <v>13567</v>
      </c>
      <c r="T2089" s="696" t="s">
        <v>772</v>
      </c>
      <c r="U2089" s="372" t="s">
        <v>13568</v>
      </c>
      <c r="V2089" s="722">
        <v>0</v>
      </c>
      <c r="W2089" s="722">
        <v>1.53</v>
      </c>
      <c r="X2089" s="722">
        <v>0</v>
      </c>
      <c r="Y2089" s="722">
        <v>0</v>
      </c>
      <c r="Z2089" s="382" t="s">
        <v>934</v>
      </c>
      <c r="AA2089" s="372">
        <v>314.14836430000003</v>
      </c>
      <c r="AB2089" s="372">
        <v>492.50938070000001</v>
      </c>
      <c r="AC2089" s="372">
        <v>452.89903870000001</v>
      </c>
      <c r="AD2089" s="372">
        <v>520.42005459999996</v>
      </c>
      <c r="AE2089" s="372">
        <v>0</v>
      </c>
      <c r="AF2089" s="372">
        <v>0</v>
      </c>
      <c r="AG2089" s="372">
        <v>0</v>
      </c>
      <c r="AH2089" s="372">
        <v>0</v>
      </c>
    </row>
    <row r="2090" spans="1:34">
      <c r="A2090" s="372" t="s">
        <v>13569</v>
      </c>
      <c r="B2090" s="372" t="s">
        <v>13570</v>
      </c>
      <c r="C2090" s="372" t="s">
        <v>13571</v>
      </c>
      <c r="D2090" s="374">
        <v>1341110012687</v>
      </c>
      <c r="E2090" s="372" t="s">
        <v>13572</v>
      </c>
      <c r="F2090" s="372" t="s">
        <v>1286</v>
      </c>
      <c r="G2090" s="375" t="s">
        <v>1465</v>
      </c>
      <c r="H2090" s="375" t="s">
        <v>1388</v>
      </c>
      <c r="I2090" s="375" t="s">
        <v>869</v>
      </c>
      <c r="J2090" s="375">
        <v>25234.856759999999</v>
      </c>
      <c r="K2090" s="375">
        <v>422.58076</v>
      </c>
      <c r="L2090" s="375">
        <v>2259.375</v>
      </c>
      <c r="M2090" s="375">
        <v>64201.050230000001</v>
      </c>
      <c r="N2090" s="372">
        <v>0.59099999999999997</v>
      </c>
      <c r="O2090" s="703">
        <v>1.4842961615035535</v>
      </c>
      <c r="P2090" s="562" t="s">
        <v>623</v>
      </c>
      <c r="Q2090" s="372" t="s">
        <v>623</v>
      </c>
      <c r="R2090" s="695">
        <v>19970718</v>
      </c>
      <c r="S2090" s="372" t="s">
        <v>13573</v>
      </c>
      <c r="T2090" s="696">
        <v>0.20900000000000002</v>
      </c>
      <c r="U2090" s="372" t="s">
        <v>13574</v>
      </c>
      <c r="V2090" s="722">
        <v>36.58</v>
      </c>
      <c r="W2090" s="722">
        <v>0.69</v>
      </c>
      <c r="X2090" s="722">
        <v>1.84</v>
      </c>
      <c r="Y2090" s="722">
        <v>20.89</v>
      </c>
      <c r="Z2090" s="382" t="s">
        <v>934</v>
      </c>
      <c r="AA2090" s="372">
        <v>252.51570359999999</v>
      </c>
      <c r="AB2090" s="372">
        <v>261.09333279999998</v>
      </c>
      <c r="AC2090" s="372">
        <v>266.99392920000003</v>
      </c>
      <c r="AD2090" s="372">
        <v>252.3485676</v>
      </c>
      <c r="AE2090" s="372">
        <v>0</v>
      </c>
      <c r="AF2090" s="372">
        <v>0</v>
      </c>
      <c r="AG2090" s="372">
        <v>0</v>
      </c>
      <c r="AH2090" s="372">
        <v>0</v>
      </c>
    </row>
    <row r="2091" spans="1:34">
      <c r="A2091" s="372" t="s">
        <v>13575</v>
      </c>
      <c r="B2091" s="372" t="s">
        <v>13576</v>
      </c>
      <c r="C2091" s="372" t="s">
        <v>13577</v>
      </c>
      <c r="D2091" s="374">
        <v>1101112284729</v>
      </c>
      <c r="E2091" s="372" t="s">
        <v>13578</v>
      </c>
      <c r="F2091" s="372" t="s">
        <v>10915</v>
      </c>
      <c r="G2091" s="375" t="s">
        <v>10916</v>
      </c>
      <c r="H2091" s="375" t="s">
        <v>1388</v>
      </c>
      <c r="I2091" s="375" t="s">
        <v>869</v>
      </c>
      <c r="J2091" s="375">
        <v>98938.963950000005</v>
      </c>
      <c r="K2091" s="375">
        <v>2154.9437800000001</v>
      </c>
      <c r="L2091" s="375">
        <v>1808.29918</v>
      </c>
      <c r="M2091" s="375">
        <v>57913.084840000003</v>
      </c>
      <c r="N2091" s="372">
        <v>0.83099999999999996</v>
      </c>
      <c r="O2091" s="703">
        <v>48.180585154088483</v>
      </c>
      <c r="P2091" s="562" t="s">
        <v>623</v>
      </c>
      <c r="Q2091" s="372" t="s">
        <v>623</v>
      </c>
      <c r="R2091" s="695">
        <v>20201202</v>
      </c>
      <c r="S2091" s="372" t="s">
        <v>13579</v>
      </c>
      <c r="T2091" s="696">
        <v>0.20900000000000002</v>
      </c>
      <c r="U2091" s="372" t="s">
        <v>13580</v>
      </c>
      <c r="V2091" s="722">
        <v>0</v>
      </c>
      <c r="W2091" s="722">
        <v>0.72</v>
      </c>
      <c r="X2091" s="722">
        <v>0</v>
      </c>
      <c r="Y2091" s="722">
        <v>0</v>
      </c>
      <c r="Z2091" s="382" t="s">
        <v>934</v>
      </c>
      <c r="AA2091" s="372">
        <v>1531.7360344000001</v>
      </c>
      <c r="AB2091" s="372">
        <v>1018.3187762</v>
      </c>
      <c r="AC2091" s="372">
        <v>826.6336278</v>
      </c>
      <c r="AD2091" s="372">
        <v>989.38963950000004</v>
      </c>
      <c r="AE2091" s="372">
        <v>1500</v>
      </c>
      <c r="AF2091" s="372">
        <v>0</v>
      </c>
      <c r="AG2091" s="372">
        <v>0</v>
      </c>
      <c r="AH2091" s="372">
        <v>0</v>
      </c>
    </row>
    <row r="2092" spans="1:34">
      <c r="A2092" s="372" t="s">
        <v>13581</v>
      </c>
      <c r="B2092" s="372" t="s">
        <v>13582</v>
      </c>
      <c r="C2092" s="372" t="s">
        <v>13583</v>
      </c>
      <c r="D2092" s="374">
        <v>1346110015095</v>
      </c>
      <c r="E2092" s="372" t="s">
        <v>13584</v>
      </c>
      <c r="F2092" s="372" t="s">
        <v>887</v>
      </c>
      <c r="G2092" s="375" t="s">
        <v>887</v>
      </c>
      <c r="H2092" s="375" t="s">
        <v>868</v>
      </c>
      <c r="I2092" s="375" t="s">
        <v>869</v>
      </c>
      <c r="J2092" s="375">
        <v>58471.916060000003</v>
      </c>
      <c r="K2092" s="375">
        <v>-741.76850000000002</v>
      </c>
      <c r="L2092" s="375">
        <v>-3573.51935</v>
      </c>
      <c r="M2092" s="375">
        <v>71402.819369999997</v>
      </c>
      <c r="N2092" s="372">
        <v>0.86899999999999999</v>
      </c>
      <c r="O2092" s="703">
        <v>97.988532118540661</v>
      </c>
      <c r="P2092" s="562" t="s">
        <v>623</v>
      </c>
      <c r="Q2092" s="372" t="s">
        <v>623</v>
      </c>
      <c r="R2092" s="695">
        <v>20071001</v>
      </c>
      <c r="S2092" s="372" t="s">
        <v>13585</v>
      </c>
      <c r="T2092" s="696" t="s">
        <v>772</v>
      </c>
      <c r="U2092" s="372" t="s">
        <v>13586</v>
      </c>
      <c r="V2092" s="722">
        <v>24.64</v>
      </c>
      <c r="W2092" s="722">
        <v>0.89</v>
      </c>
      <c r="X2092" s="722">
        <v>0.85</v>
      </c>
      <c r="Y2092" s="722" t="s">
        <v>774</v>
      </c>
      <c r="Z2092" s="382" t="s">
        <v>934</v>
      </c>
      <c r="AA2092" s="372">
        <v>379.69069080000003</v>
      </c>
      <c r="AB2092" s="372">
        <v>659.82605249999995</v>
      </c>
      <c r="AC2092" s="372">
        <v>803.7212869</v>
      </c>
      <c r="AD2092" s="372">
        <v>584.71916060000001</v>
      </c>
      <c r="AE2092" s="372">
        <v>0</v>
      </c>
      <c r="AF2092" s="372">
        <v>0</v>
      </c>
      <c r="AG2092" s="372">
        <v>0</v>
      </c>
      <c r="AH2092" s="372">
        <v>0</v>
      </c>
    </row>
    <row r="2093" spans="1:34">
      <c r="A2093" s="372" t="s">
        <v>13587</v>
      </c>
      <c r="B2093" s="372" t="s">
        <v>13588</v>
      </c>
      <c r="C2093" s="372" t="s">
        <v>13589</v>
      </c>
      <c r="D2093" s="374">
        <v>1101110408305</v>
      </c>
      <c r="E2093" s="372" t="s">
        <v>13590</v>
      </c>
      <c r="F2093" s="372" t="s">
        <v>1881</v>
      </c>
      <c r="G2093" s="375" t="s">
        <v>1882</v>
      </c>
      <c r="H2093" s="375" t="s">
        <v>868</v>
      </c>
      <c r="I2093" s="375" t="s">
        <v>869</v>
      </c>
      <c r="J2093" s="375">
        <v>203726.07793</v>
      </c>
      <c r="K2093" s="375">
        <v>4044.5931599999999</v>
      </c>
      <c r="L2093" s="375">
        <v>1190.9348</v>
      </c>
      <c r="M2093" s="375">
        <v>108776.62173</v>
      </c>
      <c r="N2093" s="372">
        <v>1.2290000000000001</v>
      </c>
      <c r="O2093" s="703">
        <v>155.78923933747413</v>
      </c>
      <c r="P2093" s="562" t="s">
        <v>623</v>
      </c>
      <c r="Q2093" s="372" t="s">
        <v>623</v>
      </c>
      <c r="R2093" s="695">
        <v>19941130</v>
      </c>
      <c r="S2093" s="372" t="s">
        <v>13591</v>
      </c>
      <c r="T2093" s="696">
        <v>0.20900000000000002</v>
      </c>
      <c r="U2093" s="372" t="s">
        <v>13592</v>
      </c>
      <c r="V2093" s="722">
        <v>9.91</v>
      </c>
      <c r="W2093" s="722">
        <v>0.52</v>
      </c>
      <c r="X2093" s="722">
        <v>0.28000000000000003</v>
      </c>
      <c r="Y2093" s="722">
        <v>53.02</v>
      </c>
      <c r="Z2093" s="382" t="s">
        <v>934</v>
      </c>
      <c r="AA2093" s="372">
        <v>1318.7354688</v>
      </c>
      <c r="AB2093" s="372">
        <v>1301.2435700999999</v>
      </c>
      <c r="AC2093" s="372">
        <v>1780.4188933</v>
      </c>
      <c r="AD2093" s="372">
        <v>2037.2607793</v>
      </c>
      <c r="AE2093" s="372">
        <v>0</v>
      </c>
      <c r="AF2093" s="372">
        <v>0</v>
      </c>
      <c r="AG2093" s="372">
        <v>0</v>
      </c>
      <c r="AH2093" s="372">
        <v>0</v>
      </c>
    </row>
    <row r="2094" spans="1:34">
      <c r="A2094" s="372" t="s">
        <v>13593</v>
      </c>
      <c r="B2094" s="372" t="s">
        <v>13594</v>
      </c>
      <c r="C2094" s="372" t="s">
        <v>13595</v>
      </c>
      <c r="D2094" s="374">
        <v>1345110080529</v>
      </c>
      <c r="E2094" s="372" t="s">
        <v>13596</v>
      </c>
      <c r="F2094" s="372" t="s">
        <v>4016</v>
      </c>
      <c r="G2094" s="375" t="s">
        <v>11433</v>
      </c>
      <c r="H2094" s="375" t="s">
        <v>868</v>
      </c>
      <c r="I2094" s="375" t="s">
        <v>869</v>
      </c>
      <c r="J2094" s="375">
        <v>101217.98483</v>
      </c>
      <c r="K2094" s="375">
        <v>2104.7281800000001</v>
      </c>
      <c r="L2094" s="375">
        <v>2368.6642999999999</v>
      </c>
      <c r="M2094" s="375">
        <v>66386.151060000004</v>
      </c>
      <c r="N2094" s="372">
        <v>0.84899999999999998</v>
      </c>
      <c r="O2094" s="703">
        <v>53.710019769473817</v>
      </c>
      <c r="P2094" s="562" t="s">
        <v>623</v>
      </c>
      <c r="Q2094" s="372" t="s">
        <v>623</v>
      </c>
      <c r="R2094" s="695">
        <v>20190820</v>
      </c>
      <c r="S2094" s="372" t="s">
        <v>13597</v>
      </c>
      <c r="T2094" s="696">
        <v>0.20900000000000002</v>
      </c>
      <c r="U2094" s="372" t="s">
        <v>13598</v>
      </c>
      <c r="V2094" s="722">
        <v>0</v>
      </c>
      <c r="W2094" s="722">
        <v>0.73</v>
      </c>
      <c r="X2094" s="722">
        <v>0</v>
      </c>
      <c r="Y2094" s="722">
        <v>0</v>
      </c>
      <c r="Z2094" s="382" t="s">
        <v>934</v>
      </c>
      <c r="AA2094" s="372">
        <v>922.97703520000005</v>
      </c>
      <c r="AB2094" s="372">
        <v>849.28791190000004</v>
      </c>
      <c r="AC2094" s="372">
        <v>893.62824950000004</v>
      </c>
      <c r="AD2094" s="372">
        <v>1012.1798483</v>
      </c>
      <c r="AE2094" s="372">
        <v>0</v>
      </c>
      <c r="AF2094" s="372">
        <v>0</v>
      </c>
      <c r="AG2094" s="372">
        <v>0</v>
      </c>
      <c r="AH2094" s="372">
        <v>0</v>
      </c>
    </row>
    <row r="2095" spans="1:34">
      <c r="A2095" s="372" t="s">
        <v>13599</v>
      </c>
      <c r="B2095" s="372" t="s">
        <v>13600</v>
      </c>
      <c r="C2095" s="372" t="s">
        <v>13601</v>
      </c>
      <c r="D2095" s="374">
        <v>1101111029671</v>
      </c>
      <c r="E2095" s="372" t="s">
        <v>13602</v>
      </c>
      <c r="F2095" s="372" t="s">
        <v>1814</v>
      </c>
      <c r="G2095" s="375" t="s">
        <v>2821</v>
      </c>
      <c r="H2095" s="375" t="s">
        <v>1693</v>
      </c>
      <c r="I2095" s="375" t="s">
        <v>869</v>
      </c>
      <c r="J2095" s="375">
        <v>132719.40484</v>
      </c>
      <c r="K2095" s="375">
        <v>1980.0040899999999</v>
      </c>
      <c r="L2095" s="375">
        <v>140.52202</v>
      </c>
      <c r="M2095" s="375">
        <v>82414.633059999993</v>
      </c>
      <c r="N2095" s="372">
        <v>1.1040000000000001</v>
      </c>
      <c r="O2095" s="703">
        <v>104.03245522264532</v>
      </c>
      <c r="P2095" s="562" t="s">
        <v>623</v>
      </c>
      <c r="Q2095" s="372" t="s">
        <v>623</v>
      </c>
      <c r="R2095" s="695">
        <v>20000825</v>
      </c>
      <c r="S2095" s="372" t="s">
        <v>13603</v>
      </c>
      <c r="T2095" s="696">
        <v>9.9000000000000005E-2</v>
      </c>
      <c r="U2095" s="372" t="s">
        <v>13604</v>
      </c>
      <c r="V2095" s="722">
        <v>10.69</v>
      </c>
      <c r="W2095" s="722">
        <v>0.56999999999999995</v>
      </c>
      <c r="X2095" s="722">
        <v>0.37</v>
      </c>
      <c r="Y2095" s="722">
        <v>16.73</v>
      </c>
      <c r="Z2095" s="382" t="s">
        <v>934</v>
      </c>
      <c r="AA2095" s="372">
        <v>1099.9567360000001</v>
      </c>
      <c r="AB2095" s="372">
        <v>855.82604449999997</v>
      </c>
      <c r="AC2095" s="372">
        <v>1247.1960511</v>
      </c>
      <c r="AD2095" s="372">
        <v>1327.1940483999999</v>
      </c>
      <c r="AE2095" s="372">
        <v>0</v>
      </c>
      <c r="AF2095" s="372">
        <v>0</v>
      </c>
      <c r="AG2095" s="372">
        <v>0</v>
      </c>
      <c r="AH2095" s="372">
        <v>0</v>
      </c>
    </row>
    <row r="2096" spans="1:34">
      <c r="A2096" s="372" t="s">
        <v>13605</v>
      </c>
      <c r="B2096" s="372" t="s">
        <v>13606</v>
      </c>
      <c r="C2096" s="372" t="s">
        <v>13607</v>
      </c>
      <c r="D2096" s="374">
        <v>1101110212889</v>
      </c>
      <c r="E2096" s="372" t="s">
        <v>13608</v>
      </c>
      <c r="F2096" s="372" t="s">
        <v>4168</v>
      </c>
      <c r="G2096" s="375" t="s">
        <v>13609</v>
      </c>
      <c r="H2096" s="375" t="s">
        <v>1050</v>
      </c>
      <c r="I2096" s="375" t="s">
        <v>755</v>
      </c>
      <c r="J2096" s="375">
        <v>381634.12998999999</v>
      </c>
      <c r="K2096" s="375">
        <v>-3894.7777700000001</v>
      </c>
      <c r="L2096" s="375">
        <v>-2113.3543199999999</v>
      </c>
      <c r="M2096" s="375">
        <v>120389.10892</v>
      </c>
      <c r="N2096" s="372">
        <v>0.92900000000000005</v>
      </c>
      <c r="O2096" s="703">
        <v>44.092681105908241</v>
      </c>
      <c r="P2096" s="562" t="s">
        <v>623</v>
      </c>
      <c r="Q2096" s="372" t="s">
        <v>623</v>
      </c>
      <c r="R2096" s="695">
        <v>19880706</v>
      </c>
      <c r="S2096" s="372" t="s">
        <v>13610</v>
      </c>
      <c r="T2096" s="696" t="s">
        <v>772</v>
      </c>
      <c r="U2096" s="372" t="s">
        <v>13611</v>
      </c>
      <c r="V2096" s="722" t="s">
        <v>774</v>
      </c>
      <c r="W2096" s="722">
        <v>0.44</v>
      </c>
      <c r="X2096" s="722">
        <v>0.14000000000000001</v>
      </c>
      <c r="Y2096" s="722" t="s">
        <v>774</v>
      </c>
      <c r="Z2096" s="382" t="s">
        <v>934</v>
      </c>
      <c r="AA2096" s="372">
        <v>3796.8138981000002</v>
      </c>
      <c r="AB2096" s="372">
        <v>3801.7471085000002</v>
      </c>
      <c r="AC2096" s="372">
        <v>3650.7510318</v>
      </c>
      <c r="AD2096" s="372">
        <v>3816.3412999000002</v>
      </c>
      <c r="AE2096" s="372">
        <v>0</v>
      </c>
      <c r="AF2096" s="372">
        <v>0</v>
      </c>
      <c r="AG2096" s="372">
        <v>0</v>
      </c>
      <c r="AH2096" s="372">
        <v>0</v>
      </c>
    </row>
    <row r="2097" spans="1:34">
      <c r="A2097" s="372" t="s">
        <v>13612</v>
      </c>
      <c r="B2097" s="372" t="s">
        <v>13613</v>
      </c>
      <c r="C2097" s="372" t="s">
        <v>13614</v>
      </c>
      <c r="D2097" s="374">
        <v>1341110005351</v>
      </c>
      <c r="E2097" s="372" t="s">
        <v>13615</v>
      </c>
      <c r="F2097" s="372" t="s">
        <v>622</v>
      </c>
      <c r="G2097" s="375" t="s">
        <v>622</v>
      </c>
      <c r="H2097" s="375" t="s">
        <v>868</v>
      </c>
      <c r="I2097" s="375" t="s">
        <v>869</v>
      </c>
      <c r="J2097" s="375">
        <v>156407.80614999999</v>
      </c>
      <c r="K2097" s="375">
        <v>1887.19614</v>
      </c>
      <c r="L2097" s="375">
        <v>736.31862000000001</v>
      </c>
      <c r="M2097" s="375">
        <v>92340.08296</v>
      </c>
      <c r="N2097" s="372">
        <v>1.0720000000000001</v>
      </c>
      <c r="O2097" s="703">
        <v>17.642564833974046</v>
      </c>
      <c r="P2097" s="562" t="s">
        <v>623</v>
      </c>
      <c r="Q2097" s="372" t="s">
        <v>623</v>
      </c>
      <c r="R2097" s="695">
        <v>19970714</v>
      </c>
      <c r="S2097" s="372" t="s">
        <v>13616</v>
      </c>
      <c r="T2097" s="696">
        <v>0.20900000000000002</v>
      </c>
      <c r="U2097" s="372" t="s">
        <v>13617</v>
      </c>
      <c r="V2097" s="722">
        <v>8.0399999999999991</v>
      </c>
      <c r="W2097" s="722">
        <v>0.49</v>
      </c>
      <c r="X2097" s="722">
        <v>0.28999999999999998</v>
      </c>
      <c r="Y2097" s="722">
        <v>387.74</v>
      </c>
      <c r="Z2097" s="382" t="s">
        <v>934</v>
      </c>
      <c r="AA2097" s="372">
        <v>1289.5776003000001</v>
      </c>
      <c r="AB2097" s="372">
        <v>1287.3096118000001</v>
      </c>
      <c r="AC2097" s="372">
        <v>1551.3853211999999</v>
      </c>
      <c r="AD2097" s="372">
        <v>1564.0780615000001</v>
      </c>
      <c r="AE2097" s="372">
        <v>0</v>
      </c>
      <c r="AF2097" s="372">
        <v>0</v>
      </c>
      <c r="AG2097" s="372">
        <v>0</v>
      </c>
      <c r="AH2097" s="372">
        <v>0</v>
      </c>
    </row>
    <row r="2098" spans="1:34">
      <c r="A2098" s="372" t="s">
        <v>13618</v>
      </c>
      <c r="B2098" s="372" t="s">
        <v>13619</v>
      </c>
      <c r="C2098" s="372" t="s">
        <v>13620</v>
      </c>
      <c r="D2098" s="374">
        <v>1101110138382</v>
      </c>
      <c r="E2098" s="372" t="s">
        <v>13621</v>
      </c>
      <c r="F2098" s="372" t="s">
        <v>2888</v>
      </c>
      <c r="G2098" s="375" t="s">
        <v>2889</v>
      </c>
      <c r="H2098" s="375" t="s">
        <v>868</v>
      </c>
      <c r="I2098" s="375" t="s">
        <v>869</v>
      </c>
      <c r="J2098" s="375">
        <v>73785.384640000004</v>
      </c>
      <c r="K2098" s="375">
        <v>4553.8563800000002</v>
      </c>
      <c r="L2098" s="375">
        <v>7045.6683300000004</v>
      </c>
      <c r="M2098" s="375">
        <v>89217.617750000005</v>
      </c>
      <c r="N2098" s="372">
        <v>0.70599999999999996</v>
      </c>
      <c r="O2098" s="703">
        <v>0</v>
      </c>
      <c r="P2098" s="562" t="s">
        <v>623</v>
      </c>
      <c r="Q2098" s="372" t="s">
        <v>623</v>
      </c>
      <c r="R2098" s="695">
        <v>19921211</v>
      </c>
      <c r="S2098" s="372" t="s">
        <v>13622</v>
      </c>
      <c r="T2098" s="696">
        <v>0.20900000000000002</v>
      </c>
      <c r="U2098" s="372" t="s">
        <v>13623</v>
      </c>
      <c r="V2098" s="722">
        <v>8.1199999999999992</v>
      </c>
      <c r="W2098" s="722">
        <v>0.56000000000000005</v>
      </c>
      <c r="X2098" s="722">
        <v>0.71</v>
      </c>
      <c r="Y2098" s="722">
        <v>7.94</v>
      </c>
      <c r="Z2098" s="382" t="s">
        <v>934</v>
      </c>
      <c r="AA2098" s="372">
        <v>736.05433289999996</v>
      </c>
      <c r="AB2098" s="372">
        <v>889.17969879999998</v>
      </c>
      <c r="AC2098" s="372">
        <v>894.90584320000005</v>
      </c>
      <c r="AD2098" s="372">
        <v>737.85384639999995</v>
      </c>
      <c r="AE2098" s="372">
        <v>0</v>
      </c>
      <c r="AF2098" s="372">
        <v>0</v>
      </c>
      <c r="AG2098" s="372">
        <v>0</v>
      </c>
      <c r="AH2098" s="372">
        <v>0</v>
      </c>
    </row>
    <row r="2099" spans="1:34">
      <c r="A2099" s="372" t="s">
        <v>13624</v>
      </c>
      <c r="B2099" s="372" t="s">
        <v>13625</v>
      </c>
      <c r="C2099" s="372" t="s">
        <v>13626</v>
      </c>
      <c r="D2099" s="374">
        <v>0</v>
      </c>
      <c r="E2099" s="372" t="s">
        <v>13627</v>
      </c>
      <c r="F2099" s="372" t="s">
        <v>900</v>
      </c>
      <c r="G2099" s="375" t="s">
        <v>901</v>
      </c>
      <c r="H2099" s="375">
        <v>0</v>
      </c>
      <c r="I2099" s="375" t="s">
        <v>869</v>
      </c>
      <c r="J2099" s="375">
        <v>62520.508999999998</v>
      </c>
      <c r="K2099" s="375">
        <v>5651.1409999999996</v>
      </c>
      <c r="L2099" s="375">
        <v>6166.4390000000003</v>
      </c>
      <c r="M2099" s="375">
        <v>280001.56099999999</v>
      </c>
      <c r="N2099" s="372">
        <v>1.1000000000000001</v>
      </c>
      <c r="O2099" s="703">
        <v>0</v>
      </c>
      <c r="P2099" s="562" t="s">
        <v>623</v>
      </c>
      <c r="Q2099" s="372" t="s">
        <v>623</v>
      </c>
      <c r="R2099" s="695">
        <v>20100423</v>
      </c>
      <c r="S2099" s="372" t="s">
        <v>13628</v>
      </c>
      <c r="T2099" s="696">
        <v>0.20900000000000002</v>
      </c>
      <c r="U2099" s="372" t="s">
        <v>13629</v>
      </c>
      <c r="V2099" s="722">
        <v>5.37</v>
      </c>
      <c r="W2099" s="722">
        <v>0.19</v>
      </c>
      <c r="X2099" s="722">
        <v>0.61</v>
      </c>
      <c r="Y2099" s="722">
        <v>16.82</v>
      </c>
      <c r="Z2099" s="382" t="s">
        <v>934</v>
      </c>
      <c r="AA2099" s="372">
        <v>375.40769999999998</v>
      </c>
      <c r="AB2099" s="372">
        <v>508.49362000000002</v>
      </c>
      <c r="AC2099" s="372">
        <v>541.68514000000005</v>
      </c>
      <c r="AD2099" s="372">
        <v>625.20509000000004</v>
      </c>
      <c r="AE2099" s="372">
        <v>0</v>
      </c>
      <c r="AF2099" s="372">
        <v>0</v>
      </c>
      <c r="AG2099" s="372">
        <v>0</v>
      </c>
      <c r="AH2099" s="372">
        <v>0</v>
      </c>
    </row>
    <row r="2100" spans="1:34">
      <c r="A2100" s="372" t="s">
        <v>13630</v>
      </c>
      <c r="B2100" s="372" t="s">
        <v>13631</v>
      </c>
      <c r="C2100" s="372" t="s">
        <v>13632</v>
      </c>
      <c r="D2100" s="374">
        <v>1101110896683</v>
      </c>
      <c r="E2100" s="372" t="s">
        <v>13633</v>
      </c>
      <c r="F2100" s="372" t="s">
        <v>2858</v>
      </c>
      <c r="G2100" s="375" t="s">
        <v>2858</v>
      </c>
      <c r="H2100" s="375" t="s">
        <v>1388</v>
      </c>
      <c r="I2100" s="375" t="s">
        <v>869</v>
      </c>
      <c r="J2100" s="375">
        <v>87726.787049999999</v>
      </c>
      <c r="K2100" s="375">
        <v>-660.15661</v>
      </c>
      <c r="L2100" s="375">
        <v>1908.3493100000001</v>
      </c>
      <c r="M2100" s="375">
        <v>97526.442339999994</v>
      </c>
      <c r="N2100" s="372">
        <v>0.96799999999999997</v>
      </c>
      <c r="O2100" s="703">
        <v>1.6231084470884016</v>
      </c>
      <c r="P2100" s="562" t="s">
        <v>623</v>
      </c>
      <c r="Q2100" s="372" t="s">
        <v>623</v>
      </c>
      <c r="R2100" s="695">
        <v>20000502</v>
      </c>
      <c r="S2100" s="372" t="s">
        <v>13634</v>
      </c>
      <c r="T2100" s="696">
        <v>0.20900000000000002</v>
      </c>
      <c r="U2100" s="372" t="s">
        <v>13635</v>
      </c>
      <c r="V2100" s="722">
        <v>45.89</v>
      </c>
      <c r="W2100" s="722">
        <v>0.48</v>
      </c>
      <c r="X2100" s="722">
        <v>0.57999999999999996</v>
      </c>
      <c r="Y2100" s="722">
        <v>23.88</v>
      </c>
      <c r="Z2100" s="382" t="s">
        <v>934</v>
      </c>
      <c r="AA2100" s="372">
        <v>1045.1148287999999</v>
      </c>
      <c r="AB2100" s="372">
        <v>1003.3420642999999</v>
      </c>
      <c r="AC2100" s="372">
        <v>911.00767719999999</v>
      </c>
      <c r="AD2100" s="372">
        <v>877.26787049999996</v>
      </c>
      <c r="AE2100" s="372">
        <v>0</v>
      </c>
      <c r="AF2100" s="372">
        <v>0</v>
      </c>
      <c r="AG2100" s="372">
        <v>0</v>
      </c>
      <c r="AH2100" s="372">
        <v>0</v>
      </c>
    </row>
    <row r="2101" spans="1:34">
      <c r="A2101" s="372" t="s">
        <v>13636</v>
      </c>
      <c r="B2101" s="372" t="s">
        <v>13637</v>
      </c>
      <c r="C2101" s="372" t="s">
        <v>13638</v>
      </c>
      <c r="D2101" s="374">
        <v>1311110110921</v>
      </c>
      <c r="E2101" s="372" t="s">
        <v>13639</v>
      </c>
      <c r="F2101" s="372" t="s">
        <v>1195</v>
      </c>
      <c r="G2101" s="375" t="s">
        <v>3144</v>
      </c>
      <c r="H2101" s="375" t="s">
        <v>1388</v>
      </c>
      <c r="I2101" s="375" t="s">
        <v>869</v>
      </c>
      <c r="J2101" s="375">
        <v>47814.660580000003</v>
      </c>
      <c r="K2101" s="375">
        <v>-11093.30075</v>
      </c>
      <c r="L2101" s="375">
        <v>-12714.587100000001</v>
      </c>
      <c r="M2101" s="375">
        <v>28688.524969999999</v>
      </c>
      <c r="N2101" s="372">
        <v>1.4239999999999999</v>
      </c>
      <c r="O2101" s="703">
        <v>71.062409161495978</v>
      </c>
      <c r="P2101" s="562" t="s">
        <v>623</v>
      </c>
      <c r="Q2101" s="372" t="s">
        <v>623</v>
      </c>
      <c r="R2101" s="695">
        <v>20141029</v>
      </c>
      <c r="S2101" s="372" t="s">
        <v>13640</v>
      </c>
      <c r="T2101" s="696" t="s">
        <v>772</v>
      </c>
      <c r="U2101" s="372" t="s">
        <v>13641</v>
      </c>
      <c r="V2101" s="722" t="s">
        <v>774</v>
      </c>
      <c r="W2101" s="722">
        <v>1.49</v>
      </c>
      <c r="X2101" s="722">
        <v>0.95</v>
      </c>
      <c r="Y2101" s="722" t="s">
        <v>774</v>
      </c>
      <c r="Z2101" s="382" t="s">
        <v>934</v>
      </c>
      <c r="AA2101" s="372">
        <v>1016.117164</v>
      </c>
      <c r="AB2101" s="372">
        <v>796.38087310000003</v>
      </c>
      <c r="AC2101" s="372">
        <v>495.32401429999999</v>
      </c>
      <c r="AD2101" s="372">
        <v>478.14660579999997</v>
      </c>
      <c r="AE2101" s="372">
        <v>0</v>
      </c>
      <c r="AF2101" s="372">
        <v>0</v>
      </c>
      <c r="AG2101" s="372">
        <v>0</v>
      </c>
      <c r="AH2101" s="372">
        <v>0</v>
      </c>
    </row>
    <row r="2102" spans="1:34">
      <c r="A2102" s="372" t="s">
        <v>13642</v>
      </c>
      <c r="B2102" s="372" t="s">
        <v>13643</v>
      </c>
      <c r="C2102" s="372" t="s">
        <v>13644</v>
      </c>
      <c r="D2102" s="374">
        <v>1101115546217</v>
      </c>
      <c r="E2102" s="372" t="s">
        <v>13645</v>
      </c>
      <c r="F2102" s="372" t="s">
        <v>1285</v>
      </c>
      <c r="G2102" s="375" t="s">
        <v>1285</v>
      </c>
      <c r="H2102" s="375" t="s">
        <v>1388</v>
      </c>
      <c r="I2102" s="375" t="s">
        <v>869</v>
      </c>
      <c r="J2102" s="375">
        <v>123469.14144000001</v>
      </c>
      <c r="K2102" s="375">
        <v>-3261.88483</v>
      </c>
      <c r="L2102" s="375">
        <v>-7833.3084200000003</v>
      </c>
      <c r="M2102" s="375">
        <v>57532.1944</v>
      </c>
      <c r="N2102" s="372">
        <v>0.68500000000000005</v>
      </c>
      <c r="O2102" s="703">
        <v>33.873307804763421</v>
      </c>
      <c r="P2102" s="562" t="s">
        <v>623</v>
      </c>
      <c r="Q2102" s="372" t="s">
        <v>623</v>
      </c>
      <c r="R2102" s="695">
        <v>20141224</v>
      </c>
      <c r="S2102" s="372" t="s">
        <v>13646</v>
      </c>
      <c r="T2102" s="696" t="s">
        <v>772</v>
      </c>
      <c r="U2102" s="372" t="s">
        <v>13647</v>
      </c>
      <c r="V2102" s="722">
        <v>11.17</v>
      </c>
      <c r="W2102" s="722">
        <v>0.9</v>
      </c>
      <c r="X2102" s="722">
        <v>0.33</v>
      </c>
      <c r="Y2102" s="722" t="s">
        <v>774</v>
      </c>
      <c r="Z2102" s="382" t="s">
        <v>934</v>
      </c>
      <c r="AA2102" s="372">
        <v>917.93146690000003</v>
      </c>
      <c r="AB2102" s="372">
        <v>838.34344759999999</v>
      </c>
      <c r="AC2102" s="372">
        <v>1042.8276304000001</v>
      </c>
      <c r="AD2102" s="372">
        <v>1234.6914144</v>
      </c>
      <c r="AE2102" s="372">
        <v>0</v>
      </c>
      <c r="AF2102" s="372">
        <v>0</v>
      </c>
      <c r="AG2102" s="372">
        <v>0</v>
      </c>
      <c r="AH2102" s="372">
        <v>0</v>
      </c>
    </row>
    <row r="2103" spans="1:34">
      <c r="A2103" s="372" t="s">
        <v>13648</v>
      </c>
      <c r="B2103" s="372" t="s">
        <v>13649</v>
      </c>
      <c r="C2103" s="372" t="s">
        <v>13650</v>
      </c>
      <c r="D2103" s="374">
        <v>1311110001964</v>
      </c>
      <c r="E2103" s="372" t="s">
        <v>13651</v>
      </c>
      <c r="F2103" s="372" t="s">
        <v>2858</v>
      </c>
      <c r="G2103" s="375" t="s">
        <v>2858</v>
      </c>
      <c r="H2103" s="375" t="s">
        <v>1388</v>
      </c>
      <c r="I2103" s="375" t="s">
        <v>869</v>
      </c>
      <c r="J2103" s="375">
        <v>137009.12828999999</v>
      </c>
      <c r="K2103" s="375">
        <v>-6446.9091399999998</v>
      </c>
      <c r="L2103" s="375">
        <v>-7618.3857399999997</v>
      </c>
      <c r="M2103" s="375">
        <v>40282.07015</v>
      </c>
      <c r="N2103" s="372">
        <v>1.0609999999999999</v>
      </c>
      <c r="O2103" s="703">
        <v>33.892220137251584</v>
      </c>
      <c r="P2103" s="562" t="s">
        <v>16142</v>
      </c>
      <c r="Q2103" s="372" t="s">
        <v>16145</v>
      </c>
      <c r="R2103" s="695">
        <v>20000114</v>
      </c>
      <c r="S2103" s="372" t="s">
        <v>13652</v>
      </c>
      <c r="T2103" s="696" t="s">
        <v>772</v>
      </c>
      <c r="U2103" s="372" t="s">
        <v>13653</v>
      </c>
      <c r="V2103" s="722" t="s">
        <v>774</v>
      </c>
      <c r="W2103" s="722">
        <v>1.32</v>
      </c>
      <c r="X2103" s="722">
        <v>0.38</v>
      </c>
      <c r="Y2103" s="722" t="s">
        <v>774</v>
      </c>
      <c r="Z2103" s="382" t="s">
        <v>934</v>
      </c>
      <c r="AA2103" s="372">
        <v>1303.9749495000001</v>
      </c>
      <c r="AB2103" s="372">
        <v>1414.2599107999999</v>
      </c>
      <c r="AC2103" s="372">
        <v>1559.9863408000001</v>
      </c>
      <c r="AD2103" s="372">
        <v>1370.0912828999999</v>
      </c>
      <c r="AE2103" s="372">
        <v>0</v>
      </c>
      <c r="AF2103" s="372">
        <v>0</v>
      </c>
      <c r="AG2103" s="372">
        <v>0</v>
      </c>
      <c r="AH2103" s="372">
        <v>0</v>
      </c>
    </row>
    <row r="2104" spans="1:34">
      <c r="A2104" s="372" t="s">
        <v>13654</v>
      </c>
      <c r="B2104" s="372" t="s">
        <v>13655</v>
      </c>
      <c r="C2104" s="372" t="s">
        <v>13656</v>
      </c>
      <c r="D2104" s="374">
        <v>1901110003563</v>
      </c>
      <c r="E2104" s="372" t="s">
        <v>13657</v>
      </c>
      <c r="F2104" s="372" t="s">
        <v>1977</v>
      </c>
      <c r="G2104" s="375" t="s">
        <v>7900</v>
      </c>
      <c r="H2104" s="375" t="s">
        <v>1327</v>
      </c>
      <c r="I2104" s="375" t="s">
        <v>755</v>
      </c>
      <c r="J2104" s="375">
        <v>105484.09531</v>
      </c>
      <c r="K2104" s="375">
        <v>18917.52162</v>
      </c>
      <c r="L2104" s="375">
        <v>7790.1198000000004</v>
      </c>
      <c r="M2104" s="375">
        <v>99070.017309999996</v>
      </c>
      <c r="N2104" s="372">
        <v>0.86799999999999999</v>
      </c>
      <c r="O2104" s="703">
        <v>560.87506430775591</v>
      </c>
      <c r="P2104" s="562" t="s">
        <v>623</v>
      </c>
      <c r="Q2104" s="372" t="s">
        <v>623</v>
      </c>
      <c r="R2104" s="695">
        <v>19961224</v>
      </c>
      <c r="S2104" s="372" t="s">
        <v>13658</v>
      </c>
      <c r="T2104" s="696">
        <v>0.20900000000000002</v>
      </c>
      <c r="U2104" s="372" t="s">
        <v>13659</v>
      </c>
      <c r="V2104" s="722">
        <v>8.1199999999999992</v>
      </c>
      <c r="W2104" s="722">
        <v>0.67</v>
      </c>
      <c r="X2104" s="722">
        <v>0.48</v>
      </c>
      <c r="Y2104" s="722">
        <v>10.79</v>
      </c>
      <c r="Z2104" s="382" t="s">
        <v>934</v>
      </c>
      <c r="AA2104" s="372">
        <v>946.4523921</v>
      </c>
      <c r="AB2104" s="372">
        <v>1020.6693694000001</v>
      </c>
      <c r="AC2104" s="372">
        <v>1107.2240193</v>
      </c>
      <c r="AD2104" s="372">
        <v>1054.8409531</v>
      </c>
      <c r="AE2104" s="372">
        <v>0</v>
      </c>
      <c r="AF2104" s="372">
        <v>0</v>
      </c>
      <c r="AG2104" s="372">
        <v>0</v>
      </c>
      <c r="AH2104" s="372">
        <v>0</v>
      </c>
    </row>
    <row r="2105" spans="1:34">
      <c r="A2105" s="372" t="s">
        <v>13660</v>
      </c>
      <c r="B2105" s="372" t="s">
        <v>13661</v>
      </c>
      <c r="C2105" s="372" t="s">
        <v>13662</v>
      </c>
      <c r="D2105" s="374">
        <v>1101117171731</v>
      </c>
      <c r="E2105" s="372" t="s">
        <v>13663</v>
      </c>
      <c r="F2105" s="372" t="s">
        <v>1381</v>
      </c>
      <c r="G2105" s="375" t="s">
        <v>1381</v>
      </c>
      <c r="H2105" s="375" t="s">
        <v>1693</v>
      </c>
      <c r="I2105" s="375" t="s">
        <v>869</v>
      </c>
      <c r="J2105" s="375">
        <v>35972.131509999999</v>
      </c>
      <c r="K2105" s="375">
        <v>228.74475000000001</v>
      </c>
      <c r="L2105" s="375">
        <v>774.43447000000003</v>
      </c>
      <c r="M2105" s="375">
        <v>29237.875650000002</v>
      </c>
      <c r="N2105" s="372">
        <v>1.1060000000000001</v>
      </c>
      <c r="O2105" s="703">
        <v>18.229273376879398</v>
      </c>
      <c r="P2105" s="562" t="s">
        <v>623</v>
      </c>
      <c r="Q2105" s="372" t="s">
        <v>623</v>
      </c>
      <c r="R2105" s="695">
        <v>20191029</v>
      </c>
      <c r="S2105" s="372" t="s">
        <v>9098</v>
      </c>
      <c r="T2105" s="696">
        <v>0.20900000000000002</v>
      </c>
      <c r="U2105" s="372" t="s">
        <v>13664</v>
      </c>
      <c r="V2105" s="722">
        <v>47.66</v>
      </c>
      <c r="W2105" s="722">
        <v>1.74</v>
      </c>
      <c r="X2105" s="722">
        <v>1.4</v>
      </c>
      <c r="Y2105" s="722">
        <v>55.2</v>
      </c>
      <c r="Z2105" s="382" t="s">
        <v>934</v>
      </c>
      <c r="AA2105" s="372">
        <v>180.39728700000001</v>
      </c>
      <c r="AB2105" s="372">
        <v>195.9588396</v>
      </c>
      <c r="AC2105" s="372">
        <v>300.3022651</v>
      </c>
      <c r="AD2105" s="372">
        <v>359.72131510000003</v>
      </c>
      <c r="AE2105" s="372">
        <v>0</v>
      </c>
      <c r="AF2105" s="372">
        <v>0</v>
      </c>
      <c r="AG2105" s="372">
        <v>0</v>
      </c>
      <c r="AH2105" s="372">
        <v>0</v>
      </c>
    </row>
    <row r="2106" spans="1:34">
      <c r="A2106" s="372" t="s">
        <v>13665</v>
      </c>
      <c r="B2106" s="372" t="s">
        <v>13666</v>
      </c>
      <c r="C2106" s="372" t="s">
        <v>13667</v>
      </c>
      <c r="D2106" s="374">
        <v>1613110017531</v>
      </c>
      <c r="E2106" s="372" t="s">
        <v>13668</v>
      </c>
      <c r="F2106" s="372" t="s">
        <v>5353</v>
      </c>
      <c r="G2106" s="375" t="s">
        <v>9003</v>
      </c>
      <c r="H2106" s="375" t="s">
        <v>868</v>
      </c>
      <c r="I2106" s="375" t="s">
        <v>869</v>
      </c>
      <c r="J2106" s="375">
        <v>35169.415919999999</v>
      </c>
      <c r="K2106" s="375">
        <v>2043.2589</v>
      </c>
      <c r="L2106" s="375">
        <v>-309.61502999999999</v>
      </c>
      <c r="M2106" s="375">
        <v>44324.85858</v>
      </c>
      <c r="N2106" s="372" t="s">
        <v>1033</v>
      </c>
      <c r="O2106" s="703">
        <v>38.305578822899314</v>
      </c>
      <c r="P2106" s="562" t="s">
        <v>623</v>
      </c>
      <c r="Q2106" s="372" t="s">
        <v>623</v>
      </c>
      <c r="R2106" s="695">
        <v>20221014</v>
      </c>
      <c r="S2106" s="372" t="s">
        <v>13669</v>
      </c>
      <c r="T2106" s="696" t="s">
        <v>772</v>
      </c>
      <c r="U2106" s="372" t="s">
        <v>13670</v>
      </c>
      <c r="V2106" s="722">
        <v>16.04</v>
      </c>
      <c r="W2106" s="722">
        <v>1.7</v>
      </c>
      <c r="X2106" s="722">
        <v>1.66</v>
      </c>
      <c r="Y2106" s="722" t="s">
        <v>774</v>
      </c>
      <c r="Z2106" s="382" t="s">
        <v>934</v>
      </c>
      <c r="AA2106" s="372">
        <v>155.66711789999999</v>
      </c>
      <c r="AB2106" s="372">
        <v>156.94537500000001</v>
      </c>
      <c r="AC2106" s="372">
        <v>168.00325309999999</v>
      </c>
      <c r="AD2106" s="372">
        <v>351.6941592</v>
      </c>
      <c r="AE2106" s="372">
        <v>421</v>
      </c>
      <c r="AF2106" s="372">
        <v>0</v>
      </c>
      <c r="AG2106" s="372">
        <v>0</v>
      </c>
      <c r="AH2106" s="372">
        <v>0</v>
      </c>
    </row>
    <row r="2107" spans="1:34">
      <c r="A2107" s="372" t="s">
        <v>13671</v>
      </c>
      <c r="B2107" s="372" t="s">
        <v>13672</v>
      </c>
      <c r="C2107" s="372" t="s">
        <v>13673</v>
      </c>
      <c r="D2107" s="374">
        <v>1942110018855</v>
      </c>
      <c r="E2107" s="372" t="s">
        <v>13674</v>
      </c>
      <c r="F2107" s="372" t="s">
        <v>2771</v>
      </c>
      <c r="G2107" s="375" t="s">
        <v>2772</v>
      </c>
      <c r="H2107" s="375" t="s">
        <v>868</v>
      </c>
      <c r="I2107" s="375" t="s">
        <v>869</v>
      </c>
      <c r="J2107" s="375">
        <v>140357.55718999999</v>
      </c>
      <c r="K2107" s="375">
        <v>4922.89948</v>
      </c>
      <c r="L2107" s="375">
        <v>3428.11328</v>
      </c>
      <c r="M2107" s="375">
        <v>101771.44246999999</v>
      </c>
      <c r="N2107" s="372">
        <v>0.88200000000000001</v>
      </c>
      <c r="O2107" s="703">
        <v>155.63202214104436</v>
      </c>
      <c r="P2107" s="562" t="s">
        <v>623</v>
      </c>
      <c r="Q2107" s="372" t="s">
        <v>623</v>
      </c>
      <c r="R2107" s="695">
        <v>20000404</v>
      </c>
      <c r="S2107" s="372" t="s">
        <v>13675</v>
      </c>
      <c r="T2107" s="696">
        <v>0.20900000000000002</v>
      </c>
      <c r="U2107" s="372" t="s">
        <v>13676</v>
      </c>
      <c r="V2107" s="722">
        <v>7.87</v>
      </c>
      <c r="W2107" s="722">
        <v>0.54</v>
      </c>
      <c r="X2107" s="722">
        <v>0.37</v>
      </c>
      <c r="Y2107" s="722">
        <v>17.91</v>
      </c>
      <c r="Z2107" s="382" t="s">
        <v>934</v>
      </c>
      <c r="AA2107" s="372">
        <v>939.20945700000004</v>
      </c>
      <c r="AB2107" s="372">
        <v>1260.5510204</v>
      </c>
      <c r="AC2107" s="372">
        <v>1600.9740865000001</v>
      </c>
      <c r="AD2107" s="372">
        <v>1403.5755719000001</v>
      </c>
      <c r="AE2107" s="372">
        <v>0</v>
      </c>
      <c r="AF2107" s="372">
        <v>0</v>
      </c>
      <c r="AG2107" s="372">
        <v>0</v>
      </c>
      <c r="AH2107" s="372">
        <v>0</v>
      </c>
    </row>
    <row r="2108" spans="1:34">
      <c r="A2108" s="372" t="s">
        <v>13677</v>
      </c>
      <c r="B2108" s="372" t="s">
        <v>13678</v>
      </c>
      <c r="C2108" s="372" t="s">
        <v>13679</v>
      </c>
      <c r="D2108" s="374">
        <v>2112110000553</v>
      </c>
      <c r="E2108" s="372" t="s">
        <v>13680</v>
      </c>
      <c r="F2108" s="372" t="s">
        <v>2438</v>
      </c>
      <c r="G2108" s="375" t="s">
        <v>2438</v>
      </c>
      <c r="H2108" s="375" t="s">
        <v>868</v>
      </c>
      <c r="I2108" s="375" t="s">
        <v>869</v>
      </c>
      <c r="J2108" s="375">
        <v>92497.05197</v>
      </c>
      <c r="K2108" s="375">
        <v>938.08627999999999</v>
      </c>
      <c r="L2108" s="375">
        <v>703.27949000000001</v>
      </c>
      <c r="M2108" s="375">
        <v>27836.482530000001</v>
      </c>
      <c r="N2108" s="372">
        <v>1.038</v>
      </c>
      <c r="O2108" s="703">
        <v>139.70685604857144</v>
      </c>
      <c r="P2108" s="562" t="s">
        <v>623</v>
      </c>
      <c r="Q2108" s="372" t="s">
        <v>623</v>
      </c>
      <c r="R2108" s="695">
        <v>20001201</v>
      </c>
      <c r="S2108" s="372" t="s">
        <v>13681</v>
      </c>
      <c r="T2108" s="696">
        <v>0.20900000000000002</v>
      </c>
      <c r="U2108" s="372" t="s">
        <v>13682</v>
      </c>
      <c r="V2108" s="722">
        <v>14.34</v>
      </c>
      <c r="W2108" s="722">
        <v>1.67</v>
      </c>
      <c r="X2108" s="722">
        <v>0.56000000000000005</v>
      </c>
      <c r="Y2108" s="722">
        <v>57.1</v>
      </c>
      <c r="Z2108" s="382" t="s">
        <v>934</v>
      </c>
      <c r="AA2108" s="372">
        <v>1504.8939429</v>
      </c>
      <c r="AB2108" s="372">
        <v>1216.5608616</v>
      </c>
      <c r="AC2108" s="372">
        <v>860.34564150000006</v>
      </c>
      <c r="AD2108" s="372">
        <v>924.97051969999995</v>
      </c>
      <c r="AE2108" s="372">
        <v>0</v>
      </c>
      <c r="AF2108" s="372">
        <v>0</v>
      </c>
      <c r="AG2108" s="372">
        <v>0</v>
      </c>
      <c r="AH2108" s="372">
        <v>0</v>
      </c>
    </row>
    <row r="2109" spans="1:34">
      <c r="A2109" s="372" t="s">
        <v>13683</v>
      </c>
      <c r="B2109" s="372" t="s">
        <v>13684</v>
      </c>
      <c r="C2109" s="372" t="s">
        <v>13685</v>
      </c>
      <c r="D2109" s="374">
        <v>1201110060450</v>
      </c>
      <c r="E2109" s="372" t="s">
        <v>13686</v>
      </c>
      <c r="F2109" s="372" t="s">
        <v>4918</v>
      </c>
      <c r="G2109" s="375" t="s">
        <v>4918</v>
      </c>
      <c r="H2109" s="375" t="s">
        <v>1388</v>
      </c>
      <c r="I2109" s="375" t="s">
        <v>869</v>
      </c>
      <c r="J2109" s="375">
        <v>107194.98634</v>
      </c>
      <c r="K2109" s="375">
        <v>4897.31034</v>
      </c>
      <c r="L2109" s="375">
        <v>1590.85079</v>
      </c>
      <c r="M2109" s="375">
        <v>63364.088179999999</v>
      </c>
      <c r="N2109" s="372">
        <v>0.97199999999999998</v>
      </c>
      <c r="O2109" s="703">
        <v>158.29092671666214</v>
      </c>
      <c r="P2109" s="562" t="s">
        <v>623</v>
      </c>
      <c r="Q2109" s="372" t="s">
        <v>623</v>
      </c>
      <c r="R2109" s="695">
        <v>20030122</v>
      </c>
      <c r="S2109" s="372" t="s">
        <v>13687</v>
      </c>
      <c r="T2109" s="696">
        <v>0.20900000000000002</v>
      </c>
      <c r="U2109" s="372" t="s">
        <v>13688</v>
      </c>
      <c r="V2109" s="722">
        <v>8.7799999999999994</v>
      </c>
      <c r="W2109" s="722">
        <v>0.81</v>
      </c>
      <c r="X2109" s="722">
        <v>0.48</v>
      </c>
      <c r="Y2109" s="722">
        <v>42.27</v>
      </c>
      <c r="Z2109" s="382" t="s">
        <v>934</v>
      </c>
      <c r="AA2109" s="372">
        <v>917.57894739999995</v>
      </c>
      <c r="AB2109" s="372">
        <v>930.67600470000002</v>
      </c>
      <c r="AC2109" s="372">
        <v>1195.7708748</v>
      </c>
      <c r="AD2109" s="372">
        <v>1071.9498633999999</v>
      </c>
      <c r="AE2109" s="372">
        <v>0</v>
      </c>
      <c r="AF2109" s="372">
        <v>0</v>
      </c>
      <c r="AG2109" s="372">
        <v>0</v>
      </c>
      <c r="AH2109" s="372">
        <v>0</v>
      </c>
    </row>
    <row r="2110" spans="1:34">
      <c r="A2110" s="372" t="s">
        <v>13689</v>
      </c>
      <c r="B2110" s="372" t="s">
        <v>13690</v>
      </c>
      <c r="C2110" s="372" t="s">
        <v>13691</v>
      </c>
      <c r="D2110" s="374">
        <v>1752110007968</v>
      </c>
      <c r="E2110" s="372" t="s">
        <v>13692</v>
      </c>
      <c r="F2110" s="372" t="s">
        <v>779</v>
      </c>
      <c r="G2110" s="375" t="s">
        <v>839</v>
      </c>
      <c r="H2110" s="375" t="s">
        <v>868</v>
      </c>
      <c r="I2110" s="375" t="s">
        <v>869</v>
      </c>
      <c r="J2110" s="375">
        <v>6822.0976600000004</v>
      </c>
      <c r="K2110" s="375">
        <v>-4082.7200600000001</v>
      </c>
      <c r="L2110" s="375">
        <v>-3019.61186</v>
      </c>
      <c r="M2110" s="375">
        <v>62938.019439999996</v>
      </c>
      <c r="N2110" s="372">
        <v>0.64300000000000002</v>
      </c>
      <c r="O2110" s="703">
        <v>5.1576338843507707E-2</v>
      </c>
      <c r="P2110" s="562" t="s">
        <v>623</v>
      </c>
      <c r="Q2110" s="372" t="s">
        <v>623</v>
      </c>
      <c r="R2110" s="695">
        <v>20190701</v>
      </c>
      <c r="S2110" s="372" t="s">
        <v>13693</v>
      </c>
      <c r="T2110" s="696" t="s">
        <v>772</v>
      </c>
      <c r="U2110" s="372" t="s">
        <v>13694</v>
      </c>
      <c r="V2110" s="722">
        <v>0</v>
      </c>
      <c r="W2110" s="722">
        <v>0.9</v>
      </c>
      <c r="X2110" s="722">
        <v>0</v>
      </c>
      <c r="Y2110" s="722">
        <v>0</v>
      </c>
      <c r="Z2110" s="382" t="s">
        <v>934</v>
      </c>
      <c r="AA2110" s="372">
        <v>113.1632498</v>
      </c>
      <c r="AB2110" s="372">
        <v>71.694933399999996</v>
      </c>
      <c r="AC2110" s="372">
        <v>44.373787399999998</v>
      </c>
      <c r="AD2110" s="372">
        <v>68.2209766</v>
      </c>
      <c r="AE2110" s="372">
        <v>0</v>
      </c>
      <c r="AF2110" s="372">
        <v>0</v>
      </c>
      <c r="AG2110" s="372">
        <v>0</v>
      </c>
      <c r="AH2110" s="372">
        <v>0</v>
      </c>
    </row>
    <row r="2111" spans="1:34">
      <c r="A2111" s="372" t="s">
        <v>13695</v>
      </c>
      <c r="B2111" s="372" t="s">
        <v>13696</v>
      </c>
      <c r="C2111" s="372" t="s">
        <v>13697</v>
      </c>
      <c r="D2111" s="374">
        <v>1341110063143</v>
      </c>
      <c r="E2111" s="372" t="s">
        <v>13698</v>
      </c>
      <c r="F2111" s="372" t="s">
        <v>2077</v>
      </c>
      <c r="G2111" s="375" t="s">
        <v>2078</v>
      </c>
      <c r="H2111" s="375" t="s">
        <v>868</v>
      </c>
      <c r="I2111" s="375" t="s">
        <v>869</v>
      </c>
      <c r="J2111" s="375">
        <v>13261.39199</v>
      </c>
      <c r="K2111" s="375">
        <v>-13873.74979</v>
      </c>
      <c r="L2111" s="375">
        <v>-15466.24567</v>
      </c>
      <c r="M2111" s="375">
        <v>49809.95506</v>
      </c>
      <c r="N2111" s="372">
        <v>1.022</v>
      </c>
      <c r="O2111" s="703">
        <v>35.507365145408485</v>
      </c>
      <c r="P2111" s="562" t="s">
        <v>623</v>
      </c>
      <c r="Q2111" s="372" t="s">
        <v>623</v>
      </c>
      <c r="R2111" s="695">
        <v>20151214</v>
      </c>
      <c r="S2111" s="372" t="s">
        <v>13699</v>
      </c>
      <c r="T2111" s="696" t="s">
        <v>772</v>
      </c>
      <c r="U2111" s="372" t="s">
        <v>13700</v>
      </c>
      <c r="V2111" s="722" t="s">
        <v>774</v>
      </c>
      <c r="W2111" s="722">
        <v>1.18</v>
      </c>
      <c r="X2111" s="722">
        <v>4.83</v>
      </c>
      <c r="Y2111" s="722" t="s">
        <v>774</v>
      </c>
      <c r="Z2111" s="382" t="s">
        <v>934</v>
      </c>
      <c r="AA2111" s="372">
        <v>680.54458399999999</v>
      </c>
      <c r="AB2111" s="372">
        <v>492.96023350000002</v>
      </c>
      <c r="AC2111" s="372">
        <v>287.53861799999999</v>
      </c>
      <c r="AD2111" s="372">
        <v>132.61391990000001</v>
      </c>
      <c r="AE2111" s="372">
        <v>0</v>
      </c>
      <c r="AF2111" s="372">
        <v>0</v>
      </c>
      <c r="AG2111" s="372">
        <v>0</v>
      </c>
      <c r="AH2111" s="372">
        <v>0</v>
      </c>
    </row>
    <row r="2112" spans="1:34">
      <c r="A2112" s="372" t="s">
        <v>13701</v>
      </c>
      <c r="B2112" s="372" t="s">
        <v>13702</v>
      </c>
      <c r="C2112" s="372" t="s">
        <v>13703</v>
      </c>
      <c r="D2112" s="374">
        <v>1801110027078</v>
      </c>
      <c r="E2112" s="372" t="s">
        <v>13704</v>
      </c>
      <c r="F2112" s="372" t="s">
        <v>2030</v>
      </c>
      <c r="G2112" s="375" t="s">
        <v>2030</v>
      </c>
      <c r="H2112" s="375" t="s">
        <v>797</v>
      </c>
      <c r="I2112" s="375" t="s">
        <v>755</v>
      </c>
      <c r="J2112" s="375">
        <v>292311.69983</v>
      </c>
      <c r="K2112" s="375">
        <v>9395.6014300000006</v>
      </c>
      <c r="L2112" s="375">
        <v>7886.0957600000002</v>
      </c>
      <c r="M2112" s="375">
        <v>67527.956250000003</v>
      </c>
      <c r="N2112" s="372">
        <v>0.88800000000000001</v>
      </c>
      <c r="O2112" s="703">
        <v>196.9980649713392</v>
      </c>
      <c r="P2112" s="562" t="s">
        <v>623</v>
      </c>
      <c r="Q2112" s="372" t="s">
        <v>623</v>
      </c>
      <c r="R2112" s="695">
        <v>19900125</v>
      </c>
      <c r="S2112" s="372" t="s">
        <v>13705</v>
      </c>
      <c r="T2112" s="696">
        <v>0.20900000000000002</v>
      </c>
      <c r="U2112" s="372" t="s">
        <v>13706</v>
      </c>
      <c r="V2112" s="722">
        <v>0</v>
      </c>
      <c r="W2112" s="722">
        <v>0.68</v>
      </c>
      <c r="X2112" s="722">
        <v>0</v>
      </c>
      <c r="Y2112" s="722">
        <v>0</v>
      </c>
      <c r="Z2112" s="382" t="s">
        <v>934</v>
      </c>
      <c r="AA2112" s="372">
        <v>1793.9756957</v>
      </c>
      <c r="AB2112" s="372">
        <v>2355.2377127</v>
      </c>
      <c r="AC2112" s="372">
        <v>2848.5084262</v>
      </c>
      <c r="AD2112" s="372">
        <v>2923.1169983</v>
      </c>
      <c r="AE2112" s="372">
        <v>0</v>
      </c>
      <c r="AF2112" s="372">
        <v>0</v>
      </c>
      <c r="AG2112" s="372">
        <v>0</v>
      </c>
      <c r="AH2112" s="372">
        <v>0</v>
      </c>
    </row>
    <row r="2113" spans="1:34">
      <c r="A2113" s="372" t="s">
        <v>13707</v>
      </c>
      <c r="B2113" s="372" t="s">
        <v>13708</v>
      </c>
      <c r="C2113" s="372" t="s">
        <v>13709</v>
      </c>
      <c r="D2113" s="374">
        <v>1101111353153</v>
      </c>
      <c r="E2113" s="372" t="s">
        <v>13710</v>
      </c>
      <c r="F2113" s="372" t="s">
        <v>2858</v>
      </c>
      <c r="G2113" s="375" t="s">
        <v>2858</v>
      </c>
      <c r="H2113" s="375" t="s">
        <v>1388</v>
      </c>
      <c r="I2113" s="375" t="s">
        <v>869</v>
      </c>
      <c r="J2113" s="375">
        <v>170733.61769000001</v>
      </c>
      <c r="K2113" s="375">
        <v>17094.548309999998</v>
      </c>
      <c r="L2113" s="375">
        <v>18471.369299999998</v>
      </c>
      <c r="M2113" s="375">
        <v>98048.651150000005</v>
      </c>
      <c r="N2113" s="372">
        <v>1.1220000000000001</v>
      </c>
      <c r="O2113" s="703">
        <v>51.950570888684908</v>
      </c>
      <c r="P2113" s="562" t="s">
        <v>623</v>
      </c>
      <c r="Q2113" s="372" t="s">
        <v>623</v>
      </c>
      <c r="R2113" s="695">
        <v>20020201</v>
      </c>
      <c r="S2113" s="372" t="s">
        <v>13711</v>
      </c>
      <c r="T2113" s="696">
        <v>0.20900000000000002</v>
      </c>
      <c r="U2113" s="372" t="s">
        <v>13712</v>
      </c>
      <c r="V2113" s="722">
        <v>4.5599999999999996</v>
      </c>
      <c r="W2113" s="722">
        <v>0.83</v>
      </c>
      <c r="X2113" s="722">
        <v>0.3</v>
      </c>
      <c r="Y2113" s="722">
        <v>3.79</v>
      </c>
      <c r="Z2113" s="382" t="s">
        <v>934</v>
      </c>
      <c r="AA2113" s="372">
        <v>1327.7739223999999</v>
      </c>
      <c r="AB2113" s="372">
        <v>1564.6330425000001</v>
      </c>
      <c r="AC2113" s="372">
        <v>1476.0318393</v>
      </c>
      <c r="AD2113" s="372">
        <v>1707.3361769000001</v>
      </c>
      <c r="AE2113" s="372">
        <v>0</v>
      </c>
      <c r="AF2113" s="372">
        <v>0</v>
      </c>
      <c r="AG2113" s="372">
        <v>0</v>
      </c>
      <c r="AH2113" s="372">
        <v>0</v>
      </c>
    </row>
    <row r="2114" spans="1:34">
      <c r="A2114" s="372" t="s">
        <v>13713</v>
      </c>
      <c r="B2114" s="372" t="s">
        <v>13714</v>
      </c>
      <c r="C2114" s="372" t="s">
        <v>13715</v>
      </c>
      <c r="D2114" s="374">
        <v>1101110555479</v>
      </c>
      <c r="E2114" s="372" t="s">
        <v>13716</v>
      </c>
      <c r="F2114" s="372" t="s">
        <v>13717</v>
      </c>
      <c r="G2114" s="375" t="s">
        <v>13717</v>
      </c>
      <c r="H2114" s="375" t="s">
        <v>3127</v>
      </c>
      <c r="I2114" s="375" t="s">
        <v>869</v>
      </c>
      <c r="J2114" s="375">
        <v>83889.908320000002</v>
      </c>
      <c r="K2114" s="375">
        <v>-2592.00587</v>
      </c>
      <c r="L2114" s="375">
        <v>-10134.498509999999</v>
      </c>
      <c r="M2114" s="375">
        <v>32698.742610000001</v>
      </c>
      <c r="N2114" s="372">
        <v>0.70599999999999996</v>
      </c>
      <c r="O2114" s="703">
        <v>68.647759653644329</v>
      </c>
      <c r="P2114" s="562" t="s">
        <v>623</v>
      </c>
      <c r="Q2114" s="372" t="s">
        <v>623</v>
      </c>
      <c r="R2114" s="695">
        <v>20010622</v>
      </c>
      <c r="S2114" s="372" t="s">
        <v>13718</v>
      </c>
      <c r="T2114" s="696" t="s">
        <v>772</v>
      </c>
      <c r="U2114" s="372" t="s">
        <v>13719</v>
      </c>
      <c r="V2114" s="722" t="s">
        <v>774</v>
      </c>
      <c r="W2114" s="722">
        <v>1.17</v>
      </c>
      <c r="X2114" s="722">
        <v>0.53</v>
      </c>
      <c r="Y2114" s="722" t="s">
        <v>774</v>
      </c>
      <c r="Z2114" s="382" t="s">
        <v>934</v>
      </c>
      <c r="AA2114" s="372">
        <v>341.48500680000001</v>
      </c>
      <c r="AB2114" s="372">
        <v>610.04238220000002</v>
      </c>
      <c r="AC2114" s="372">
        <v>675.36187299999995</v>
      </c>
      <c r="AD2114" s="372">
        <v>838.89908319999995</v>
      </c>
      <c r="AE2114" s="372">
        <v>0</v>
      </c>
      <c r="AF2114" s="372">
        <v>0</v>
      </c>
      <c r="AG2114" s="372">
        <v>0</v>
      </c>
      <c r="AH2114" s="372">
        <v>0</v>
      </c>
    </row>
    <row r="2115" spans="1:34">
      <c r="A2115" s="372" t="s">
        <v>13720</v>
      </c>
      <c r="B2115" s="372" t="s">
        <v>13721</v>
      </c>
      <c r="C2115" s="372" t="s">
        <v>13722</v>
      </c>
      <c r="D2115" s="374">
        <v>1301110049246</v>
      </c>
      <c r="E2115" s="372" t="s">
        <v>13723</v>
      </c>
      <c r="F2115" s="372" t="s">
        <v>1285</v>
      </c>
      <c r="G2115" s="375" t="s">
        <v>1285</v>
      </c>
      <c r="H2115" s="375" t="s">
        <v>1388</v>
      </c>
      <c r="I2115" s="375" t="s">
        <v>869</v>
      </c>
      <c r="J2115" s="375">
        <v>74104.681639999995</v>
      </c>
      <c r="K2115" s="375">
        <v>3667.6064200000001</v>
      </c>
      <c r="L2115" s="375">
        <v>4903.4286700000002</v>
      </c>
      <c r="M2115" s="375">
        <v>71680.14589</v>
      </c>
      <c r="N2115" s="372">
        <v>0.72399999999999998</v>
      </c>
      <c r="O2115" s="703">
        <v>9.8435585785804047</v>
      </c>
      <c r="P2115" s="562" t="s">
        <v>623</v>
      </c>
      <c r="Q2115" s="372" t="s">
        <v>623</v>
      </c>
      <c r="R2115" s="695">
        <v>20120321</v>
      </c>
      <c r="S2115" s="372" t="s">
        <v>13724</v>
      </c>
      <c r="T2115" s="696">
        <v>0.20900000000000002</v>
      </c>
      <c r="U2115" s="372" t="s">
        <v>13725</v>
      </c>
      <c r="V2115" s="722">
        <v>7.83</v>
      </c>
      <c r="W2115" s="722">
        <v>0.51</v>
      </c>
      <c r="X2115" s="722">
        <v>0.49</v>
      </c>
      <c r="Y2115" s="722">
        <v>9.08</v>
      </c>
      <c r="Z2115" s="382" t="s">
        <v>934</v>
      </c>
      <c r="AA2115" s="372">
        <v>474.63473720000002</v>
      </c>
      <c r="AB2115" s="372">
        <v>817.83273559999998</v>
      </c>
      <c r="AC2115" s="372">
        <v>930.08781369999997</v>
      </c>
      <c r="AD2115" s="372">
        <v>741.04681640000001</v>
      </c>
      <c r="AE2115" s="372">
        <v>0</v>
      </c>
      <c r="AF2115" s="372">
        <v>0</v>
      </c>
      <c r="AG2115" s="372">
        <v>0</v>
      </c>
      <c r="AH2115" s="372">
        <v>0</v>
      </c>
    </row>
    <row r="2116" spans="1:34">
      <c r="A2116" s="372" t="s">
        <v>13726</v>
      </c>
      <c r="B2116" s="372" t="s">
        <v>13727</v>
      </c>
      <c r="C2116" s="372" t="s">
        <v>13728</v>
      </c>
      <c r="D2116" s="374">
        <v>1101110061765</v>
      </c>
      <c r="E2116" s="372" t="s">
        <v>13729</v>
      </c>
      <c r="F2116" s="372" t="s">
        <v>1761</v>
      </c>
      <c r="G2116" s="375" t="s">
        <v>1761</v>
      </c>
      <c r="H2116" s="375" t="s">
        <v>3127</v>
      </c>
      <c r="I2116" s="375" t="s">
        <v>869</v>
      </c>
      <c r="J2116" s="375">
        <v>1287955.42019</v>
      </c>
      <c r="K2116" s="375">
        <v>26492.122909999998</v>
      </c>
      <c r="L2116" s="375">
        <v>21944.596850000002</v>
      </c>
      <c r="M2116" s="375">
        <v>320286.44419000001</v>
      </c>
      <c r="N2116" s="372">
        <v>1.1839999999999999</v>
      </c>
      <c r="O2116" s="703">
        <v>274.51586967140162</v>
      </c>
      <c r="P2116" s="562" t="s">
        <v>623</v>
      </c>
      <c r="Q2116" s="372" t="s">
        <v>623</v>
      </c>
      <c r="R2116" s="695">
        <v>19991214</v>
      </c>
      <c r="S2116" s="372" t="s">
        <v>13730</v>
      </c>
      <c r="T2116" s="696">
        <v>0.23100000000000001</v>
      </c>
      <c r="U2116" s="372" t="s">
        <v>16113</v>
      </c>
      <c r="V2116" s="722">
        <v>4.0599999999999996</v>
      </c>
      <c r="W2116" s="722">
        <v>0.33</v>
      </c>
      <c r="X2116" s="722">
        <v>0.03</v>
      </c>
      <c r="Y2116" s="722">
        <v>9.02</v>
      </c>
      <c r="Z2116" s="382" t="s">
        <v>934</v>
      </c>
      <c r="AA2116" s="372">
        <v>16469.937741900001</v>
      </c>
      <c r="AB2116" s="372">
        <v>15678.7946309</v>
      </c>
      <c r="AC2116" s="372">
        <v>13795.0283815</v>
      </c>
      <c r="AD2116" s="372">
        <v>12879.5542019</v>
      </c>
      <c r="AE2116" s="372">
        <v>0</v>
      </c>
      <c r="AF2116" s="372">
        <v>0</v>
      </c>
      <c r="AG2116" s="372">
        <v>0</v>
      </c>
      <c r="AH2116" s="372">
        <v>0</v>
      </c>
    </row>
    <row r="2117" spans="1:34">
      <c r="A2117" s="372" t="s">
        <v>13731</v>
      </c>
      <c r="B2117" s="372" t="s">
        <v>13732</v>
      </c>
      <c r="C2117" s="372" t="s">
        <v>13733</v>
      </c>
      <c r="D2117" s="374">
        <v>1101112753873</v>
      </c>
      <c r="E2117" s="372" t="s">
        <v>13734</v>
      </c>
      <c r="F2117" s="372" t="s">
        <v>2055</v>
      </c>
      <c r="G2117" s="375" t="s">
        <v>2056</v>
      </c>
      <c r="H2117" s="375" t="s">
        <v>1547</v>
      </c>
      <c r="I2117" s="375" t="s">
        <v>869</v>
      </c>
      <c r="J2117" s="375">
        <v>0</v>
      </c>
      <c r="K2117" s="375">
        <v>0</v>
      </c>
      <c r="L2117" s="375">
        <v>0</v>
      </c>
      <c r="M2117" s="375">
        <v>22996.805789999999</v>
      </c>
      <c r="N2117" s="372">
        <v>0.879</v>
      </c>
      <c r="O2117" s="703">
        <v>1.2479001194522921</v>
      </c>
      <c r="P2117" s="562" t="s">
        <v>623</v>
      </c>
      <c r="Q2117" s="372" t="s">
        <v>623</v>
      </c>
      <c r="R2117" s="695">
        <v>20141216</v>
      </c>
      <c r="S2117" s="372" t="s">
        <v>13735</v>
      </c>
      <c r="T2117" s="696" t="s">
        <v>772</v>
      </c>
      <c r="U2117" s="372" t="s">
        <v>13736</v>
      </c>
      <c r="V2117" s="722">
        <v>0</v>
      </c>
      <c r="W2117" s="722">
        <v>1.89</v>
      </c>
      <c r="X2117" s="722">
        <v>0</v>
      </c>
      <c r="Y2117" s="722">
        <v>0</v>
      </c>
      <c r="Z2117" s="382" t="s">
        <v>934</v>
      </c>
      <c r="AA2117" s="372">
        <v>283.58572939999999</v>
      </c>
      <c r="AB2117" s="372">
        <v>212.03022910000001</v>
      </c>
      <c r="AC2117" s="372">
        <v>322.29780449999998</v>
      </c>
      <c r="AD2117" s="372">
        <v>175.4330855</v>
      </c>
      <c r="AE2117" s="372">
        <v>0</v>
      </c>
      <c r="AF2117" s="372">
        <v>0</v>
      </c>
      <c r="AG2117" s="372">
        <v>0</v>
      </c>
      <c r="AH2117" s="372">
        <v>0</v>
      </c>
    </row>
    <row r="2118" spans="1:34">
      <c r="A2118" s="372" t="s">
        <v>13737</v>
      </c>
      <c r="B2118" s="372" t="s">
        <v>13738</v>
      </c>
      <c r="C2118" s="372" t="s">
        <v>13739</v>
      </c>
      <c r="D2118" s="374">
        <v>1243110014912</v>
      </c>
      <c r="E2118" s="372" t="s">
        <v>13740</v>
      </c>
      <c r="F2118" s="372" t="s">
        <v>3248</v>
      </c>
      <c r="G2118" s="375" t="s">
        <v>3248</v>
      </c>
      <c r="H2118" s="375" t="s">
        <v>868</v>
      </c>
      <c r="I2118" s="375" t="s">
        <v>869</v>
      </c>
      <c r="J2118" s="375">
        <v>0</v>
      </c>
      <c r="K2118" s="375">
        <v>0</v>
      </c>
      <c r="L2118" s="375">
        <v>0</v>
      </c>
      <c r="M2118" s="375">
        <v>45916.434979999998</v>
      </c>
      <c r="N2118" s="372" t="s">
        <v>1033</v>
      </c>
      <c r="O2118" s="703">
        <v>83.445761611808848</v>
      </c>
      <c r="P2118" s="562" t="s">
        <v>623</v>
      </c>
      <c r="Q2118" s="372" t="s">
        <v>623</v>
      </c>
      <c r="R2118" s="695">
        <v>20230908</v>
      </c>
      <c r="S2118" s="372" t="s">
        <v>13741</v>
      </c>
      <c r="T2118" s="696" t="s">
        <v>772</v>
      </c>
      <c r="U2118" s="372" t="s">
        <v>13742</v>
      </c>
      <c r="V2118" s="722">
        <v>0</v>
      </c>
      <c r="W2118" s="722">
        <v>1.18</v>
      </c>
      <c r="X2118" s="722">
        <v>0</v>
      </c>
      <c r="Y2118" s="722">
        <v>0</v>
      </c>
      <c r="Z2118" s="382" t="s">
        <v>934</v>
      </c>
      <c r="AA2118" s="372">
        <v>385.80000899999999</v>
      </c>
      <c r="AB2118" s="372">
        <v>568.82015969999998</v>
      </c>
      <c r="AC2118" s="372">
        <v>758.22696540000004</v>
      </c>
      <c r="AD2118" s="372">
        <v>726.12466180000001</v>
      </c>
      <c r="AE2118" s="372">
        <v>700</v>
      </c>
      <c r="AF2118" s="372">
        <v>710</v>
      </c>
      <c r="AG2118" s="372">
        <v>0</v>
      </c>
      <c r="AH2118" s="372">
        <v>0</v>
      </c>
    </row>
    <row r="2119" spans="1:34">
      <c r="A2119" s="372" t="s">
        <v>13743</v>
      </c>
      <c r="B2119" s="372" t="s">
        <v>13744</v>
      </c>
      <c r="C2119" s="372" t="s">
        <v>13745</v>
      </c>
      <c r="D2119" s="374">
        <v>1101112376401</v>
      </c>
      <c r="E2119" s="372" t="s">
        <v>13746</v>
      </c>
      <c r="F2119" s="372" t="s">
        <v>5961</v>
      </c>
      <c r="G2119" s="375" t="s">
        <v>5961</v>
      </c>
      <c r="H2119" s="375" t="s">
        <v>868</v>
      </c>
      <c r="I2119" s="375" t="s">
        <v>869</v>
      </c>
      <c r="J2119" s="375">
        <v>80764.375260000001</v>
      </c>
      <c r="K2119" s="375">
        <v>-4542.9654399999999</v>
      </c>
      <c r="L2119" s="375">
        <v>-7199.4789600000004</v>
      </c>
      <c r="M2119" s="375">
        <v>51356.385770000001</v>
      </c>
      <c r="N2119" s="372">
        <v>0.91100000000000003</v>
      </c>
      <c r="O2119" s="703">
        <v>112.73874037279481</v>
      </c>
      <c r="P2119" s="562" t="s">
        <v>623</v>
      </c>
      <c r="Q2119" s="372" t="s">
        <v>623</v>
      </c>
      <c r="R2119" s="695">
        <v>20151125</v>
      </c>
      <c r="S2119" s="372" t="s">
        <v>13747</v>
      </c>
      <c r="T2119" s="696" t="s">
        <v>772</v>
      </c>
      <c r="U2119" s="372" t="s">
        <v>13748</v>
      </c>
      <c r="V2119" s="722" t="s">
        <v>774</v>
      </c>
      <c r="W2119" s="722">
        <v>1.06</v>
      </c>
      <c r="X2119" s="722">
        <v>0.64</v>
      </c>
      <c r="Y2119" s="722" t="s">
        <v>774</v>
      </c>
      <c r="Z2119" s="382" t="s">
        <v>934</v>
      </c>
      <c r="AA2119" s="372">
        <v>507.11572530000001</v>
      </c>
      <c r="AB2119" s="372">
        <v>625.80189929999995</v>
      </c>
      <c r="AC2119" s="372">
        <v>587.76316280000003</v>
      </c>
      <c r="AD2119" s="372">
        <v>807.64375259999997</v>
      </c>
      <c r="AE2119" s="372">
        <v>0</v>
      </c>
      <c r="AF2119" s="372">
        <v>0</v>
      </c>
      <c r="AG2119" s="372">
        <v>0</v>
      </c>
      <c r="AH2119" s="372">
        <v>0</v>
      </c>
    </row>
    <row r="2120" spans="1:34">
      <c r="A2120" s="372" t="s">
        <v>13749</v>
      </c>
      <c r="B2120" s="372" t="s">
        <v>13750</v>
      </c>
      <c r="C2120" s="372" t="s">
        <v>13751</v>
      </c>
      <c r="D2120" s="374">
        <v>2101110024308</v>
      </c>
      <c r="E2120" s="372" t="s">
        <v>13752</v>
      </c>
      <c r="F2120" s="372" t="s">
        <v>1970</v>
      </c>
      <c r="G2120" s="375" t="s">
        <v>2522</v>
      </c>
      <c r="H2120" s="375" t="s">
        <v>868</v>
      </c>
      <c r="I2120" s="375" t="s">
        <v>869</v>
      </c>
      <c r="J2120" s="375">
        <v>78051.381999999998</v>
      </c>
      <c r="K2120" s="375">
        <v>5472.2934100000002</v>
      </c>
      <c r="L2120" s="375">
        <v>9851.2708399999992</v>
      </c>
      <c r="M2120" s="375">
        <v>101754.38770000001</v>
      </c>
      <c r="N2120" s="372">
        <v>1.1559999999999999</v>
      </c>
      <c r="O2120" s="703">
        <v>27.405494997850365</v>
      </c>
      <c r="P2120" s="562" t="s">
        <v>623</v>
      </c>
      <c r="Q2120" s="372" t="s">
        <v>623</v>
      </c>
      <c r="R2120" s="695">
        <v>20100115</v>
      </c>
      <c r="S2120" s="372" t="s">
        <v>13753</v>
      </c>
      <c r="T2120" s="696">
        <v>0.20900000000000002</v>
      </c>
      <c r="U2120" s="372" t="s">
        <v>16114</v>
      </c>
      <c r="V2120" s="722">
        <v>6.36</v>
      </c>
      <c r="W2120" s="722">
        <v>0.39</v>
      </c>
      <c r="X2120" s="722">
        <v>0.54</v>
      </c>
      <c r="Y2120" s="722">
        <v>5.56</v>
      </c>
      <c r="Z2120" s="382" t="s">
        <v>934</v>
      </c>
      <c r="AA2120" s="372">
        <v>488.89581820000001</v>
      </c>
      <c r="AB2120" s="372">
        <v>669.57794019999994</v>
      </c>
      <c r="AC2120" s="372">
        <v>970.4633963</v>
      </c>
      <c r="AD2120" s="372">
        <v>780.51382000000001</v>
      </c>
      <c r="AE2120" s="372">
        <v>0</v>
      </c>
      <c r="AF2120" s="372">
        <v>0</v>
      </c>
      <c r="AG2120" s="372">
        <v>0</v>
      </c>
      <c r="AH2120" s="372">
        <v>0</v>
      </c>
    </row>
    <row r="2121" spans="1:34">
      <c r="A2121" s="372" t="s">
        <v>13754</v>
      </c>
      <c r="B2121" s="372" t="s">
        <v>13755</v>
      </c>
      <c r="C2121" s="372" t="s">
        <v>13756</v>
      </c>
      <c r="D2121" s="374">
        <v>1101110519003</v>
      </c>
      <c r="E2121" s="372" t="s">
        <v>13757</v>
      </c>
      <c r="F2121" s="372" t="s">
        <v>2450</v>
      </c>
      <c r="G2121" s="375" t="s">
        <v>6132</v>
      </c>
      <c r="H2121" s="375" t="s">
        <v>868</v>
      </c>
      <c r="I2121" s="375" t="s">
        <v>869</v>
      </c>
      <c r="J2121" s="375">
        <v>173052.82556999999</v>
      </c>
      <c r="K2121" s="375">
        <v>6949.1545500000002</v>
      </c>
      <c r="L2121" s="375">
        <v>7363.6535999999996</v>
      </c>
      <c r="M2121" s="375">
        <v>84625.308999999994</v>
      </c>
      <c r="N2121" s="372">
        <v>1.1879999999999999</v>
      </c>
      <c r="O2121" s="703">
        <v>20.365450328457563</v>
      </c>
      <c r="P2121" s="562" t="s">
        <v>623</v>
      </c>
      <c r="Q2121" s="372" t="s">
        <v>623</v>
      </c>
      <c r="R2121" s="695">
        <v>20110624</v>
      </c>
      <c r="S2121" s="372" t="s">
        <v>13758</v>
      </c>
      <c r="T2121" s="696">
        <v>0.20900000000000002</v>
      </c>
      <c r="U2121" s="372" t="s">
        <v>13759</v>
      </c>
      <c r="V2121" s="722">
        <v>5.87</v>
      </c>
      <c r="W2121" s="722">
        <v>0.61</v>
      </c>
      <c r="X2121" s="722">
        <v>0.3</v>
      </c>
      <c r="Y2121" s="722">
        <v>6.05</v>
      </c>
      <c r="Z2121" s="382" t="s">
        <v>934</v>
      </c>
      <c r="AA2121" s="372">
        <v>1414.0004676000001</v>
      </c>
      <c r="AB2121" s="372">
        <v>1535.0108195</v>
      </c>
      <c r="AC2121" s="372">
        <v>1641.7818225000001</v>
      </c>
      <c r="AD2121" s="372">
        <v>1730.5282557</v>
      </c>
      <c r="AE2121" s="372">
        <v>0</v>
      </c>
      <c r="AF2121" s="372">
        <v>0</v>
      </c>
      <c r="AG2121" s="372">
        <v>0</v>
      </c>
      <c r="AH2121" s="372">
        <v>0</v>
      </c>
    </row>
    <row r="2122" spans="1:34">
      <c r="A2122" s="372" t="s">
        <v>13760</v>
      </c>
      <c r="B2122" s="372" t="s">
        <v>13761</v>
      </c>
      <c r="C2122" s="372" t="s">
        <v>13762</v>
      </c>
      <c r="D2122" s="374">
        <v>1741110001294</v>
      </c>
      <c r="E2122" s="372" t="s">
        <v>13763</v>
      </c>
      <c r="F2122" s="372" t="s">
        <v>2368</v>
      </c>
      <c r="G2122" s="375" t="s">
        <v>2368</v>
      </c>
      <c r="H2122" s="375" t="s">
        <v>868</v>
      </c>
      <c r="I2122" s="375" t="s">
        <v>869</v>
      </c>
      <c r="J2122" s="375">
        <v>685035.26865999994</v>
      </c>
      <c r="K2122" s="375">
        <v>7819.1377899999998</v>
      </c>
      <c r="L2122" s="375">
        <v>2131.7683400000001</v>
      </c>
      <c r="M2122" s="375">
        <v>122041.08710999999</v>
      </c>
      <c r="N2122" s="372">
        <v>0.79100000000000004</v>
      </c>
      <c r="O2122" s="703">
        <v>90.458310016286646</v>
      </c>
      <c r="P2122" s="562" t="s">
        <v>623</v>
      </c>
      <c r="Q2122" s="372" t="s">
        <v>623</v>
      </c>
      <c r="R2122" s="695">
        <v>19941222</v>
      </c>
      <c r="S2122" s="372" t="s">
        <v>13764</v>
      </c>
      <c r="T2122" s="696">
        <v>0.20900000000000002</v>
      </c>
      <c r="U2122" s="372" t="s">
        <v>13765</v>
      </c>
      <c r="V2122" s="722">
        <v>9.0299999999999994</v>
      </c>
      <c r="W2122" s="722">
        <v>0.42</v>
      </c>
      <c r="X2122" s="722">
        <v>7.0000000000000007E-2</v>
      </c>
      <c r="Y2122" s="722">
        <v>784.94</v>
      </c>
      <c r="Z2122" s="382" t="s">
        <v>934</v>
      </c>
      <c r="AA2122" s="372">
        <v>4922.1338487000003</v>
      </c>
      <c r="AB2122" s="372">
        <v>6830.2094306999998</v>
      </c>
      <c r="AC2122" s="372">
        <v>7104.7983819000001</v>
      </c>
      <c r="AD2122" s="372">
        <v>6850.3526866000002</v>
      </c>
      <c r="AE2122" s="372">
        <v>0</v>
      </c>
      <c r="AF2122" s="372">
        <v>0</v>
      </c>
      <c r="AG2122" s="372">
        <v>0</v>
      </c>
      <c r="AH2122" s="372">
        <v>0</v>
      </c>
    </row>
    <row r="2123" spans="1:34">
      <c r="A2123" s="372" t="s">
        <v>13766</v>
      </c>
      <c r="B2123" s="372" t="s">
        <v>13767</v>
      </c>
      <c r="C2123" s="372" t="s">
        <v>13768</v>
      </c>
      <c r="D2123" s="374">
        <v>1101110101470</v>
      </c>
      <c r="E2123" s="372" t="s">
        <v>13769</v>
      </c>
      <c r="F2123" s="372" t="s">
        <v>900</v>
      </c>
      <c r="G2123" s="375" t="s">
        <v>901</v>
      </c>
      <c r="H2123" s="375" t="s">
        <v>862</v>
      </c>
      <c r="I2123" s="375" t="s">
        <v>755</v>
      </c>
      <c r="J2123" s="375">
        <v>266806.35093000002</v>
      </c>
      <c r="K2123" s="375">
        <v>-24677.103500000001</v>
      </c>
      <c r="L2123" s="375">
        <v>-24471.052220000001</v>
      </c>
      <c r="M2123" s="375">
        <v>386122.13828999997</v>
      </c>
      <c r="N2123" s="372">
        <v>1.0389999999999999</v>
      </c>
      <c r="O2123" s="703">
        <v>139.31419049270812</v>
      </c>
      <c r="P2123" s="562" t="s">
        <v>623</v>
      </c>
      <c r="Q2123" s="372" t="s">
        <v>623</v>
      </c>
      <c r="R2123" s="695">
        <v>19791130</v>
      </c>
      <c r="S2123" s="372" t="s">
        <v>13770</v>
      </c>
      <c r="T2123" s="696" t="s">
        <v>772</v>
      </c>
      <c r="U2123" s="372" t="s">
        <v>13771</v>
      </c>
      <c r="V2123" s="722" t="s">
        <v>774</v>
      </c>
      <c r="W2123" s="722">
        <v>0.3</v>
      </c>
      <c r="X2123" s="722">
        <v>0.16</v>
      </c>
      <c r="Y2123" s="722" t="s">
        <v>774</v>
      </c>
      <c r="Z2123" s="382" t="s">
        <v>934</v>
      </c>
      <c r="AA2123" s="372">
        <v>2214.8044927000001</v>
      </c>
      <c r="AB2123" s="372">
        <v>3311.7639211999999</v>
      </c>
      <c r="AC2123" s="372">
        <v>3239.7988928</v>
      </c>
      <c r="AD2123" s="372">
        <v>2668.0635093000001</v>
      </c>
      <c r="AE2123" s="372">
        <v>0</v>
      </c>
      <c r="AF2123" s="372">
        <v>0</v>
      </c>
      <c r="AG2123" s="372">
        <v>0</v>
      </c>
      <c r="AH2123" s="372">
        <v>0</v>
      </c>
    </row>
    <row r="2124" spans="1:34">
      <c r="A2124" s="372" t="s">
        <v>13772</v>
      </c>
      <c r="B2124" s="372" t="s">
        <v>13773</v>
      </c>
      <c r="C2124" s="372" t="s">
        <v>13774</v>
      </c>
      <c r="D2124" s="374">
        <v>1348110061937</v>
      </c>
      <c r="E2124" s="372" t="s">
        <v>13775</v>
      </c>
      <c r="F2124" s="372" t="s">
        <v>5674</v>
      </c>
      <c r="G2124" s="375" t="s">
        <v>5674</v>
      </c>
      <c r="H2124" s="375" t="s">
        <v>868</v>
      </c>
      <c r="I2124" s="375" t="s">
        <v>869</v>
      </c>
      <c r="J2124" s="375">
        <v>59704.21701</v>
      </c>
      <c r="K2124" s="375">
        <v>3954.6001999999999</v>
      </c>
      <c r="L2124" s="375">
        <v>3692.7601199999999</v>
      </c>
      <c r="M2124" s="375">
        <v>78322.941179999994</v>
      </c>
      <c r="N2124" s="372">
        <v>1.02</v>
      </c>
      <c r="O2124" s="703">
        <v>39.16061347744531</v>
      </c>
      <c r="P2124" s="562" t="s">
        <v>623</v>
      </c>
      <c r="Q2124" s="372" t="s">
        <v>623</v>
      </c>
      <c r="R2124" s="695">
        <v>20111128</v>
      </c>
      <c r="S2124" s="372" t="s">
        <v>13776</v>
      </c>
      <c r="T2124" s="696">
        <v>0.20900000000000002</v>
      </c>
      <c r="U2124" s="372" t="s">
        <v>13777</v>
      </c>
      <c r="V2124" s="722">
        <v>8.39</v>
      </c>
      <c r="W2124" s="722">
        <v>0.61</v>
      </c>
      <c r="X2124" s="722">
        <v>0.83</v>
      </c>
      <c r="Y2124" s="722">
        <v>12.43</v>
      </c>
      <c r="Z2124" s="382" t="s">
        <v>934</v>
      </c>
      <c r="AA2124" s="372">
        <v>484.30159809999998</v>
      </c>
      <c r="AB2124" s="372">
        <v>610.85577999999998</v>
      </c>
      <c r="AC2124" s="372">
        <v>663.25154090000001</v>
      </c>
      <c r="AD2124" s="372">
        <v>597.04217010000002</v>
      </c>
      <c r="AE2124" s="372">
        <v>0</v>
      </c>
      <c r="AF2124" s="372">
        <v>0</v>
      </c>
      <c r="AG2124" s="372">
        <v>0</v>
      </c>
      <c r="AH2124" s="372">
        <v>0</v>
      </c>
    </row>
    <row r="2125" spans="1:34">
      <c r="A2125" s="372" t="s">
        <v>13778</v>
      </c>
      <c r="B2125" s="372" t="s">
        <v>13779</v>
      </c>
      <c r="C2125" s="372" t="s">
        <v>13780</v>
      </c>
      <c r="D2125" s="374">
        <v>1613110004067</v>
      </c>
      <c r="E2125" s="372" t="s">
        <v>13781</v>
      </c>
      <c r="F2125" s="372" t="s">
        <v>1881</v>
      </c>
      <c r="G2125" s="375" t="s">
        <v>1882</v>
      </c>
      <c r="H2125" s="375" t="s">
        <v>868</v>
      </c>
      <c r="I2125" s="375" t="s">
        <v>869</v>
      </c>
      <c r="J2125" s="375">
        <v>47118.90309</v>
      </c>
      <c r="K2125" s="375">
        <v>879.83824000000004</v>
      </c>
      <c r="L2125" s="375">
        <v>-2402.6824799999999</v>
      </c>
      <c r="M2125" s="375">
        <v>49721.24093</v>
      </c>
      <c r="N2125" s="372">
        <v>0.33400000000000002</v>
      </c>
      <c r="O2125" s="703">
        <v>24.110054156867225</v>
      </c>
      <c r="P2125" s="562" t="s">
        <v>623</v>
      </c>
      <c r="Q2125" s="372" t="s">
        <v>623</v>
      </c>
      <c r="R2125" s="695">
        <v>20091201</v>
      </c>
      <c r="S2125" s="372" t="s">
        <v>13782</v>
      </c>
      <c r="T2125" s="696" t="s">
        <v>772</v>
      </c>
      <c r="U2125" s="372" t="s">
        <v>13783</v>
      </c>
      <c r="V2125" s="722">
        <v>0</v>
      </c>
      <c r="W2125" s="722">
        <v>1.1100000000000001</v>
      </c>
      <c r="X2125" s="722">
        <v>0</v>
      </c>
      <c r="Y2125" s="722">
        <v>0</v>
      </c>
      <c r="Z2125" s="382" t="s">
        <v>934</v>
      </c>
      <c r="AA2125" s="372">
        <v>349.49769750000002</v>
      </c>
      <c r="AB2125" s="372">
        <v>380.60141040000002</v>
      </c>
      <c r="AC2125" s="372">
        <v>477.77326420000003</v>
      </c>
      <c r="AD2125" s="372">
        <v>471.18903089999998</v>
      </c>
      <c r="AE2125" s="372">
        <v>0</v>
      </c>
      <c r="AF2125" s="372">
        <v>0</v>
      </c>
      <c r="AG2125" s="372">
        <v>0</v>
      </c>
      <c r="AH2125" s="372">
        <v>0</v>
      </c>
    </row>
    <row r="2126" spans="1:34">
      <c r="A2126" s="372" t="s">
        <v>13784</v>
      </c>
      <c r="B2126" s="372" t="s">
        <v>13785</v>
      </c>
      <c r="C2126" s="372" t="s">
        <v>16213</v>
      </c>
      <c r="D2126" s="374">
        <v>1101112707367</v>
      </c>
      <c r="E2126" s="372" t="s">
        <v>13786</v>
      </c>
      <c r="F2126" s="372" t="s">
        <v>1814</v>
      </c>
      <c r="G2126" s="375" t="s">
        <v>1815</v>
      </c>
      <c r="H2126" s="375" t="s">
        <v>1693</v>
      </c>
      <c r="I2126" s="375" t="s">
        <v>869</v>
      </c>
      <c r="J2126" s="375">
        <v>13443.86267</v>
      </c>
      <c r="K2126" s="375">
        <v>-2100.7742499999999</v>
      </c>
      <c r="L2126" s="375">
        <v>-1466.7766099999999</v>
      </c>
      <c r="M2126" s="375">
        <v>31302.783800000001</v>
      </c>
      <c r="N2126" s="372">
        <v>0.439</v>
      </c>
      <c r="O2126" s="703">
        <v>9.5250281231537906E-2</v>
      </c>
      <c r="P2126" s="562" t="s">
        <v>623</v>
      </c>
      <c r="Q2126" s="372" t="s">
        <v>623</v>
      </c>
      <c r="R2126" s="695">
        <v>20120719</v>
      </c>
      <c r="S2126" s="372" t="s">
        <v>13787</v>
      </c>
      <c r="T2126" s="696" t="s">
        <v>772</v>
      </c>
      <c r="U2126" s="372" t="s">
        <v>13788</v>
      </c>
      <c r="V2126" s="722">
        <v>0</v>
      </c>
      <c r="W2126" s="722">
        <v>1.53</v>
      </c>
      <c r="X2126" s="722">
        <v>0</v>
      </c>
      <c r="Y2126" s="722">
        <v>0</v>
      </c>
      <c r="Z2126" s="382" t="s">
        <v>934</v>
      </c>
      <c r="AA2126" s="372">
        <v>118.3709865</v>
      </c>
      <c r="AB2126" s="372">
        <v>162.63919569999999</v>
      </c>
      <c r="AC2126" s="372">
        <v>182.9880909</v>
      </c>
      <c r="AD2126" s="372">
        <v>134.43862669999999</v>
      </c>
      <c r="AE2126" s="372">
        <v>0</v>
      </c>
      <c r="AF2126" s="372">
        <v>0</v>
      </c>
      <c r="AG2126" s="372">
        <v>0</v>
      </c>
      <c r="AH2126" s="372">
        <v>0</v>
      </c>
    </row>
    <row r="2127" spans="1:34">
      <c r="A2127" s="372" t="s">
        <v>13789</v>
      </c>
      <c r="B2127" s="372" t="s">
        <v>13790</v>
      </c>
      <c r="C2127" s="372" t="s">
        <v>13791</v>
      </c>
      <c r="D2127" s="374">
        <v>1701110001628</v>
      </c>
      <c r="E2127" s="372" t="s">
        <v>13792</v>
      </c>
      <c r="F2127" s="372" t="s">
        <v>9322</v>
      </c>
      <c r="G2127" s="375" t="s">
        <v>9322</v>
      </c>
      <c r="H2127" s="375" t="s">
        <v>868</v>
      </c>
      <c r="I2127" s="375" t="s">
        <v>869</v>
      </c>
      <c r="J2127" s="375">
        <v>228487.09310999999</v>
      </c>
      <c r="K2127" s="375">
        <v>8286.7254599999997</v>
      </c>
      <c r="L2127" s="375">
        <v>5709.0898900000002</v>
      </c>
      <c r="M2127" s="375">
        <v>108222.00801999999</v>
      </c>
      <c r="N2127" s="372">
        <v>0.81399999999999995</v>
      </c>
      <c r="O2127" s="703">
        <v>159.80640377056096</v>
      </c>
      <c r="P2127" s="562" t="s">
        <v>623</v>
      </c>
      <c r="Q2127" s="372" t="s">
        <v>623</v>
      </c>
      <c r="R2127" s="695">
        <v>19931130</v>
      </c>
      <c r="S2127" s="372" t="s">
        <v>13793</v>
      </c>
      <c r="T2127" s="696">
        <v>0.20900000000000002</v>
      </c>
      <c r="U2127" s="372" t="s">
        <v>13794</v>
      </c>
      <c r="V2127" s="722">
        <v>6.77</v>
      </c>
      <c r="W2127" s="722">
        <v>0.52</v>
      </c>
      <c r="X2127" s="722">
        <v>0.22</v>
      </c>
      <c r="Y2127" s="722">
        <v>14.36</v>
      </c>
      <c r="Z2127" s="382" t="s">
        <v>934</v>
      </c>
      <c r="AA2127" s="372">
        <v>1373.3598614</v>
      </c>
      <c r="AB2127" s="372">
        <v>1482.9077588</v>
      </c>
      <c r="AC2127" s="372">
        <v>1839.3229438000001</v>
      </c>
      <c r="AD2127" s="372">
        <v>2284.8709310999998</v>
      </c>
      <c r="AE2127" s="372">
        <v>0</v>
      </c>
      <c r="AF2127" s="372">
        <v>0</v>
      </c>
      <c r="AG2127" s="372">
        <v>0</v>
      </c>
      <c r="AH2127" s="372">
        <v>0</v>
      </c>
    </row>
    <row r="2128" spans="1:34">
      <c r="A2128" s="372" t="s">
        <v>13795</v>
      </c>
      <c r="B2128" s="372" t="s">
        <v>13796</v>
      </c>
      <c r="C2128" s="372" t="s">
        <v>13797</v>
      </c>
      <c r="D2128" s="374">
        <v>1101114362531</v>
      </c>
      <c r="E2128" s="372" t="s">
        <v>13798</v>
      </c>
      <c r="F2128" s="372" t="s">
        <v>2147</v>
      </c>
      <c r="G2128" s="375" t="s">
        <v>4273</v>
      </c>
      <c r="H2128" s="375" t="s">
        <v>868</v>
      </c>
      <c r="I2128" s="375" t="s">
        <v>869</v>
      </c>
      <c r="J2128" s="375">
        <v>26613.904780000001</v>
      </c>
      <c r="K2128" s="375">
        <v>-1778.20417</v>
      </c>
      <c r="L2128" s="375">
        <v>-5577.8885799999998</v>
      </c>
      <c r="M2128" s="375">
        <v>31446.129199999999</v>
      </c>
      <c r="N2128" s="372">
        <v>1.143</v>
      </c>
      <c r="O2128" s="703">
        <v>54.979526738172702</v>
      </c>
      <c r="P2128" s="562" t="s">
        <v>623</v>
      </c>
      <c r="Q2128" s="372" t="s">
        <v>623</v>
      </c>
      <c r="R2128" s="695">
        <v>20181128</v>
      </c>
      <c r="S2128" s="372" t="s">
        <v>13799</v>
      </c>
      <c r="T2128" s="696" t="s">
        <v>772</v>
      </c>
      <c r="U2128" s="372" t="s">
        <v>13800</v>
      </c>
      <c r="V2128" s="722">
        <v>94.16</v>
      </c>
      <c r="W2128" s="722">
        <v>1.66</v>
      </c>
      <c r="X2128" s="722">
        <v>1.1299999999999999</v>
      </c>
      <c r="Y2128" s="722" t="s">
        <v>774</v>
      </c>
      <c r="Z2128" s="382" t="s">
        <v>934</v>
      </c>
      <c r="AA2128" s="372">
        <v>186.2467661</v>
      </c>
      <c r="AB2128" s="372">
        <v>231.58185839999999</v>
      </c>
      <c r="AC2128" s="372">
        <v>262.01602580000002</v>
      </c>
      <c r="AD2128" s="372">
        <v>266.13904780000001</v>
      </c>
      <c r="AE2128" s="372">
        <v>0</v>
      </c>
      <c r="AF2128" s="372">
        <v>0</v>
      </c>
      <c r="AG2128" s="372">
        <v>0</v>
      </c>
      <c r="AH2128" s="372">
        <v>0</v>
      </c>
    </row>
    <row r="2129" spans="1:34">
      <c r="A2129" s="372" t="s">
        <v>13801</v>
      </c>
      <c r="B2129" s="372" t="s">
        <v>13802</v>
      </c>
      <c r="C2129" s="372" t="s">
        <v>13803</v>
      </c>
      <c r="D2129" s="374">
        <v>1101111784457</v>
      </c>
      <c r="E2129" s="372" t="s">
        <v>13804</v>
      </c>
      <c r="F2129" s="372" t="s">
        <v>5824</v>
      </c>
      <c r="G2129" s="375" t="s">
        <v>5824</v>
      </c>
      <c r="H2129" s="375" t="s">
        <v>1388</v>
      </c>
      <c r="I2129" s="375" t="s">
        <v>869</v>
      </c>
      <c r="J2129" s="375">
        <v>0</v>
      </c>
      <c r="K2129" s="375">
        <v>0</v>
      </c>
      <c r="L2129" s="375">
        <v>0</v>
      </c>
      <c r="M2129" s="375">
        <v>0</v>
      </c>
      <c r="N2129" s="372">
        <v>0.86799999999999999</v>
      </c>
      <c r="O2129" s="703">
        <v>0</v>
      </c>
      <c r="P2129" s="562" t="s">
        <v>623</v>
      </c>
      <c r="Q2129" s="372" t="s">
        <v>623</v>
      </c>
      <c r="R2129" s="695">
        <v>20071218</v>
      </c>
      <c r="S2129" s="372" t="s">
        <v>13805</v>
      </c>
      <c r="T2129" s="696" t="s">
        <v>772</v>
      </c>
      <c r="U2129" s="372" t="s">
        <v>13806</v>
      </c>
      <c r="V2129" s="722">
        <v>0</v>
      </c>
      <c r="W2129" s="722">
        <v>0</v>
      </c>
      <c r="X2129" s="722">
        <v>0</v>
      </c>
      <c r="Y2129" s="722">
        <v>0</v>
      </c>
      <c r="Z2129" s="382" t="s">
        <v>774</v>
      </c>
      <c r="AA2129" s="372">
        <v>747.70792740000002</v>
      </c>
      <c r="AB2129" s="372">
        <v>802.05503050000004</v>
      </c>
      <c r="AC2129" s="372">
        <v>1006.1478593000001</v>
      </c>
      <c r="AD2129" s="372">
        <v>0</v>
      </c>
      <c r="AE2129" s="372">
        <v>0</v>
      </c>
      <c r="AF2129" s="372">
        <v>0</v>
      </c>
      <c r="AG2129" s="372">
        <v>0</v>
      </c>
      <c r="AH2129" s="372">
        <v>0</v>
      </c>
    </row>
    <row r="2130" spans="1:34">
      <c r="A2130" s="372" t="s">
        <v>13807</v>
      </c>
      <c r="B2130" s="372" t="s">
        <v>13808</v>
      </c>
      <c r="C2130" s="372" t="s">
        <v>13809</v>
      </c>
      <c r="D2130" s="374">
        <v>1101114736520</v>
      </c>
      <c r="E2130" s="372" t="s">
        <v>13810</v>
      </c>
      <c r="F2130" s="372" t="s">
        <v>1814</v>
      </c>
      <c r="G2130" s="375" t="s">
        <v>2821</v>
      </c>
      <c r="H2130" s="375" t="s">
        <v>1693</v>
      </c>
      <c r="I2130" s="375" t="s">
        <v>869</v>
      </c>
      <c r="J2130" s="375">
        <v>16219.15021</v>
      </c>
      <c r="K2130" s="375">
        <v>-1283.0474200000001</v>
      </c>
      <c r="L2130" s="375">
        <v>-958.96864000000005</v>
      </c>
      <c r="M2130" s="375">
        <v>13154.432360000001</v>
      </c>
      <c r="N2130" s="372">
        <v>0.63100000000000001</v>
      </c>
      <c r="O2130" s="703">
        <v>13.559543487142401</v>
      </c>
      <c r="P2130" s="562" t="s">
        <v>623</v>
      </c>
      <c r="Q2130" s="372" t="s">
        <v>623</v>
      </c>
      <c r="R2130" s="695">
        <v>20161129</v>
      </c>
      <c r="S2130" s="372" t="s">
        <v>13811</v>
      </c>
      <c r="T2130" s="696" t="s">
        <v>772</v>
      </c>
      <c r="U2130" s="372" t="s">
        <v>13812</v>
      </c>
      <c r="V2130" s="722">
        <v>0</v>
      </c>
      <c r="W2130" s="722">
        <v>4.33</v>
      </c>
      <c r="X2130" s="722">
        <v>0</v>
      </c>
      <c r="Y2130" s="722">
        <v>0</v>
      </c>
      <c r="Z2130" s="382" t="s">
        <v>934</v>
      </c>
      <c r="AA2130" s="372">
        <v>149.13030409999999</v>
      </c>
      <c r="AB2130" s="372">
        <v>219.22928379999999</v>
      </c>
      <c r="AC2130" s="372">
        <v>395.15795100000003</v>
      </c>
      <c r="AD2130" s="372">
        <v>162.19150210000001</v>
      </c>
      <c r="AE2130" s="372">
        <v>0</v>
      </c>
      <c r="AF2130" s="372">
        <v>0</v>
      </c>
      <c r="AG2130" s="372">
        <v>0</v>
      </c>
      <c r="AH2130" s="372">
        <v>0</v>
      </c>
    </row>
    <row r="2131" spans="1:34">
      <c r="A2131" s="372" t="s">
        <v>13813</v>
      </c>
      <c r="B2131" s="372" t="s">
        <v>13814</v>
      </c>
      <c r="C2131" s="372" t="s">
        <v>13815</v>
      </c>
      <c r="D2131" s="374">
        <v>1341110125604</v>
      </c>
      <c r="E2131" s="372" t="s">
        <v>13816</v>
      </c>
      <c r="F2131" s="372" t="s">
        <v>1814</v>
      </c>
      <c r="G2131" s="375" t="s">
        <v>2821</v>
      </c>
      <c r="H2131" s="375" t="s">
        <v>1693</v>
      </c>
      <c r="I2131" s="375" t="s">
        <v>869</v>
      </c>
      <c r="J2131" s="375">
        <v>0</v>
      </c>
      <c r="K2131" s="375">
        <v>0</v>
      </c>
      <c r="L2131" s="375">
        <v>0</v>
      </c>
      <c r="M2131" s="375">
        <v>19054.469639999999</v>
      </c>
      <c r="N2131" s="372" t="s">
        <v>1033</v>
      </c>
      <c r="O2131" s="703">
        <v>2.5347157721749487</v>
      </c>
      <c r="P2131" s="562" t="s">
        <v>623</v>
      </c>
      <c r="Q2131" s="372" t="s">
        <v>623</v>
      </c>
      <c r="R2131" s="695">
        <v>20231103</v>
      </c>
      <c r="S2131" s="372" t="s">
        <v>13817</v>
      </c>
      <c r="T2131" s="696" t="s">
        <v>772</v>
      </c>
      <c r="U2131" s="372" t="s">
        <v>13818</v>
      </c>
      <c r="V2131" s="722">
        <v>0</v>
      </c>
      <c r="W2131" s="722">
        <v>2.2200000000000002</v>
      </c>
      <c r="X2131" s="722">
        <v>0</v>
      </c>
      <c r="Y2131" s="722">
        <v>0</v>
      </c>
      <c r="Z2131" s="382" t="s">
        <v>934</v>
      </c>
      <c r="AA2131" s="372">
        <v>72.770438900000002</v>
      </c>
      <c r="AB2131" s="372">
        <v>78.625559800000005</v>
      </c>
      <c r="AC2131" s="372">
        <v>97.228191800000005</v>
      </c>
      <c r="AD2131" s="372">
        <v>104.5935235</v>
      </c>
      <c r="AE2131" s="372">
        <v>0</v>
      </c>
      <c r="AF2131" s="372">
        <v>0</v>
      </c>
      <c r="AG2131" s="372">
        <v>0</v>
      </c>
      <c r="AH2131" s="372">
        <v>0</v>
      </c>
    </row>
    <row r="2132" spans="1:34">
      <c r="A2132" s="372" t="s">
        <v>13819</v>
      </c>
      <c r="B2132" s="372" t="s">
        <v>13820</v>
      </c>
      <c r="C2132" s="372" t="s">
        <v>13821</v>
      </c>
      <c r="D2132" s="374">
        <v>1101111892903</v>
      </c>
      <c r="E2132" s="372" t="s">
        <v>13822</v>
      </c>
      <c r="F2132" s="372" t="s">
        <v>2858</v>
      </c>
      <c r="G2132" s="375" t="s">
        <v>2859</v>
      </c>
      <c r="H2132" s="375" t="s">
        <v>868</v>
      </c>
      <c r="I2132" s="375" t="s">
        <v>869</v>
      </c>
      <c r="J2132" s="375">
        <v>51382.692329999998</v>
      </c>
      <c r="K2132" s="375">
        <v>1567.91263</v>
      </c>
      <c r="L2132" s="375">
        <v>2708.32096</v>
      </c>
      <c r="M2132" s="375">
        <v>39837.085939999997</v>
      </c>
      <c r="N2132" s="372">
        <v>0.88400000000000001</v>
      </c>
      <c r="O2132" s="703">
        <v>21.574973448825212</v>
      </c>
      <c r="P2132" s="562" t="s">
        <v>623</v>
      </c>
      <c r="Q2132" s="372" t="s">
        <v>623</v>
      </c>
      <c r="R2132" s="695">
        <v>20140723</v>
      </c>
      <c r="S2132" s="372" t="s">
        <v>13823</v>
      </c>
      <c r="T2132" s="696">
        <v>0.20900000000000002</v>
      </c>
      <c r="U2132" s="372" t="s">
        <v>13824</v>
      </c>
      <c r="V2132" s="722">
        <v>19.07</v>
      </c>
      <c r="W2132" s="722">
        <v>1.07</v>
      </c>
      <c r="X2132" s="722">
        <v>0.95</v>
      </c>
      <c r="Y2132" s="722">
        <v>15.98</v>
      </c>
      <c r="Z2132" s="382" t="s">
        <v>934</v>
      </c>
      <c r="AA2132" s="372">
        <v>437.89955559999999</v>
      </c>
      <c r="AB2132" s="372">
        <v>390.23421969999998</v>
      </c>
      <c r="AC2132" s="372">
        <v>462.53418620000002</v>
      </c>
      <c r="AD2132" s="372">
        <v>513.82692329999998</v>
      </c>
      <c r="AE2132" s="372">
        <v>0</v>
      </c>
      <c r="AF2132" s="372">
        <v>0</v>
      </c>
      <c r="AG2132" s="372">
        <v>0</v>
      </c>
      <c r="AH2132" s="372">
        <v>0</v>
      </c>
    </row>
    <row r="2133" spans="1:34">
      <c r="A2133" s="372" t="s">
        <v>13825</v>
      </c>
      <c r="B2133" s="372" t="s">
        <v>13826</v>
      </c>
      <c r="C2133" s="372" t="s">
        <v>13827</v>
      </c>
      <c r="D2133" s="374">
        <v>1101117128211</v>
      </c>
      <c r="E2133" s="372" t="s">
        <v>13828</v>
      </c>
      <c r="F2133" s="372" t="s">
        <v>5824</v>
      </c>
      <c r="G2133" s="375" t="s">
        <v>5824</v>
      </c>
      <c r="H2133" s="375" t="s">
        <v>1693</v>
      </c>
      <c r="I2133" s="375" t="s">
        <v>869</v>
      </c>
      <c r="J2133" s="375">
        <v>49340.647400000002</v>
      </c>
      <c r="K2133" s="375">
        <v>-88.856949999999998</v>
      </c>
      <c r="L2133" s="375">
        <v>570.50473</v>
      </c>
      <c r="M2133" s="375">
        <v>22962.448830000001</v>
      </c>
      <c r="N2133" s="372">
        <v>0.66</v>
      </c>
      <c r="O2133" s="703">
        <v>0.12002442111981378</v>
      </c>
      <c r="P2133" s="562" t="s">
        <v>623</v>
      </c>
      <c r="Q2133" s="372" t="s">
        <v>623</v>
      </c>
      <c r="R2133" s="695">
        <v>20190820</v>
      </c>
      <c r="S2133" s="372" t="s">
        <v>13829</v>
      </c>
      <c r="T2133" s="696">
        <v>0.20900000000000002</v>
      </c>
      <c r="U2133" s="372" t="s">
        <v>13830</v>
      </c>
      <c r="V2133" s="722">
        <v>265.66000000000003</v>
      </c>
      <c r="W2133" s="722">
        <v>2.17</v>
      </c>
      <c r="X2133" s="722">
        <v>1.01</v>
      </c>
      <c r="Y2133" s="722">
        <v>65.5</v>
      </c>
      <c r="Z2133" s="382" t="s">
        <v>934</v>
      </c>
      <c r="AA2133" s="372">
        <v>294.652873</v>
      </c>
      <c r="AB2133" s="372">
        <v>400.1605419</v>
      </c>
      <c r="AC2133" s="372">
        <v>313.49477150000001</v>
      </c>
      <c r="AD2133" s="372">
        <v>493.406474</v>
      </c>
      <c r="AE2133" s="372">
        <v>0</v>
      </c>
      <c r="AF2133" s="372">
        <v>0</v>
      </c>
      <c r="AG2133" s="372">
        <v>0</v>
      </c>
      <c r="AH2133" s="372">
        <v>0</v>
      </c>
    </row>
    <row r="2134" spans="1:34">
      <c r="A2134" s="372" t="s">
        <v>13831</v>
      </c>
      <c r="B2134" s="372" t="s">
        <v>13832</v>
      </c>
      <c r="C2134" s="372" t="s">
        <v>13833</v>
      </c>
      <c r="D2134" s="374">
        <v>1201110126038</v>
      </c>
      <c r="E2134" s="372" t="s">
        <v>13834</v>
      </c>
      <c r="F2134" s="372" t="s">
        <v>1923</v>
      </c>
      <c r="G2134" s="375" t="s">
        <v>9732</v>
      </c>
      <c r="H2134" s="375" t="s">
        <v>868</v>
      </c>
      <c r="I2134" s="375" t="s">
        <v>869</v>
      </c>
      <c r="J2134" s="375">
        <v>69113.153040000005</v>
      </c>
      <c r="K2134" s="375">
        <v>1627.8099500000001</v>
      </c>
      <c r="L2134" s="375">
        <v>275.20168999999999</v>
      </c>
      <c r="M2134" s="375">
        <v>52635.301319999999</v>
      </c>
      <c r="N2134" s="372">
        <v>0.82399999999999995</v>
      </c>
      <c r="O2134" s="703">
        <v>72.977542515506372</v>
      </c>
      <c r="P2134" s="562" t="s">
        <v>623</v>
      </c>
      <c r="Q2134" s="372" t="s">
        <v>623</v>
      </c>
      <c r="R2134" s="695">
        <v>20020108</v>
      </c>
      <c r="S2134" s="372" t="s">
        <v>13835</v>
      </c>
      <c r="T2134" s="696">
        <v>0.20900000000000002</v>
      </c>
      <c r="U2134" s="372" t="s">
        <v>13836</v>
      </c>
      <c r="V2134" s="722">
        <v>0</v>
      </c>
      <c r="W2134" s="722">
        <v>0.89</v>
      </c>
      <c r="X2134" s="722">
        <v>0</v>
      </c>
      <c r="Y2134" s="722">
        <v>0</v>
      </c>
      <c r="Z2134" s="382" t="s">
        <v>934</v>
      </c>
      <c r="AA2134" s="372">
        <v>320.39780480000002</v>
      </c>
      <c r="AB2134" s="372">
        <v>533.30417409999995</v>
      </c>
      <c r="AC2134" s="372">
        <v>669.92658440000002</v>
      </c>
      <c r="AD2134" s="372">
        <v>691.13153039999997</v>
      </c>
      <c r="AE2134" s="372">
        <v>0</v>
      </c>
      <c r="AF2134" s="372">
        <v>0</v>
      </c>
      <c r="AG2134" s="372">
        <v>0</v>
      </c>
      <c r="AH2134" s="372">
        <v>0</v>
      </c>
    </row>
    <row r="2135" spans="1:34">
      <c r="A2135" s="372" t="s">
        <v>13837</v>
      </c>
      <c r="B2135" s="372" t="s">
        <v>13838</v>
      </c>
      <c r="C2135" s="372" t="s">
        <v>13839</v>
      </c>
      <c r="D2135" s="374">
        <v>1350110085255</v>
      </c>
      <c r="E2135" s="372" t="s">
        <v>13840</v>
      </c>
      <c r="F2135" s="372" t="s">
        <v>1259</v>
      </c>
      <c r="G2135" s="375" t="s">
        <v>1259</v>
      </c>
      <c r="H2135" s="375" t="s">
        <v>868</v>
      </c>
      <c r="I2135" s="375" t="s">
        <v>869</v>
      </c>
      <c r="J2135" s="375">
        <v>68445.262600000002</v>
      </c>
      <c r="K2135" s="375">
        <v>-6744.93192</v>
      </c>
      <c r="L2135" s="375">
        <v>-21058.802780000002</v>
      </c>
      <c r="M2135" s="375">
        <v>89832.324819999994</v>
      </c>
      <c r="N2135" s="372">
        <v>1.044</v>
      </c>
      <c r="O2135" s="703">
        <v>116.77256651079759</v>
      </c>
      <c r="P2135" s="562" t="s">
        <v>623</v>
      </c>
      <c r="Q2135" s="372" t="s">
        <v>623</v>
      </c>
      <c r="R2135" s="695">
        <v>20011102</v>
      </c>
      <c r="S2135" s="372" t="s">
        <v>13841</v>
      </c>
      <c r="T2135" s="696" t="s">
        <v>772</v>
      </c>
      <c r="U2135" s="372" t="s">
        <v>13842</v>
      </c>
      <c r="V2135" s="722" t="s">
        <v>774</v>
      </c>
      <c r="W2135" s="722">
        <v>0.75</v>
      </c>
      <c r="X2135" s="722">
        <v>0.87</v>
      </c>
      <c r="Y2135" s="722" t="s">
        <v>774</v>
      </c>
      <c r="Z2135" s="382" t="s">
        <v>934</v>
      </c>
      <c r="AA2135" s="372">
        <v>709.32860500000004</v>
      </c>
      <c r="AB2135" s="372">
        <v>646.23469009999997</v>
      </c>
      <c r="AC2135" s="372">
        <v>590.00422760000004</v>
      </c>
      <c r="AD2135" s="372">
        <v>684.45262600000001</v>
      </c>
      <c r="AE2135" s="372">
        <v>0</v>
      </c>
      <c r="AF2135" s="372">
        <v>0</v>
      </c>
      <c r="AG2135" s="372">
        <v>0</v>
      </c>
      <c r="AH2135" s="372">
        <v>0</v>
      </c>
    </row>
    <row r="2136" spans="1:34">
      <c r="A2136" s="372" t="s">
        <v>13843</v>
      </c>
      <c r="B2136" s="372" t="s">
        <v>13844</v>
      </c>
      <c r="C2136" s="372" t="s">
        <v>13845</v>
      </c>
      <c r="D2136" s="374">
        <v>1101113356410</v>
      </c>
      <c r="E2136" s="372" t="s">
        <v>13846</v>
      </c>
      <c r="F2136" s="372" t="s">
        <v>10915</v>
      </c>
      <c r="G2136" s="375" t="s">
        <v>10916</v>
      </c>
      <c r="H2136" s="375" t="s">
        <v>1388</v>
      </c>
      <c r="I2136" s="375" t="s">
        <v>869</v>
      </c>
      <c r="J2136" s="375">
        <v>36366.13147</v>
      </c>
      <c r="K2136" s="375">
        <v>5531.2810300000001</v>
      </c>
      <c r="L2136" s="375">
        <v>6992.21443</v>
      </c>
      <c r="M2136" s="375">
        <v>54424.66027</v>
      </c>
      <c r="N2136" s="372">
        <v>0.89400000000000002</v>
      </c>
      <c r="O2136" s="703">
        <v>0.18931141482380057</v>
      </c>
      <c r="P2136" s="562" t="s">
        <v>623</v>
      </c>
      <c r="Q2136" s="372" t="s">
        <v>623</v>
      </c>
      <c r="R2136" s="695">
        <v>20200824</v>
      </c>
      <c r="S2136" s="372" t="s">
        <v>13847</v>
      </c>
      <c r="T2136" s="696">
        <v>0.20900000000000002</v>
      </c>
      <c r="U2136" s="372" t="s">
        <v>13848</v>
      </c>
      <c r="V2136" s="722">
        <v>6.88</v>
      </c>
      <c r="W2136" s="722">
        <v>0.83</v>
      </c>
      <c r="X2136" s="722">
        <v>1.24</v>
      </c>
      <c r="Y2136" s="722">
        <v>7.54</v>
      </c>
      <c r="Z2136" s="382" t="s">
        <v>934</v>
      </c>
      <c r="AA2136" s="372">
        <v>187.33864370000001</v>
      </c>
      <c r="AB2136" s="372">
        <v>260.92880709999997</v>
      </c>
      <c r="AC2136" s="372">
        <v>431.11569100000003</v>
      </c>
      <c r="AD2136" s="372">
        <v>363.66131469999999</v>
      </c>
      <c r="AE2136" s="372">
        <v>530</v>
      </c>
      <c r="AF2136" s="372">
        <v>650</v>
      </c>
      <c r="AG2136" s="372">
        <v>0</v>
      </c>
      <c r="AH2136" s="372">
        <v>0</v>
      </c>
    </row>
    <row r="2137" spans="1:34">
      <c r="A2137" s="372" t="s">
        <v>13849</v>
      </c>
      <c r="B2137" s="372" t="s">
        <v>13850</v>
      </c>
      <c r="C2137" s="372" t="s">
        <v>13851</v>
      </c>
      <c r="D2137" s="374">
        <v>1101112637291</v>
      </c>
      <c r="E2137" s="372" t="s">
        <v>13852</v>
      </c>
      <c r="F2137" s="372" t="s">
        <v>1774</v>
      </c>
      <c r="G2137" s="375" t="s">
        <v>1774</v>
      </c>
      <c r="H2137" s="375" t="s">
        <v>1388</v>
      </c>
      <c r="I2137" s="375" t="s">
        <v>869</v>
      </c>
      <c r="J2137" s="375">
        <v>51942.907899999998</v>
      </c>
      <c r="K2137" s="375">
        <v>4913.3262699999996</v>
      </c>
      <c r="L2137" s="375">
        <v>5291.2769600000001</v>
      </c>
      <c r="M2137" s="375">
        <v>60816.959289999999</v>
      </c>
      <c r="N2137" s="372">
        <v>1.0029999999999999</v>
      </c>
      <c r="O2137" s="703">
        <v>53.884820130987201</v>
      </c>
      <c r="P2137" s="562" t="s">
        <v>623</v>
      </c>
      <c r="Q2137" s="372" t="s">
        <v>623</v>
      </c>
      <c r="R2137" s="695">
        <v>20140808</v>
      </c>
      <c r="S2137" s="372" t="s">
        <v>13853</v>
      </c>
      <c r="T2137" s="696">
        <v>0.20900000000000002</v>
      </c>
      <c r="U2137" s="372" t="s">
        <v>13854</v>
      </c>
      <c r="V2137" s="722">
        <v>5.62</v>
      </c>
      <c r="W2137" s="722">
        <v>0.73</v>
      </c>
      <c r="X2137" s="722">
        <v>0.9</v>
      </c>
      <c r="Y2137" s="722">
        <v>11.84</v>
      </c>
      <c r="Z2137" s="382" t="s">
        <v>934</v>
      </c>
      <c r="AA2137" s="372">
        <v>444.13659380000001</v>
      </c>
      <c r="AB2137" s="372">
        <v>438.77902019999999</v>
      </c>
      <c r="AC2137" s="372">
        <v>449.47291910000001</v>
      </c>
      <c r="AD2137" s="372">
        <v>519.429079</v>
      </c>
      <c r="AE2137" s="372">
        <v>0</v>
      </c>
      <c r="AF2137" s="372">
        <v>0</v>
      </c>
      <c r="AG2137" s="372">
        <v>0</v>
      </c>
      <c r="AH2137" s="372">
        <v>0</v>
      </c>
    </row>
    <row r="2138" spans="1:34">
      <c r="A2138" s="372" t="s">
        <v>13855</v>
      </c>
      <c r="B2138" s="372" t="s">
        <v>13856</v>
      </c>
      <c r="C2138" s="372" t="s">
        <v>13857</v>
      </c>
      <c r="D2138" s="374">
        <v>1101113149287</v>
      </c>
      <c r="E2138" s="372" t="s">
        <v>13858</v>
      </c>
      <c r="F2138" s="372" t="s">
        <v>1381</v>
      </c>
      <c r="G2138" s="375" t="s">
        <v>1381</v>
      </c>
      <c r="H2138" s="375" t="s">
        <v>1693</v>
      </c>
      <c r="I2138" s="375" t="s">
        <v>869</v>
      </c>
      <c r="J2138" s="375">
        <v>0</v>
      </c>
      <c r="K2138" s="375">
        <v>0</v>
      </c>
      <c r="L2138" s="375">
        <v>0</v>
      </c>
      <c r="M2138" s="375">
        <v>38643.780200000001</v>
      </c>
      <c r="N2138" s="372">
        <v>0.96399999999999997</v>
      </c>
      <c r="O2138" s="703">
        <v>0.34570379010118807</v>
      </c>
      <c r="P2138" s="562" t="s">
        <v>16142</v>
      </c>
      <c r="Q2138" s="372" t="s">
        <v>623</v>
      </c>
      <c r="R2138" s="695">
        <v>20210311</v>
      </c>
      <c r="S2138" s="372" t="s">
        <v>13859</v>
      </c>
      <c r="T2138" s="696" t="s">
        <v>772</v>
      </c>
      <c r="U2138" s="372" t="s">
        <v>13860</v>
      </c>
      <c r="V2138" s="722">
        <v>0</v>
      </c>
      <c r="W2138" s="722">
        <v>1.43</v>
      </c>
      <c r="X2138" s="722">
        <v>0</v>
      </c>
      <c r="Y2138" s="722">
        <v>0</v>
      </c>
      <c r="Z2138" s="382" t="s">
        <v>934</v>
      </c>
      <c r="AA2138" s="372">
        <v>206.00081259999999</v>
      </c>
      <c r="AB2138" s="372">
        <v>221.85766039999999</v>
      </c>
      <c r="AC2138" s="372">
        <v>227.5388878</v>
      </c>
      <c r="AD2138" s="372">
        <v>246.7574497</v>
      </c>
      <c r="AE2138" s="372">
        <v>0</v>
      </c>
      <c r="AF2138" s="372">
        <v>0</v>
      </c>
      <c r="AG2138" s="372">
        <v>0</v>
      </c>
      <c r="AH2138" s="372">
        <v>0</v>
      </c>
    </row>
    <row r="2139" spans="1:34">
      <c r="A2139" s="372" t="s">
        <v>13861</v>
      </c>
      <c r="B2139" s="372" t="s">
        <v>13862</v>
      </c>
      <c r="C2139" s="372" t="s">
        <v>13863</v>
      </c>
      <c r="D2139" s="374">
        <v>1101112141672</v>
      </c>
      <c r="E2139" s="372" t="s">
        <v>13864</v>
      </c>
      <c r="F2139" s="372" t="s">
        <v>2888</v>
      </c>
      <c r="G2139" s="375" t="s">
        <v>6039</v>
      </c>
      <c r="H2139" s="375" t="s">
        <v>832</v>
      </c>
      <c r="I2139" s="375" t="s">
        <v>755</v>
      </c>
      <c r="J2139" s="375">
        <v>28281.407520000001</v>
      </c>
      <c r="K2139" s="375">
        <v>-2147.2156300000001</v>
      </c>
      <c r="L2139" s="375">
        <v>-2191.7796199999998</v>
      </c>
      <c r="M2139" s="375">
        <v>32568.37545</v>
      </c>
      <c r="N2139" s="372">
        <v>0.77</v>
      </c>
      <c r="O2139" s="703">
        <v>14.84135783836417</v>
      </c>
      <c r="P2139" s="562" t="s">
        <v>623</v>
      </c>
      <c r="Q2139" s="372" t="s">
        <v>623</v>
      </c>
      <c r="R2139" s="695">
        <v>20010129</v>
      </c>
      <c r="S2139" s="372" t="s">
        <v>13865</v>
      </c>
      <c r="T2139" s="696" t="s">
        <v>772</v>
      </c>
      <c r="U2139" s="372" t="s">
        <v>13866</v>
      </c>
      <c r="V2139" s="722">
        <v>0</v>
      </c>
      <c r="W2139" s="722">
        <v>1.5</v>
      </c>
      <c r="X2139" s="722">
        <v>0</v>
      </c>
      <c r="Y2139" s="722">
        <v>0</v>
      </c>
      <c r="Z2139" s="382" t="s">
        <v>934</v>
      </c>
      <c r="AA2139" s="372">
        <v>432.88270260000002</v>
      </c>
      <c r="AB2139" s="372">
        <v>347.85240800000003</v>
      </c>
      <c r="AC2139" s="372">
        <v>290.90013870000001</v>
      </c>
      <c r="AD2139" s="372">
        <v>282.81407519999999</v>
      </c>
      <c r="AE2139" s="372">
        <v>0</v>
      </c>
      <c r="AF2139" s="372">
        <v>0</v>
      </c>
      <c r="AG2139" s="372">
        <v>0</v>
      </c>
      <c r="AH2139" s="372">
        <v>0</v>
      </c>
    </row>
    <row r="2140" spans="1:34">
      <c r="A2140" s="372" t="s">
        <v>13867</v>
      </c>
      <c r="B2140" s="372" t="s">
        <v>13868</v>
      </c>
      <c r="C2140" s="372" t="s">
        <v>13869</v>
      </c>
      <c r="D2140" s="374">
        <v>1101115829944</v>
      </c>
      <c r="E2140" s="372" t="s">
        <v>13870</v>
      </c>
      <c r="F2140" s="372" t="s">
        <v>1814</v>
      </c>
      <c r="G2140" s="375" t="s">
        <v>1815</v>
      </c>
      <c r="H2140" s="375" t="s">
        <v>1693</v>
      </c>
      <c r="I2140" s="375" t="s">
        <v>869</v>
      </c>
      <c r="J2140" s="375">
        <v>12753.031629999999</v>
      </c>
      <c r="K2140" s="375">
        <v>-2676.7717299999999</v>
      </c>
      <c r="L2140" s="375">
        <v>-1253.4969599999999</v>
      </c>
      <c r="M2140" s="375">
        <v>20664.03642</v>
      </c>
      <c r="N2140" s="372" t="s">
        <v>1033</v>
      </c>
      <c r="O2140" s="703">
        <v>3.1178632409847884</v>
      </c>
      <c r="P2140" s="562" t="s">
        <v>623</v>
      </c>
      <c r="Q2140" s="372" t="s">
        <v>623</v>
      </c>
      <c r="R2140" s="695">
        <v>20221020</v>
      </c>
      <c r="S2140" s="372" t="s">
        <v>13871</v>
      </c>
      <c r="T2140" s="696" t="s">
        <v>772</v>
      </c>
      <c r="U2140" s="372" t="s">
        <v>13872</v>
      </c>
      <c r="V2140" s="722">
        <v>0</v>
      </c>
      <c r="W2140" s="722">
        <v>2.1800000000000002</v>
      </c>
      <c r="X2140" s="722">
        <v>0</v>
      </c>
      <c r="Y2140" s="722">
        <v>0</v>
      </c>
      <c r="Z2140" s="382" t="s">
        <v>934</v>
      </c>
      <c r="AA2140" s="372">
        <v>48.863192900000001</v>
      </c>
      <c r="AB2140" s="372">
        <v>82.091426900000002</v>
      </c>
      <c r="AC2140" s="372">
        <v>87.652562900000007</v>
      </c>
      <c r="AD2140" s="372">
        <v>127.5303163</v>
      </c>
      <c r="AE2140" s="372">
        <v>0</v>
      </c>
      <c r="AF2140" s="372">
        <v>0</v>
      </c>
      <c r="AG2140" s="372">
        <v>0</v>
      </c>
      <c r="AH2140" s="372">
        <v>0</v>
      </c>
    </row>
    <row r="2141" spans="1:34">
      <c r="A2141" s="372" t="s">
        <v>13873</v>
      </c>
      <c r="B2141" s="372" t="s">
        <v>13874</v>
      </c>
      <c r="C2141" s="372" t="s">
        <v>13875</v>
      </c>
      <c r="D2141" s="374">
        <v>1211110117424</v>
      </c>
      <c r="E2141" s="372" t="s">
        <v>13876</v>
      </c>
      <c r="F2141" s="372" t="s">
        <v>1854</v>
      </c>
      <c r="G2141" s="375" t="s">
        <v>1854</v>
      </c>
      <c r="H2141" s="375" t="s">
        <v>3127</v>
      </c>
      <c r="I2141" s="375" t="s">
        <v>869</v>
      </c>
      <c r="J2141" s="375">
        <v>12621.17173</v>
      </c>
      <c r="K2141" s="375">
        <v>-13723.59109</v>
      </c>
      <c r="L2141" s="375">
        <v>-29.34581</v>
      </c>
      <c r="M2141" s="375">
        <v>-20818.252700000001</v>
      </c>
      <c r="N2141" s="372">
        <v>0.69399999999999995</v>
      </c>
      <c r="O2141" s="703">
        <v>58.016177846997572</v>
      </c>
      <c r="P2141" s="562" t="s">
        <v>16142</v>
      </c>
      <c r="Q2141" s="372" t="s">
        <v>16145</v>
      </c>
      <c r="R2141" s="695">
        <v>20151013</v>
      </c>
      <c r="S2141" s="372" t="s">
        <v>13877</v>
      </c>
      <c r="T2141" s="696" t="s">
        <v>772</v>
      </c>
      <c r="U2141" s="372" t="s">
        <v>13878</v>
      </c>
      <c r="V2141" s="722" t="s">
        <v>774</v>
      </c>
      <c r="W2141" s="722" t="s">
        <v>774</v>
      </c>
      <c r="X2141" s="722">
        <v>3.63</v>
      </c>
      <c r="Y2141" s="722">
        <v>23.01</v>
      </c>
      <c r="Z2141" s="382" t="s">
        <v>934</v>
      </c>
      <c r="AA2141" s="372">
        <v>544.16701550000005</v>
      </c>
      <c r="AB2141" s="372">
        <v>293.53914809999998</v>
      </c>
      <c r="AC2141" s="372">
        <v>217.10751819999999</v>
      </c>
      <c r="AD2141" s="372">
        <v>126.2117173</v>
      </c>
      <c r="AE2141" s="372">
        <v>0</v>
      </c>
      <c r="AF2141" s="372">
        <v>0</v>
      </c>
      <c r="AG2141" s="372">
        <v>0</v>
      </c>
      <c r="AH2141" s="372">
        <v>0</v>
      </c>
    </row>
    <row r="2142" spans="1:34">
      <c r="A2142" s="372" t="s">
        <v>13879</v>
      </c>
      <c r="B2142" s="372" t="s">
        <v>13880</v>
      </c>
      <c r="C2142" s="372" t="s">
        <v>13881</v>
      </c>
      <c r="D2142" s="374">
        <v>1101110948997</v>
      </c>
      <c r="E2142" s="372" t="s">
        <v>13882</v>
      </c>
      <c r="F2142" s="372" t="s">
        <v>5182</v>
      </c>
      <c r="G2142" s="375" t="s">
        <v>8194</v>
      </c>
      <c r="H2142" s="375" t="s">
        <v>3127</v>
      </c>
      <c r="I2142" s="375" t="s">
        <v>869</v>
      </c>
      <c r="J2142" s="375">
        <v>73702.238889999993</v>
      </c>
      <c r="K2142" s="375">
        <v>6167.1213900000002</v>
      </c>
      <c r="L2142" s="375">
        <v>6424.0381600000001</v>
      </c>
      <c r="M2142" s="375">
        <v>48695.162080000002</v>
      </c>
      <c r="N2142" s="372">
        <v>1.0009999999999999</v>
      </c>
      <c r="O2142" s="703">
        <v>6.520088868739343</v>
      </c>
      <c r="P2142" s="562" t="s">
        <v>623</v>
      </c>
      <c r="Q2142" s="372" t="s">
        <v>623</v>
      </c>
      <c r="R2142" s="695">
        <v>20111011</v>
      </c>
      <c r="S2142" s="372" t="s">
        <v>13883</v>
      </c>
      <c r="T2142" s="696">
        <v>0.20900000000000002</v>
      </c>
      <c r="U2142" s="372" t="s">
        <v>13884</v>
      </c>
      <c r="V2142" s="722">
        <v>7.03</v>
      </c>
      <c r="W2142" s="722">
        <v>1.1299999999999999</v>
      </c>
      <c r="X2142" s="722">
        <v>0.64</v>
      </c>
      <c r="Y2142" s="722">
        <v>12.17</v>
      </c>
      <c r="Z2142" s="382" t="s">
        <v>934</v>
      </c>
      <c r="AA2142" s="372">
        <v>615.08211610000001</v>
      </c>
      <c r="AB2142" s="372">
        <v>662.80825519999996</v>
      </c>
      <c r="AC2142" s="372">
        <v>722.79688050000004</v>
      </c>
      <c r="AD2142" s="372">
        <v>737.02238890000001</v>
      </c>
      <c r="AE2142" s="372">
        <v>0</v>
      </c>
      <c r="AF2142" s="372">
        <v>0</v>
      </c>
      <c r="AG2142" s="372">
        <v>0</v>
      </c>
      <c r="AH2142" s="372">
        <v>0</v>
      </c>
    </row>
    <row r="2143" spans="1:34">
      <c r="A2143" s="372" t="s">
        <v>13885</v>
      </c>
      <c r="B2143" s="372" t="s">
        <v>13886</v>
      </c>
      <c r="C2143" s="372" t="s">
        <v>13887</v>
      </c>
      <c r="D2143" s="374">
        <v>1701110006412</v>
      </c>
      <c r="E2143" s="372" t="s">
        <v>13888</v>
      </c>
      <c r="F2143" s="372" t="s">
        <v>887</v>
      </c>
      <c r="G2143" s="375" t="s">
        <v>887</v>
      </c>
      <c r="H2143" s="375" t="s">
        <v>797</v>
      </c>
      <c r="I2143" s="375" t="s">
        <v>755</v>
      </c>
      <c r="J2143" s="375">
        <v>797052.50277000002</v>
      </c>
      <c r="K2143" s="375">
        <v>16770.674620000002</v>
      </c>
      <c r="L2143" s="375">
        <v>5174.0246500000003</v>
      </c>
      <c r="M2143" s="375">
        <v>128521.79426</v>
      </c>
      <c r="N2143" s="372">
        <v>1.0329999999999999</v>
      </c>
      <c r="O2143" s="703">
        <v>540.76681418021315</v>
      </c>
      <c r="P2143" s="562" t="s">
        <v>623</v>
      </c>
      <c r="Q2143" s="372" t="s">
        <v>623</v>
      </c>
      <c r="R2143" s="695">
        <v>19860331</v>
      </c>
      <c r="S2143" s="372" t="s">
        <v>861</v>
      </c>
      <c r="T2143" s="696">
        <v>0.20900000000000002</v>
      </c>
      <c r="U2143" s="372" t="s">
        <v>12084</v>
      </c>
      <c r="V2143" s="722">
        <v>5.56</v>
      </c>
      <c r="W2143" s="722">
        <v>0.45</v>
      </c>
      <c r="X2143" s="722">
        <v>0.06</v>
      </c>
      <c r="Y2143" s="722">
        <v>5.76</v>
      </c>
      <c r="Z2143" s="382" t="s">
        <v>934</v>
      </c>
      <c r="AA2143" s="372">
        <v>5211.1123347000002</v>
      </c>
      <c r="AB2143" s="372">
        <v>6277.3285480000004</v>
      </c>
      <c r="AC2143" s="372">
        <v>7402.3100548000002</v>
      </c>
      <c r="AD2143" s="372">
        <v>7970.5250276999996</v>
      </c>
      <c r="AE2143" s="372">
        <v>0</v>
      </c>
      <c r="AF2143" s="372">
        <v>0</v>
      </c>
      <c r="AG2143" s="372">
        <v>0</v>
      </c>
      <c r="AH2143" s="372">
        <v>0</v>
      </c>
    </row>
    <row r="2144" spans="1:34">
      <c r="A2144" s="372" t="s">
        <v>13889</v>
      </c>
      <c r="B2144" s="372" t="s">
        <v>13890</v>
      </c>
      <c r="C2144" s="372" t="s">
        <v>13891</v>
      </c>
      <c r="D2144" s="374">
        <v>1101110084767</v>
      </c>
      <c r="E2144" s="372" t="s">
        <v>13892</v>
      </c>
      <c r="F2144" s="372" t="s">
        <v>7050</v>
      </c>
      <c r="G2144" s="375" t="s">
        <v>13893</v>
      </c>
      <c r="H2144" s="375" t="s">
        <v>853</v>
      </c>
      <c r="I2144" s="375" t="s">
        <v>755</v>
      </c>
      <c r="J2144" s="375">
        <v>224438.68643999999</v>
      </c>
      <c r="K2144" s="375">
        <v>-3581.1919200000002</v>
      </c>
      <c r="L2144" s="375">
        <v>-5895.4042300000001</v>
      </c>
      <c r="M2144" s="375">
        <v>110792.56542</v>
      </c>
      <c r="N2144" s="372">
        <v>1.232</v>
      </c>
      <c r="O2144" s="703">
        <v>91.465932551097424</v>
      </c>
      <c r="P2144" s="562" t="s">
        <v>623</v>
      </c>
      <c r="Q2144" s="372" t="s">
        <v>623</v>
      </c>
      <c r="R2144" s="695">
        <v>19961224</v>
      </c>
      <c r="S2144" s="372" t="s">
        <v>13894</v>
      </c>
      <c r="T2144" s="696" t="s">
        <v>772</v>
      </c>
      <c r="U2144" s="372" t="s">
        <v>13895</v>
      </c>
      <c r="V2144" s="722">
        <v>33.68</v>
      </c>
      <c r="W2144" s="722">
        <v>0.51</v>
      </c>
      <c r="X2144" s="722">
        <v>0.24</v>
      </c>
      <c r="Y2144" s="722" t="s">
        <v>774</v>
      </c>
      <c r="Z2144" s="382" t="s">
        <v>934</v>
      </c>
      <c r="AA2144" s="372">
        <v>2534.2104402999998</v>
      </c>
      <c r="AB2144" s="372">
        <v>2260.7666296000002</v>
      </c>
      <c r="AC2144" s="372">
        <v>3298.7666718999999</v>
      </c>
      <c r="AD2144" s="372">
        <v>2244.3868643999999</v>
      </c>
      <c r="AE2144" s="372">
        <v>0</v>
      </c>
      <c r="AF2144" s="372">
        <v>0</v>
      </c>
      <c r="AG2144" s="372">
        <v>0</v>
      </c>
      <c r="AH2144" s="372">
        <v>0</v>
      </c>
    </row>
    <row r="2145" spans="1:34">
      <c r="A2145" s="372" t="s">
        <v>13896</v>
      </c>
      <c r="B2145" s="372" t="s">
        <v>13897</v>
      </c>
      <c r="C2145" s="372" t="s">
        <v>13898</v>
      </c>
      <c r="D2145" s="374">
        <v>1350110031042</v>
      </c>
      <c r="E2145" s="372" t="s">
        <v>13899</v>
      </c>
      <c r="F2145" s="372" t="s">
        <v>3758</v>
      </c>
      <c r="G2145" s="375" t="s">
        <v>3759</v>
      </c>
      <c r="H2145" s="375" t="s">
        <v>868</v>
      </c>
      <c r="I2145" s="375" t="s">
        <v>869</v>
      </c>
      <c r="J2145" s="375">
        <v>252096.86504</v>
      </c>
      <c r="K2145" s="375">
        <v>10647.84641</v>
      </c>
      <c r="L2145" s="375">
        <v>9437.68887</v>
      </c>
      <c r="M2145" s="375">
        <v>86496.301380000004</v>
      </c>
      <c r="N2145" s="372">
        <v>1.095</v>
      </c>
      <c r="O2145" s="703">
        <v>61.030913118191222</v>
      </c>
      <c r="P2145" s="562" t="s">
        <v>623</v>
      </c>
      <c r="Q2145" s="372" t="s">
        <v>623</v>
      </c>
      <c r="R2145" s="695">
        <v>20030122</v>
      </c>
      <c r="S2145" s="372" t="s">
        <v>13900</v>
      </c>
      <c r="T2145" s="696">
        <v>0.20900000000000002</v>
      </c>
      <c r="U2145" s="372" t="s">
        <v>13901</v>
      </c>
      <c r="V2145" s="722">
        <v>3.22</v>
      </c>
      <c r="W2145" s="722">
        <v>0.54</v>
      </c>
      <c r="X2145" s="722">
        <v>0.18</v>
      </c>
      <c r="Y2145" s="722">
        <v>5.64</v>
      </c>
      <c r="Z2145" s="382" t="s">
        <v>934</v>
      </c>
      <c r="AA2145" s="372">
        <v>1706.9321620000001</v>
      </c>
      <c r="AB2145" s="372">
        <v>1721.0199525</v>
      </c>
      <c r="AC2145" s="372">
        <v>2100.4989559999999</v>
      </c>
      <c r="AD2145" s="372">
        <v>2520.9686504000001</v>
      </c>
      <c r="AE2145" s="372">
        <v>0</v>
      </c>
      <c r="AF2145" s="372">
        <v>0</v>
      </c>
      <c r="AG2145" s="372">
        <v>0</v>
      </c>
      <c r="AH2145" s="372">
        <v>0</v>
      </c>
    </row>
    <row r="2146" spans="1:34">
      <c r="A2146" s="372" t="s">
        <v>13902</v>
      </c>
      <c r="B2146" s="372" t="s">
        <v>13903</v>
      </c>
      <c r="C2146" s="372" t="s">
        <v>13904</v>
      </c>
      <c r="D2146" s="374">
        <v>1101110103707</v>
      </c>
      <c r="E2146" s="372" t="s">
        <v>13905</v>
      </c>
      <c r="F2146" s="372" t="s">
        <v>12405</v>
      </c>
      <c r="G2146" s="375" t="s">
        <v>13906</v>
      </c>
      <c r="H2146" s="375" t="s">
        <v>868</v>
      </c>
      <c r="I2146" s="375" t="s">
        <v>869</v>
      </c>
      <c r="J2146" s="375">
        <v>76640.521219999995</v>
      </c>
      <c r="K2146" s="375">
        <v>942.16884000000005</v>
      </c>
      <c r="L2146" s="375">
        <v>1803.4201700000001</v>
      </c>
      <c r="M2146" s="375">
        <v>48788.09979</v>
      </c>
      <c r="N2146" s="372">
        <v>1.19</v>
      </c>
      <c r="O2146" s="703">
        <v>25.020184035991928</v>
      </c>
      <c r="P2146" s="562" t="s">
        <v>623</v>
      </c>
      <c r="Q2146" s="372" t="s">
        <v>623</v>
      </c>
      <c r="R2146" s="695">
        <v>19940930</v>
      </c>
      <c r="S2146" s="372" t="s">
        <v>13907</v>
      </c>
      <c r="T2146" s="696">
        <v>0.20900000000000002</v>
      </c>
      <c r="U2146" s="372" t="s">
        <v>13908</v>
      </c>
      <c r="V2146" s="722">
        <v>0</v>
      </c>
      <c r="W2146" s="722">
        <v>0.98</v>
      </c>
      <c r="X2146" s="722">
        <v>0</v>
      </c>
      <c r="Y2146" s="722">
        <v>0</v>
      </c>
      <c r="Z2146" s="382" t="s">
        <v>934</v>
      </c>
      <c r="AA2146" s="372">
        <v>643.8605589</v>
      </c>
      <c r="AB2146" s="372">
        <v>550.30165950000003</v>
      </c>
      <c r="AC2146" s="372">
        <v>635.9942006</v>
      </c>
      <c r="AD2146" s="372">
        <v>766.40521220000005</v>
      </c>
      <c r="AE2146" s="372">
        <v>0</v>
      </c>
      <c r="AF2146" s="372">
        <v>0</v>
      </c>
      <c r="AG2146" s="372">
        <v>0</v>
      </c>
      <c r="AH2146" s="372">
        <v>0</v>
      </c>
    </row>
    <row r="2147" spans="1:34">
      <c r="A2147" s="372" t="s">
        <v>13909</v>
      </c>
      <c r="B2147" s="372" t="s">
        <v>13910</v>
      </c>
      <c r="C2147" s="372" t="s">
        <v>13911</v>
      </c>
      <c r="D2147" s="374">
        <v>1101110358956</v>
      </c>
      <c r="E2147" s="372" t="s">
        <v>13912</v>
      </c>
      <c r="F2147" s="372" t="s">
        <v>10011</v>
      </c>
      <c r="G2147" s="375" t="s">
        <v>10011</v>
      </c>
      <c r="H2147" s="375" t="s">
        <v>3127</v>
      </c>
      <c r="I2147" s="375" t="s">
        <v>869</v>
      </c>
      <c r="J2147" s="375">
        <v>8889.0382000000009</v>
      </c>
      <c r="K2147" s="375">
        <v>-6630.3259099999996</v>
      </c>
      <c r="L2147" s="375">
        <v>-7098.6947</v>
      </c>
      <c r="M2147" s="375">
        <v>19695.147919999999</v>
      </c>
      <c r="N2147" s="372">
        <v>0.54700000000000004</v>
      </c>
      <c r="O2147" s="703">
        <v>14.314153723556133</v>
      </c>
      <c r="P2147" s="562" t="s">
        <v>623</v>
      </c>
      <c r="Q2147" s="372" t="s">
        <v>623</v>
      </c>
      <c r="R2147" s="695">
        <v>19970806</v>
      </c>
      <c r="S2147" s="372" t="s">
        <v>13913</v>
      </c>
      <c r="T2147" s="696" t="s">
        <v>772</v>
      </c>
      <c r="U2147" s="372" t="s">
        <v>13914</v>
      </c>
      <c r="V2147" s="722" t="s">
        <v>774</v>
      </c>
      <c r="W2147" s="722">
        <v>2.52</v>
      </c>
      <c r="X2147" s="722">
        <v>5.48</v>
      </c>
      <c r="Y2147" s="722" t="s">
        <v>774</v>
      </c>
      <c r="Z2147" s="382" t="s">
        <v>934</v>
      </c>
      <c r="AA2147" s="372">
        <v>222.31699879999999</v>
      </c>
      <c r="AB2147" s="372">
        <v>112.3896834</v>
      </c>
      <c r="AC2147" s="372">
        <v>128.76707250000001</v>
      </c>
      <c r="AD2147" s="372">
        <v>88.890382000000002</v>
      </c>
      <c r="AE2147" s="372">
        <v>0</v>
      </c>
      <c r="AF2147" s="372">
        <v>0</v>
      </c>
      <c r="AG2147" s="372">
        <v>0</v>
      </c>
      <c r="AH2147" s="372">
        <v>0</v>
      </c>
    </row>
    <row r="2148" spans="1:34">
      <c r="A2148" s="372" t="s">
        <v>13915</v>
      </c>
      <c r="B2148" s="372" t="s">
        <v>13916</v>
      </c>
      <c r="C2148" s="372" t="s">
        <v>13917</v>
      </c>
      <c r="D2148" s="374">
        <v>1301110060490</v>
      </c>
      <c r="E2148" s="372" t="s">
        <v>13918</v>
      </c>
      <c r="F2148" s="372" t="s">
        <v>1187</v>
      </c>
      <c r="G2148" s="375" t="s">
        <v>1188</v>
      </c>
      <c r="H2148" s="375" t="s">
        <v>1388</v>
      </c>
      <c r="I2148" s="375" t="s">
        <v>869</v>
      </c>
      <c r="J2148" s="375">
        <v>27349.339960000001</v>
      </c>
      <c r="K2148" s="375">
        <v>-2149.50056</v>
      </c>
      <c r="L2148" s="375">
        <v>-2626.06738</v>
      </c>
      <c r="M2148" s="375">
        <v>36102.028400000003</v>
      </c>
      <c r="N2148" s="372">
        <v>1.099</v>
      </c>
      <c r="O2148" s="703">
        <v>46.949610563432522</v>
      </c>
      <c r="P2148" s="562" t="s">
        <v>623</v>
      </c>
      <c r="Q2148" s="372" t="s">
        <v>623</v>
      </c>
      <c r="R2148" s="695">
        <v>20081216</v>
      </c>
      <c r="S2148" s="372" t="s">
        <v>13919</v>
      </c>
      <c r="T2148" s="696" t="s">
        <v>772</v>
      </c>
      <c r="U2148" s="372" t="s">
        <v>13920</v>
      </c>
      <c r="V2148" s="722">
        <v>0</v>
      </c>
      <c r="W2148" s="722">
        <v>1.46</v>
      </c>
      <c r="X2148" s="722">
        <v>0</v>
      </c>
      <c r="Y2148" s="722">
        <v>0</v>
      </c>
      <c r="Z2148" s="382" t="s">
        <v>934</v>
      </c>
      <c r="AA2148" s="372">
        <v>291.17320530000001</v>
      </c>
      <c r="AB2148" s="372">
        <v>352.9601892</v>
      </c>
      <c r="AC2148" s="372">
        <v>353.05746399999998</v>
      </c>
      <c r="AD2148" s="372">
        <v>273.49339959999998</v>
      </c>
      <c r="AE2148" s="372">
        <v>0</v>
      </c>
      <c r="AF2148" s="372">
        <v>0</v>
      </c>
      <c r="AG2148" s="372">
        <v>0</v>
      </c>
      <c r="AH2148" s="372">
        <v>0</v>
      </c>
    </row>
    <row r="2149" spans="1:34">
      <c r="A2149" s="372" t="s">
        <v>13921</v>
      </c>
      <c r="B2149" s="372" t="s">
        <v>13922</v>
      </c>
      <c r="C2149" s="372" t="s">
        <v>13923</v>
      </c>
      <c r="D2149" s="374">
        <v>1348110004664</v>
      </c>
      <c r="E2149" s="372" t="s">
        <v>13924</v>
      </c>
      <c r="F2149" s="372" t="s">
        <v>5569</v>
      </c>
      <c r="G2149" s="375" t="s">
        <v>5569</v>
      </c>
      <c r="H2149" s="375" t="s">
        <v>1388</v>
      </c>
      <c r="I2149" s="375" t="s">
        <v>869</v>
      </c>
      <c r="J2149" s="375">
        <v>212735.14475000001</v>
      </c>
      <c r="K2149" s="375">
        <v>-14446.647070000001</v>
      </c>
      <c r="L2149" s="375">
        <v>-21731.801879999999</v>
      </c>
      <c r="M2149" s="375">
        <v>70983.045809999996</v>
      </c>
      <c r="N2149" s="372">
        <v>0.84099999999999997</v>
      </c>
      <c r="O2149" s="703">
        <v>227.57999952178631</v>
      </c>
      <c r="P2149" s="562" t="s">
        <v>623</v>
      </c>
      <c r="Q2149" s="372" t="s">
        <v>623</v>
      </c>
      <c r="R2149" s="695">
        <v>20040204</v>
      </c>
      <c r="S2149" s="372" t="s">
        <v>13925</v>
      </c>
      <c r="T2149" s="696" t="s">
        <v>772</v>
      </c>
      <c r="U2149" s="372" t="s">
        <v>13926</v>
      </c>
      <c r="V2149" s="722" t="s">
        <v>774</v>
      </c>
      <c r="W2149" s="722">
        <v>0.59</v>
      </c>
      <c r="X2149" s="722">
        <v>0.2</v>
      </c>
      <c r="Y2149" s="722" t="s">
        <v>774</v>
      </c>
      <c r="Z2149" s="382" t="s">
        <v>934</v>
      </c>
      <c r="AA2149" s="372">
        <v>1808.0649163999999</v>
      </c>
      <c r="AB2149" s="372">
        <v>2219.5100968000002</v>
      </c>
      <c r="AC2149" s="372">
        <v>2564.8227449999999</v>
      </c>
      <c r="AD2149" s="372">
        <v>2127.3514475000002</v>
      </c>
      <c r="AE2149" s="372">
        <v>0</v>
      </c>
      <c r="AF2149" s="372">
        <v>0</v>
      </c>
      <c r="AG2149" s="372">
        <v>0</v>
      </c>
      <c r="AH2149" s="372">
        <v>0</v>
      </c>
    </row>
    <row r="2150" spans="1:34">
      <c r="A2150" s="372" t="s">
        <v>13927</v>
      </c>
      <c r="B2150" s="372" t="s">
        <v>13928</v>
      </c>
      <c r="C2150" s="372" t="s">
        <v>13929</v>
      </c>
      <c r="D2150" s="374">
        <v>1101110012825</v>
      </c>
      <c r="E2150" s="372" t="s">
        <v>13930</v>
      </c>
      <c r="F2150" s="372" t="s">
        <v>2282</v>
      </c>
      <c r="G2150" s="375" t="s">
        <v>2282</v>
      </c>
      <c r="H2150" s="375" t="s">
        <v>4894</v>
      </c>
      <c r="I2150" s="375" t="s">
        <v>869</v>
      </c>
      <c r="J2150" s="375">
        <v>78639.206749999998</v>
      </c>
      <c r="K2150" s="375">
        <v>3104.2139400000001</v>
      </c>
      <c r="L2150" s="375">
        <v>4889.2876999999999</v>
      </c>
      <c r="M2150" s="375">
        <v>65248.238279999998</v>
      </c>
      <c r="N2150" s="372">
        <v>0.92600000000000005</v>
      </c>
      <c r="O2150" s="703">
        <v>2.1066491112574061E-2</v>
      </c>
      <c r="P2150" s="562" t="s">
        <v>623</v>
      </c>
      <c r="Q2150" s="372" t="s">
        <v>623</v>
      </c>
      <c r="R2150" s="695">
        <v>19921123</v>
      </c>
      <c r="S2150" s="372" t="s">
        <v>5091</v>
      </c>
      <c r="T2150" s="696">
        <v>0.20900000000000002</v>
      </c>
      <c r="U2150" s="372" t="s">
        <v>13931</v>
      </c>
      <c r="V2150" s="722">
        <v>0</v>
      </c>
      <c r="W2150" s="722">
        <v>0.78</v>
      </c>
      <c r="X2150" s="722">
        <v>0</v>
      </c>
      <c r="Y2150" s="722">
        <v>0</v>
      </c>
      <c r="Z2150" s="382" t="s">
        <v>934</v>
      </c>
      <c r="AA2150" s="372">
        <v>646.91731270000002</v>
      </c>
      <c r="AB2150" s="372">
        <v>738.03536670000005</v>
      </c>
      <c r="AC2150" s="372">
        <v>636.21775709999997</v>
      </c>
      <c r="AD2150" s="372">
        <v>786.39206750000005</v>
      </c>
      <c r="AE2150" s="372">
        <v>0</v>
      </c>
      <c r="AF2150" s="372">
        <v>0</v>
      </c>
      <c r="AG2150" s="372">
        <v>0</v>
      </c>
      <c r="AH2150" s="372">
        <v>0</v>
      </c>
    </row>
    <row r="2151" spans="1:34">
      <c r="A2151" s="372" t="s">
        <v>13932</v>
      </c>
      <c r="B2151" s="372" t="s">
        <v>13933</v>
      </c>
      <c r="C2151" s="372" t="s">
        <v>13934</v>
      </c>
      <c r="D2151" s="374">
        <v>1845110003856</v>
      </c>
      <c r="E2151" s="372" t="s">
        <v>13935</v>
      </c>
      <c r="F2151" s="372" t="s">
        <v>2771</v>
      </c>
      <c r="G2151" s="375" t="s">
        <v>6574</v>
      </c>
      <c r="H2151" s="375" t="s">
        <v>868</v>
      </c>
      <c r="I2151" s="375" t="s">
        <v>869</v>
      </c>
      <c r="J2151" s="375">
        <v>300559.95799000002</v>
      </c>
      <c r="K2151" s="375">
        <v>1660.91974</v>
      </c>
      <c r="L2151" s="375">
        <v>-4795.4967399999996</v>
      </c>
      <c r="M2151" s="375">
        <v>51586.679450000003</v>
      </c>
      <c r="N2151" s="372">
        <v>0.84099999999999997</v>
      </c>
      <c r="O2151" s="703">
        <v>272.40211784258997</v>
      </c>
      <c r="P2151" s="562" t="s">
        <v>623</v>
      </c>
      <c r="Q2151" s="372" t="s">
        <v>623</v>
      </c>
      <c r="R2151" s="695">
        <v>19960820</v>
      </c>
      <c r="S2151" s="372" t="s">
        <v>13936</v>
      </c>
      <c r="T2151" s="696" t="s">
        <v>772</v>
      </c>
      <c r="U2151" s="372" t="s">
        <v>13937</v>
      </c>
      <c r="V2151" s="722">
        <v>0</v>
      </c>
      <c r="W2151" s="722">
        <v>0.68</v>
      </c>
      <c r="X2151" s="722">
        <v>0</v>
      </c>
      <c r="Y2151" s="722">
        <v>0</v>
      </c>
      <c r="Z2151" s="382" t="s">
        <v>934</v>
      </c>
      <c r="AA2151" s="372">
        <v>1416.6547917</v>
      </c>
      <c r="AB2151" s="372">
        <v>2122.1146193</v>
      </c>
      <c r="AC2151" s="372">
        <v>3068.4556441</v>
      </c>
      <c r="AD2151" s="372">
        <v>3005.5995799000002</v>
      </c>
      <c r="AE2151" s="372">
        <v>0</v>
      </c>
      <c r="AF2151" s="372">
        <v>0</v>
      </c>
      <c r="AG2151" s="372">
        <v>0</v>
      </c>
      <c r="AH2151" s="372">
        <v>0</v>
      </c>
    </row>
    <row r="2152" spans="1:34">
      <c r="A2152" s="372" t="s">
        <v>13938</v>
      </c>
      <c r="B2152" s="372" t="s">
        <v>13939</v>
      </c>
      <c r="C2152" s="372" t="s">
        <v>13940</v>
      </c>
      <c r="D2152" s="374">
        <v>1101111667273</v>
      </c>
      <c r="E2152" s="372" t="s">
        <v>13941</v>
      </c>
      <c r="F2152" s="372" t="s">
        <v>1187</v>
      </c>
      <c r="G2152" s="375" t="s">
        <v>1188</v>
      </c>
      <c r="H2152" s="375" t="s">
        <v>1388</v>
      </c>
      <c r="I2152" s="375" t="s">
        <v>869</v>
      </c>
      <c r="J2152" s="375">
        <v>43483.821909999999</v>
      </c>
      <c r="K2152" s="375">
        <v>-9622.3968600000007</v>
      </c>
      <c r="L2152" s="375">
        <v>-10836.46593</v>
      </c>
      <c r="M2152" s="375">
        <v>29722.753270000001</v>
      </c>
      <c r="N2152" s="372">
        <v>0.94099999999999995</v>
      </c>
      <c r="O2152" s="703">
        <v>74.429662341776108</v>
      </c>
      <c r="P2152" s="562" t="s">
        <v>623</v>
      </c>
      <c r="Q2152" s="372" t="s">
        <v>623</v>
      </c>
      <c r="R2152" s="695">
        <v>20010724</v>
      </c>
      <c r="S2152" s="372" t="s">
        <v>13942</v>
      </c>
      <c r="T2152" s="696" t="s">
        <v>772</v>
      </c>
      <c r="U2152" s="372" t="s">
        <v>13943</v>
      </c>
      <c r="V2152" s="722" t="s">
        <v>774</v>
      </c>
      <c r="W2152" s="722">
        <v>1.28</v>
      </c>
      <c r="X2152" s="722">
        <v>0.81</v>
      </c>
      <c r="Y2152" s="722" t="s">
        <v>774</v>
      </c>
      <c r="Z2152" s="382" t="s">
        <v>934</v>
      </c>
      <c r="AA2152" s="372">
        <v>575.56819810000002</v>
      </c>
      <c r="AB2152" s="372">
        <v>295.03430079999998</v>
      </c>
      <c r="AC2152" s="372">
        <v>582.95915830000001</v>
      </c>
      <c r="AD2152" s="372">
        <v>434.8382191</v>
      </c>
      <c r="AE2152" s="372">
        <v>0</v>
      </c>
      <c r="AF2152" s="372">
        <v>0</v>
      </c>
      <c r="AG2152" s="372">
        <v>0</v>
      </c>
      <c r="AH2152" s="372">
        <v>0</v>
      </c>
    </row>
    <row r="2153" spans="1:34">
      <c r="A2153" s="372" t="s">
        <v>13944</v>
      </c>
      <c r="B2153" s="372" t="s">
        <v>13945</v>
      </c>
      <c r="C2153" s="372" t="s">
        <v>13946</v>
      </c>
      <c r="D2153" s="374">
        <v>1101118463442</v>
      </c>
      <c r="E2153" s="372" t="s">
        <v>13947</v>
      </c>
      <c r="F2153" s="372" t="s">
        <v>1151</v>
      </c>
      <c r="G2153" s="375" t="s">
        <v>1152</v>
      </c>
      <c r="H2153" s="375" t="s">
        <v>902</v>
      </c>
      <c r="I2153" s="375" t="s">
        <v>869</v>
      </c>
      <c r="J2153" s="375">
        <v>0</v>
      </c>
      <c r="K2153" s="375">
        <v>-26.54053</v>
      </c>
      <c r="L2153" s="375">
        <v>956.64218000000005</v>
      </c>
      <c r="M2153" s="375">
        <v>44336.521869999997</v>
      </c>
      <c r="N2153" s="372" t="s">
        <v>1033</v>
      </c>
      <c r="O2153" s="703">
        <v>8.1624536178107618</v>
      </c>
      <c r="P2153" s="562" t="s">
        <v>623</v>
      </c>
      <c r="Q2153" s="372" t="s">
        <v>623</v>
      </c>
      <c r="R2153" s="695">
        <v>20230302</v>
      </c>
      <c r="S2153" s="372" t="s">
        <v>9098</v>
      </c>
      <c r="T2153" s="696">
        <v>0.20900000000000002</v>
      </c>
      <c r="U2153" s="372">
        <v>0</v>
      </c>
      <c r="V2153" s="722">
        <v>0</v>
      </c>
      <c r="W2153" s="722">
        <v>1</v>
      </c>
      <c r="X2153" s="722">
        <v>0</v>
      </c>
      <c r="Y2153" s="722">
        <v>0</v>
      </c>
      <c r="Z2153" s="382" t="s">
        <v>774</v>
      </c>
      <c r="AA2153" s="372">
        <v>0</v>
      </c>
      <c r="AB2153" s="372">
        <v>0</v>
      </c>
      <c r="AC2153" s="372">
        <v>0</v>
      </c>
      <c r="AD2153" s="372">
        <v>0</v>
      </c>
      <c r="AE2153" s="372">
        <v>0</v>
      </c>
      <c r="AF2153" s="372">
        <v>0</v>
      </c>
      <c r="AG2153" s="372">
        <v>0</v>
      </c>
      <c r="AH2153" s="372">
        <v>0</v>
      </c>
    </row>
    <row r="2154" spans="1:34">
      <c r="A2154" s="372" t="s">
        <v>13948</v>
      </c>
      <c r="B2154" s="372" t="s">
        <v>13949</v>
      </c>
      <c r="C2154" s="372" t="s">
        <v>13950</v>
      </c>
      <c r="D2154" s="374">
        <v>1311110103158</v>
      </c>
      <c r="E2154" s="372" t="s">
        <v>13951</v>
      </c>
      <c r="F2154" s="372" t="s">
        <v>1673</v>
      </c>
      <c r="G2154" s="375" t="s">
        <v>2391</v>
      </c>
      <c r="H2154" s="375" t="s">
        <v>868</v>
      </c>
      <c r="I2154" s="375" t="s">
        <v>869</v>
      </c>
      <c r="J2154" s="375">
        <v>11543.221600000001</v>
      </c>
      <c r="K2154" s="375">
        <v>-2957.1869299999998</v>
      </c>
      <c r="L2154" s="375">
        <v>-4725.9549699999998</v>
      </c>
      <c r="M2154" s="375">
        <v>10631.95823</v>
      </c>
      <c r="N2154" s="372">
        <v>1.1930000000000001</v>
      </c>
      <c r="O2154" s="703">
        <v>32.233546990381463</v>
      </c>
      <c r="P2154" s="562" t="s">
        <v>623</v>
      </c>
      <c r="Q2154" s="372" t="s">
        <v>623</v>
      </c>
      <c r="R2154" s="695">
        <v>20190918</v>
      </c>
      <c r="S2154" s="372" t="s">
        <v>13952</v>
      </c>
      <c r="T2154" s="696" t="s">
        <v>772</v>
      </c>
      <c r="U2154" s="372" t="s">
        <v>13953</v>
      </c>
      <c r="V2154" s="722" t="s">
        <v>774</v>
      </c>
      <c r="W2154" s="722">
        <v>4.1900000000000004</v>
      </c>
      <c r="X2154" s="722">
        <v>3.87</v>
      </c>
      <c r="Y2154" s="722" t="s">
        <v>774</v>
      </c>
      <c r="Z2154" s="382" t="s">
        <v>934</v>
      </c>
      <c r="AA2154" s="372">
        <v>91.270059000000003</v>
      </c>
      <c r="AB2154" s="372">
        <v>92.1469424</v>
      </c>
      <c r="AC2154" s="372">
        <v>109.84971090000001</v>
      </c>
      <c r="AD2154" s="372">
        <v>115.432216</v>
      </c>
      <c r="AE2154" s="372">
        <v>0</v>
      </c>
      <c r="AF2154" s="372">
        <v>0</v>
      </c>
      <c r="AG2154" s="372">
        <v>0</v>
      </c>
      <c r="AH2154" s="372">
        <v>0</v>
      </c>
    </row>
    <row r="2155" spans="1:34">
      <c r="A2155" s="372" t="s">
        <v>13954</v>
      </c>
      <c r="B2155" s="372" t="s">
        <v>13955</v>
      </c>
      <c r="C2155" s="372" t="s">
        <v>13956</v>
      </c>
      <c r="D2155" s="374">
        <v>1358110105388</v>
      </c>
      <c r="E2155" s="372" t="s">
        <v>13957</v>
      </c>
      <c r="F2155" s="372" t="s">
        <v>1195</v>
      </c>
      <c r="G2155" s="375" t="s">
        <v>3144</v>
      </c>
      <c r="H2155" s="375" t="s">
        <v>1388</v>
      </c>
      <c r="I2155" s="375" t="s">
        <v>869</v>
      </c>
      <c r="J2155" s="375">
        <v>26135.46847</v>
      </c>
      <c r="K2155" s="375">
        <v>-13127.08259</v>
      </c>
      <c r="L2155" s="375">
        <v>-26463.62643</v>
      </c>
      <c r="M2155" s="375">
        <v>26712.22378</v>
      </c>
      <c r="N2155" s="372">
        <v>1.4</v>
      </c>
      <c r="O2155" s="703">
        <v>72.289558837329196</v>
      </c>
      <c r="P2155" s="562" t="s">
        <v>623</v>
      </c>
      <c r="Q2155" s="372" t="s">
        <v>623</v>
      </c>
      <c r="R2155" s="695">
        <v>20130701</v>
      </c>
      <c r="S2155" s="372" t="s">
        <v>13958</v>
      </c>
      <c r="T2155" s="696" t="s">
        <v>772</v>
      </c>
      <c r="U2155" s="372" t="s">
        <v>13959</v>
      </c>
      <c r="V2155" s="722" t="s">
        <v>774</v>
      </c>
      <c r="W2155" s="722">
        <v>2.35</v>
      </c>
      <c r="X2155" s="722">
        <v>1.28</v>
      </c>
      <c r="Y2155" s="722" t="s">
        <v>774</v>
      </c>
      <c r="Z2155" s="382" t="s">
        <v>934</v>
      </c>
      <c r="AA2155" s="372">
        <v>695.54842040000005</v>
      </c>
      <c r="AB2155" s="372">
        <v>246.3441594</v>
      </c>
      <c r="AC2155" s="372">
        <v>441.28091430000001</v>
      </c>
      <c r="AD2155" s="372">
        <v>261.35468470000001</v>
      </c>
      <c r="AE2155" s="372">
        <v>0</v>
      </c>
      <c r="AF2155" s="372">
        <v>0</v>
      </c>
      <c r="AG2155" s="372">
        <v>0</v>
      </c>
      <c r="AH2155" s="372">
        <v>0</v>
      </c>
    </row>
    <row r="2156" spans="1:34">
      <c r="A2156" s="372" t="s">
        <v>13960</v>
      </c>
      <c r="B2156" s="372" t="s">
        <v>13961</v>
      </c>
      <c r="C2156" s="372" t="s">
        <v>13962</v>
      </c>
      <c r="D2156" s="374">
        <v>1101110021678</v>
      </c>
      <c r="E2156" s="372" t="s">
        <v>13963</v>
      </c>
      <c r="F2156" s="372" t="s">
        <v>8745</v>
      </c>
      <c r="G2156" s="375" t="s">
        <v>13964</v>
      </c>
      <c r="H2156" s="375" t="s">
        <v>1050</v>
      </c>
      <c r="I2156" s="375" t="s">
        <v>755</v>
      </c>
      <c r="J2156" s="375">
        <v>145721.23633000001</v>
      </c>
      <c r="K2156" s="375">
        <v>-4932.7689600000003</v>
      </c>
      <c r="L2156" s="375">
        <v>-9230.6465100000005</v>
      </c>
      <c r="M2156" s="375">
        <v>70991.418120000002</v>
      </c>
      <c r="N2156" s="372">
        <v>0.67300000000000004</v>
      </c>
      <c r="O2156" s="703">
        <v>173.96098624972615</v>
      </c>
      <c r="P2156" s="562" t="s">
        <v>623</v>
      </c>
      <c r="Q2156" s="372" t="s">
        <v>623</v>
      </c>
      <c r="R2156" s="695">
        <v>19751120</v>
      </c>
      <c r="S2156" s="372" t="s">
        <v>13965</v>
      </c>
      <c r="T2156" s="696" t="s">
        <v>772</v>
      </c>
      <c r="U2156" s="372" t="s">
        <v>13966</v>
      </c>
      <c r="V2156" s="722" t="s">
        <v>774</v>
      </c>
      <c r="W2156" s="722">
        <v>0.64</v>
      </c>
      <c r="X2156" s="722">
        <v>0.31</v>
      </c>
      <c r="Y2156" s="722" t="s">
        <v>774</v>
      </c>
      <c r="Z2156" s="382" t="s">
        <v>934</v>
      </c>
      <c r="AA2156" s="372">
        <v>1565.7176215</v>
      </c>
      <c r="AB2156" s="372">
        <v>1552.2911919999999</v>
      </c>
      <c r="AC2156" s="372">
        <v>1741.1226239</v>
      </c>
      <c r="AD2156" s="372">
        <v>1457.2123633000001</v>
      </c>
      <c r="AE2156" s="372">
        <v>0</v>
      </c>
      <c r="AF2156" s="372">
        <v>0</v>
      </c>
      <c r="AG2156" s="372">
        <v>0</v>
      </c>
      <c r="AH2156" s="372">
        <v>0</v>
      </c>
    </row>
    <row r="2157" spans="1:34">
      <c r="A2157" s="372" t="s">
        <v>13967</v>
      </c>
      <c r="B2157" s="372" t="s">
        <v>13968</v>
      </c>
      <c r="C2157" s="372" t="s">
        <v>13969</v>
      </c>
      <c r="D2157" s="374">
        <v>1101110015861</v>
      </c>
      <c r="E2157" s="372" t="s">
        <v>13970</v>
      </c>
      <c r="F2157" s="372" t="s">
        <v>2282</v>
      </c>
      <c r="G2157" s="375" t="s">
        <v>2282</v>
      </c>
      <c r="H2157" s="375" t="s">
        <v>1397</v>
      </c>
      <c r="I2157" s="375" t="s">
        <v>755</v>
      </c>
      <c r="J2157" s="375">
        <v>120763.37136</v>
      </c>
      <c r="K2157" s="375">
        <v>-10434.014939999999</v>
      </c>
      <c r="L2157" s="375">
        <v>-11031.0844</v>
      </c>
      <c r="M2157" s="375">
        <v>62133.83466</v>
      </c>
      <c r="N2157" s="372">
        <v>1.2070000000000001</v>
      </c>
      <c r="O2157" s="703">
        <v>201.27459737170992</v>
      </c>
      <c r="P2157" s="562" t="s">
        <v>623</v>
      </c>
      <c r="Q2157" s="372" t="s">
        <v>623</v>
      </c>
      <c r="R2157" s="695">
        <v>19880525</v>
      </c>
      <c r="S2157" s="372" t="s">
        <v>13971</v>
      </c>
      <c r="T2157" s="696" t="s">
        <v>772</v>
      </c>
      <c r="U2157" s="372" t="s">
        <v>13972</v>
      </c>
      <c r="V2157" s="722" t="s">
        <v>774</v>
      </c>
      <c r="W2157" s="722">
        <v>0.84</v>
      </c>
      <c r="X2157" s="722">
        <v>0.43</v>
      </c>
      <c r="Y2157" s="722" t="s">
        <v>774</v>
      </c>
      <c r="Z2157" s="382" t="s">
        <v>934</v>
      </c>
      <c r="AA2157" s="372">
        <v>1443.5712369</v>
      </c>
      <c r="AB2157" s="372">
        <v>1119.0801988999999</v>
      </c>
      <c r="AC2157" s="372">
        <v>1197.5081938999999</v>
      </c>
      <c r="AD2157" s="372">
        <v>1207.6337136</v>
      </c>
      <c r="AE2157" s="372">
        <v>0</v>
      </c>
      <c r="AF2157" s="372">
        <v>0</v>
      </c>
      <c r="AG2157" s="372">
        <v>0</v>
      </c>
      <c r="AH2157" s="372">
        <v>0</v>
      </c>
    </row>
    <row r="2158" spans="1:34">
      <c r="A2158" s="372" t="s">
        <v>13973</v>
      </c>
      <c r="B2158" s="372" t="s">
        <v>13974</v>
      </c>
      <c r="C2158" s="372" t="s">
        <v>13975</v>
      </c>
      <c r="D2158" s="374">
        <v>1311110047447</v>
      </c>
      <c r="E2158" s="372" t="s">
        <v>13976</v>
      </c>
      <c r="F2158" s="372" t="s">
        <v>1814</v>
      </c>
      <c r="G2158" s="375" t="s">
        <v>2821</v>
      </c>
      <c r="H2158" s="375" t="s">
        <v>1693</v>
      </c>
      <c r="I2158" s="375" t="s">
        <v>869</v>
      </c>
      <c r="J2158" s="375">
        <v>14445.67181</v>
      </c>
      <c r="K2158" s="375">
        <v>4453.1184899999998</v>
      </c>
      <c r="L2158" s="375">
        <v>6747.6937600000001</v>
      </c>
      <c r="M2158" s="375">
        <v>44845.315320000002</v>
      </c>
      <c r="N2158" s="372">
        <v>0.83099999999999996</v>
      </c>
      <c r="O2158" s="703">
        <v>0.85514469281580263</v>
      </c>
      <c r="P2158" s="562" t="s">
        <v>623</v>
      </c>
      <c r="Q2158" s="372" t="s">
        <v>623</v>
      </c>
      <c r="R2158" s="695">
        <v>20111221</v>
      </c>
      <c r="S2158" s="372" t="s">
        <v>13977</v>
      </c>
      <c r="T2158" s="696">
        <v>0.20900000000000002</v>
      </c>
      <c r="U2158" s="372" t="s">
        <v>13978</v>
      </c>
      <c r="V2158" s="722">
        <v>9.3000000000000007</v>
      </c>
      <c r="W2158" s="722">
        <v>0.92</v>
      </c>
      <c r="X2158" s="722">
        <v>3.13</v>
      </c>
      <c r="Y2158" s="722">
        <v>7.82</v>
      </c>
      <c r="Z2158" s="382" t="s">
        <v>934</v>
      </c>
      <c r="AA2158" s="372">
        <v>147.14020360000001</v>
      </c>
      <c r="AB2158" s="372">
        <v>131.9840878</v>
      </c>
      <c r="AC2158" s="372">
        <v>137.0279476</v>
      </c>
      <c r="AD2158" s="372">
        <v>144.45671809999999</v>
      </c>
      <c r="AE2158" s="372">
        <v>0</v>
      </c>
      <c r="AF2158" s="372">
        <v>0</v>
      </c>
      <c r="AG2158" s="372">
        <v>0</v>
      </c>
      <c r="AH2158" s="372">
        <v>0</v>
      </c>
    </row>
    <row r="2159" spans="1:34">
      <c r="A2159" s="372" t="s">
        <v>13979</v>
      </c>
      <c r="B2159" s="372" t="s">
        <v>13980</v>
      </c>
      <c r="C2159" s="372" t="s">
        <v>13981</v>
      </c>
      <c r="D2159" s="374">
        <v>1101111640609</v>
      </c>
      <c r="E2159" s="372" t="s">
        <v>13982</v>
      </c>
      <c r="F2159" s="372" t="s">
        <v>1144</v>
      </c>
      <c r="G2159" s="375" t="s">
        <v>3158</v>
      </c>
      <c r="H2159" s="375" t="s">
        <v>868</v>
      </c>
      <c r="I2159" s="375" t="s">
        <v>869</v>
      </c>
      <c r="J2159" s="375">
        <v>26875.194680000001</v>
      </c>
      <c r="K2159" s="375">
        <v>-10658.205040000001</v>
      </c>
      <c r="L2159" s="375">
        <v>-29103.577809999999</v>
      </c>
      <c r="M2159" s="375">
        <v>62235.838450000003</v>
      </c>
      <c r="N2159" s="372">
        <v>0.92100000000000004</v>
      </c>
      <c r="O2159" s="703">
        <v>43.469910903191021</v>
      </c>
      <c r="P2159" s="562" t="s">
        <v>623</v>
      </c>
      <c r="Q2159" s="372" t="s">
        <v>623</v>
      </c>
      <c r="R2159" s="695">
        <v>20011012</v>
      </c>
      <c r="S2159" s="372" t="s">
        <v>13983</v>
      </c>
      <c r="T2159" s="696" t="s">
        <v>772</v>
      </c>
      <c r="U2159" s="372" t="s">
        <v>13984</v>
      </c>
      <c r="V2159" s="722" t="s">
        <v>774</v>
      </c>
      <c r="W2159" s="722">
        <v>0.93</v>
      </c>
      <c r="X2159" s="722">
        <v>1.7</v>
      </c>
      <c r="Y2159" s="722" t="s">
        <v>774</v>
      </c>
      <c r="Z2159" s="382" t="s">
        <v>934</v>
      </c>
      <c r="AA2159" s="372">
        <v>161.90177639999999</v>
      </c>
      <c r="AB2159" s="372">
        <v>174.4900868</v>
      </c>
      <c r="AC2159" s="372">
        <v>202.95920939999999</v>
      </c>
      <c r="AD2159" s="372">
        <v>268.75194679999998</v>
      </c>
      <c r="AE2159" s="372">
        <v>0</v>
      </c>
      <c r="AF2159" s="372">
        <v>0</v>
      </c>
      <c r="AG2159" s="372">
        <v>0</v>
      </c>
      <c r="AH2159" s="372">
        <v>0</v>
      </c>
    </row>
    <row r="2160" spans="1:34">
      <c r="A2160" s="372" t="s">
        <v>13985</v>
      </c>
      <c r="B2160" s="372" t="s">
        <v>13986</v>
      </c>
      <c r="C2160" s="372" t="s">
        <v>13987</v>
      </c>
      <c r="D2160" s="374">
        <v>1101114934273</v>
      </c>
      <c r="E2160" s="372" t="s">
        <v>13988</v>
      </c>
      <c r="F2160" s="372" t="s">
        <v>1814</v>
      </c>
      <c r="G2160" s="375" t="s">
        <v>2821</v>
      </c>
      <c r="H2160" s="375" t="s">
        <v>1693</v>
      </c>
      <c r="I2160" s="375" t="s">
        <v>869</v>
      </c>
      <c r="J2160" s="375">
        <v>74949.243879999995</v>
      </c>
      <c r="K2160" s="375">
        <v>-6388.0919599999997</v>
      </c>
      <c r="L2160" s="375">
        <v>-5750.4024399999998</v>
      </c>
      <c r="M2160" s="375">
        <v>17241.597570000002</v>
      </c>
      <c r="N2160" s="372">
        <v>1.1719999999999999</v>
      </c>
      <c r="O2160" s="703">
        <v>34.300917209025613</v>
      </c>
      <c r="P2160" s="562" t="s">
        <v>623</v>
      </c>
      <c r="Q2160" s="372" t="s">
        <v>623</v>
      </c>
      <c r="R2160" s="695">
        <v>20211111</v>
      </c>
      <c r="S2160" s="372" t="s">
        <v>13989</v>
      </c>
      <c r="T2160" s="696" t="s">
        <v>772</v>
      </c>
      <c r="U2160" s="372" t="s">
        <v>13990</v>
      </c>
      <c r="V2160" s="722" t="s">
        <v>774</v>
      </c>
      <c r="W2160" s="722">
        <v>2.36</v>
      </c>
      <c r="X2160" s="722">
        <v>0.56999999999999995</v>
      </c>
      <c r="Y2160" s="722" t="s">
        <v>774</v>
      </c>
      <c r="Z2160" s="382" t="s">
        <v>934</v>
      </c>
      <c r="AA2160" s="372">
        <v>513.27269909999995</v>
      </c>
      <c r="AB2160" s="372">
        <v>669.21953540000004</v>
      </c>
      <c r="AC2160" s="372">
        <v>545.71511940000005</v>
      </c>
      <c r="AD2160" s="372">
        <v>749.49243879999995</v>
      </c>
      <c r="AE2160" s="372">
        <v>961</v>
      </c>
      <c r="AF2160" s="372">
        <v>1172</v>
      </c>
      <c r="AG2160" s="372">
        <v>0</v>
      </c>
      <c r="AH2160" s="372">
        <v>0</v>
      </c>
    </row>
    <row r="2161" spans="1:34">
      <c r="A2161" s="372" t="s">
        <v>13991</v>
      </c>
      <c r="B2161" s="372" t="s">
        <v>13992</v>
      </c>
      <c r="C2161" s="372" t="s">
        <v>13993</v>
      </c>
      <c r="D2161" s="374">
        <v>1348110037954</v>
      </c>
      <c r="E2161" s="372" t="s">
        <v>13994</v>
      </c>
      <c r="F2161" s="372" t="s">
        <v>2207</v>
      </c>
      <c r="G2161" s="375" t="s">
        <v>4931</v>
      </c>
      <c r="H2161" s="375" t="s">
        <v>868</v>
      </c>
      <c r="I2161" s="375" t="s">
        <v>869</v>
      </c>
      <c r="J2161" s="375">
        <v>17749.092560000001</v>
      </c>
      <c r="K2161" s="375">
        <v>-12168.438550000001</v>
      </c>
      <c r="L2161" s="375">
        <v>-18055.536660000002</v>
      </c>
      <c r="M2161" s="375">
        <v>83601.958670000007</v>
      </c>
      <c r="N2161" s="372">
        <v>1.0309999999999999</v>
      </c>
      <c r="O2161" s="703">
        <v>61.170844282815182</v>
      </c>
      <c r="P2161" s="562" t="s">
        <v>623</v>
      </c>
      <c r="Q2161" s="372" t="s">
        <v>623</v>
      </c>
      <c r="R2161" s="695">
        <v>20110614</v>
      </c>
      <c r="S2161" s="372" t="s">
        <v>13995</v>
      </c>
      <c r="T2161" s="696" t="s">
        <v>772</v>
      </c>
      <c r="U2161" s="372" t="s">
        <v>13996</v>
      </c>
      <c r="V2161" s="722" t="s">
        <v>774</v>
      </c>
      <c r="W2161" s="722">
        <v>0.66</v>
      </c>
      <c r="X2161" s="722">
        <v>3.2</v>
      </c>
      <c r="Y2161" s="722" t="s">
        <v>774</v>
      </c>
      <c r="Z2161" s="382" t="s">
        <v>934</v>
      </c>
      <c r="AA2161" s="372">
        <v>347.92787129999999</v>
      </c>
      <c r="AB2161" s="372">
        <v>286.91886499999998</v>
      </c>
      <c r="AC2161" s="372">
        <v>321.96308599999998</v>
      </c>
      <c r="AD2161" s="372">
        <v>177.4909256</v>
      </c>
      <c r="AE2161" s="372">
        <v>0</v>
      </c>
      <c r="AF2161" s="372">
        <v>0</v>
      </c>
      <c r="AG2161" s="372">
        <v>0</v>
      </c>
      <c r="AH2161" s="372">
        <v>0</v>
      </c>
    </row>
    <row r="2162" spans="1:34">
      <c r="A2162" s="372" t="s">
        <v>13997</v>
      </c>
      <c r="B2162" s="372" t="s">
        <v>13998</v>
      </c>
      <c r="C2162" s="372" t="s">
        <v>13999</v>
      </c>
      <c r="D2162" s="374">
        <v>1648110073035</v>
      </c>
      <c r="E2162" s="372" t="s">
        <v>14000</v>
      </c>
      <c r="F2162" s="372" t="s">
        <v>2729</v>
      </c>
      <c r="G2162" s="375" t="s">
        <v>12674</v>
      </c>
      <c r="H2162" s="375" t="s">
        <v>868</v>
      </c>
      <c r="I2162" s="375" t="s">
        <v>869</v>
      </c>
      <c r="J2162" s="375">
        <v>71057.300470000002</v>
      </c>
      <c r="K2162" s="375">
        <v>4492.85448</v>
      </c>
      <c r="L2162" s="375">
        <v>6546.4468299999999</v>
      </c>
      <c r="M2162" s="375">
        <v>128081.69336</v>
      </c>
      <c r="N2162" s="372">
        <v>1.276</v>
      </c>
      <c r="O2162" s="703">
        <v>0.3282600655021834</v>
      </c>
      <c r="P2162" s="562" t="s">
        <v>623</v>
      </c>
      <c r="Q2162" s="372" t="s">
        <v>623</v>
      </c>
      <c r="R2162" s="695">
        <v>20160406</v>
      </c>
      <c r="S2162" s="372" t="s">
        <v>14001</v>
      </c>
      <c r="T2162" s="696">
        <v>0.20900000000000002</v>
      </c>
      <c r="U2162" s="372" t="s">
        <v>14002</v>
      </c>
      <c r="V2162" s="722">
        <v>0</v>
      </c>
      <c r="W2162" s="722">
        <v>0.39</v>
      </c>
      <c r="X2162" s="722">
        <v>0</v>
      </c>
      <c r="Y2162" s="722">
        <v>0</v>
      </c>
      <c r="Z2162" s="382" t="s">
        <v>934</v>
      </c>
      <c r="AA2162" s="372">
        <v>469.51377350000001</v>
      </c>
      <c r="AB2162" s="372">
        <v>695.3144618</v>
      </c>
      <c r="AC2162" s="372">
        <v>725.84619199999997</v>
      </c>
      <c r="AD2162" s="372">
        <v>710.57300469999996</v>
      </c>
      <c r="AE2162" s="372">
        <v>0</v>
      </c>
      <c r="AF2162" s="372">
        <v>0</v>
      </c>
      <c r="AG2162" s="372">
        <v>0</v>
      </c>
      <c r="AH2162" s="372">
        <v>0</v>
      </c>
    </row>
    <row r="2163" spans="1:34">
      <c r="A2163" s="372" t="s">
        <v>14003</v>
      </c>
      <c r="B2163" s="372" t="s">
        <v>14004</v>
      </c>
      <c r="C2163" s="372" t="s">
        <v>14005</v>
      </c>
      <c r="D2163" s="374">
        <v>1344110022747</v>
      </c>
      <c r="E2163" s="372" t="s">
        <v>14006</v>
      </c>
      <c r="F2163" s="372" t="s">
        <v>2742</v>
      </c>
      <c r="G2163" s="375" t="s">
        <v>3052</v>
      </c>
      <c r="H2163" s="375" t="s">
        <v>1388</v>
      </c>
      <c r="I2163" s="375" t="s">
        <v>869</v>
      </c>
      <c r="J2163" s="375">
        <v>14035.767159999999</v>
      </c>
      <c r="K2163" s="375">
        <v>-15425.293379999999</v>
      </c>
      <c r="L2163" s="375">
        <v>-49012.61436</v>
      </c>
      <c r="M2163" s="375">
        <v>26555.067609999998</v>
      </c>
      <c r="N2163" s="372">
        <v>0.77500000000000002</v>
      </c>
      <c r="O2163" s="703">
        <v>8.3337468115572193</v>
      </c>
      <c r="P2163" s="562" t="s">
        <v>16142</v>
      </c>
      <c r="Q2163" s="372" t="s">
        <v>16145</v>
      </c>
      <c r="R2163" s="695">
        <v>20111111</v>
      </c>
      <c r="S2163" s="372" t="s">
        <v>2743</v>
      </c>
      <c r="T2163" s="696" t="s">
        <v>772</v>
      </c>
      <c r="U2163" s="372" t="s">
        <v>14007</v>
      </c>
      <c r="V2163" s="722" t="s">
        <v>774</v>
      </c>
      <c r="W2163" s="722">
        <v>1.5</v>
      </c>
      <c r="X2163" s="722">
        <v>3.09</v>
      </c>
      <c r="Y2163" s="722" t="s">
        <v>774</v>
      </c>
      <c r="Z2163" s="382" t="s">
        <v>934</v>
      </c>
      <c r="AA2163" s="372">
        <v>1294.7299742</v>
      </c>
      <c r="AB2163" s="372">
        <v>175.5313568</v>
      </c>
      <c r="AC2163" s="372">
        <v>170.4725013</v>
      </c>
      <c r="AD2163" s="372">
        <v>140.3576716</v>
      </c>
      <c r="AE2163" s="372">
        <v>0</v>
      </c>
      <c r="AF2163" s="372">
        <v>0</v>
      </c>
      <c r="AG2163" s="372">
        <v>0</v>
      </c>
      <c r="AH2163" s="372">
        <v>0</v>
      </c>
    </row>
    <row r="2164" spans="1:34">
      <c r="A2164" s="372" t="s">
        <v>14008</v>
      </c>
      <c r="B2164" s="372" t="s">
        <v>14009</v>
      </c>
      <c r="C2164" s="372" t="s">
        <v>14010</v>
      </c>
      <c r="D2164" s="374">
        <v>1101111967243</v>
      </c>
      <c r="E2164" s="372" t="s">
        <v>14011</v>
      </c>
      <c r="F2164" s="372" t="s">
        <v>2888</v>
      </c>
      <c r="G2164" s="375" t="s">
        <v>6039</v>
      </c>
      <c r="H2164" s="375" t="s">
        <v>868</v>
      </c>
      <c r="I2164" s="375" t="s">
        <v>869</v>
      </c>
      <c r="J2164" s="375">
        <v>89793.44687</v>
      </c>
      <c r="K2164" s="375">
        <v>8159.3501100000003</v>
      </c>
      <c r="L2164" s="375">
        <v>9748.6944500000009</v>
      </c>
      <c r="M2164" s="375">
        <v>68810.827669999999</v>
      </c>
      <c r="N2164" s="372">
        <v>1.0049999999999999</v>
      </c>
      <c r="O2164" s="703">
        <v>15.80938024872658</v>
      </c>
      <c r="P2164" s="562" t="s">
        <v>623</v>
      </c>
      <c r="Q2164" s="372" t="s">
        <v>623</v>
      </c>
      <c r="R2164" s="695">
        <v>20181120</v>
      </c>
      <c r="S2164" s="372" t="s">
        <v>14012</v>
      </c>
      <c r="T2164" s="696">
        <v>0.20900000000000002</v>
      </c>
      <c r="U2164" s="372" t="s">
        <v>14013</v>
      </c>
      <c r="V2164" s="722">
        <v>4.74</v>
      </c>
      <c r="W2164" s="722">
        <v>0.7</v>
      </c>
      <c r="X2164" s="722">
        <v>0.54</v>
      </c>
      <c r="Y2164" s="722">
        <v>7.03</v>
      </c>
      <c r="Z2164" s="382" t="s">
        <v>934</v>
      </c>
      <c r="AA2164" s="372">
        <v>707.66476260000002</v>
      </c>
      <c r="AB2164" s="372">
        <v>753.02776960000006</v>
      </c>
      <c r="AC2164" s="372">
        <v>1106.2804836</v>
      </c>
      <c r="AD2164" s="372">
        <v>897.93446870000002</v>
      </c>
      <c r="AE2164" s="372">
        <v>1216</v>
      </c>
      <c r="AF2164" s="372">
        <v>0</v>
      </c>
      <c r="AG2164" s="372">
        <v>0</v>
      </c>
      <c r="AH2164" s="372">
        <v>0</v>
      </c>
    </row>
    <row r="2165" spans="1:34">
      <c r="A2165" s="372" t="s">
        <v>14014</v>
      </c>
      <c r="B2165" s="372" t="s">
        <v>14015</v>
      </c>
      <c r="C2165" s="372" t="s">
        <v>14016</v>
      </c>
      <c r="D2165" s="374">
        <v>1101110005664</v>
      </c>
      <c r="E2165" s="372" t="s">
        <v>14017</v>
      </c>
      <c r="F2165" s="372" t="s">
        <v>6204</v>
      </c>
      <c r="G2165" s="375" t="s">
        <v>6205</v>
      </c>
      <c r="H2165" s="375" t="s">
        <v>1555</v>
      </c>
      <c r="I2165" s="375" t="s">
        <v>755</v>
      </c>
      <c r="J2165" s="375">
        <v>94772.410640000002</v>
      </c>
      <c r="K2165" s="375">
        <v>-32548.106489999998</v>
      </c>
      <c r="L2165" s="375">
        <v>-20301.19254</v>
      </c>
      <c r="M2165" s="375">
        <v>189819.47732000001</v>
      </c>
      <c r="N2165" s="372">
        <v>0.67100000000000004</v>
      </c>
      <c r="O2165" s="703">
        <v>143.00912137931104</v>
      </c>
      <c r="P2165" s="562" t="s">
        <v>623</v>
      </c>
      <c r="Q2165" s="372" t="s">
        <v>623</v>
      </c>
      <c r="R2165" s="695">
        <v>19681021</v>
      </c>
      <c r="S2165" s="372" t="s">
        <v>14018</v>
      </c>
      <c r="T2165" s="696" t="s">
        <v>772</v>
      </c>
      <c r="U2165" s="372" t="s">
        <v>14019</v>
      </c>
      <c r="V2165" s="722" t="s">
        <v>774</v>
      </c>
      <c r="W2165" s="722">
        <v>0.18</v>
      </c>
      <c r="X2165" s="722">
        <v>0.41</v>
      </c>
      <c r="Y2165" s="722" t="s">
        <v>774</v>
      </c>
      <c r="Z2165" s="382" t="s">
        <v>934</v>
      </c>
      <c r="AA2165" s="372">
        <v>1051.5222844</v>
      </c>
      <c r="AB2165" s="372">
        <v>1337.4522732999999</v>
      </c>
      <c r="AC2165" s="372">
        <v>1249.1404910000001</v>
      </c>
      <c r="AD2165" s="372">
        <v>947.72410639999998</v>
      </c>
      <c r="AE2165" s="372">
        <v>0</v>
      </c>
      <c r="AF2165" s="372">
        <v>0</v>
      </c>
      <c r="AG2165" s="372">
        <v>0</v>
      </c>
      <c r="AH2165" s="372">
        <v>0</v>
      </c>
    </row>
    <row r="2166" spans="1:34">
      <c r="A2166" s="372" t="s">
        <v>14020</v>
      </c>
      <c r="B2166" s="372" t="s">
        <v>14021</v>
      </c>
      <c r="C2166" s="372" t="s">
        <v>14022</v>
      </c>
      <c r="D2166" s="374">
        <v>1101111928295</v>
      </c>
      <c r="E2166" s="372" t="s">
        <v>14023</v>
      </c>
      <c r="F2166" s="372" t="s">
        <v>1814</v>
      </c>
      <c r="G2166" s="375" t="s">
        <v>2821</v>
      </c>
      <c r="H2166" s="375" t="s">
        <v>868</v>
      </c>
      <c r="I2166" s="375" t="s">
        <v>869</v>
      </c>
      <c r="J2166" s="375">
        <v>24626.727589999999</v>
      </c>
      <c r="K2166" s="375">
        <v>-664.81823999999995</v>
      </c>
      <c r="L2166" s="375">
        <v>-3495.3267900000001</v>
      </c>
      <c r="M2166" s="375">
        <v>42780.811009999998</v>
      </c>
      <c r="N2166" s="372">
        <v>0.80300000000000005</v>
      </c>
      <c r="O2166" s="703">
        <v>1.8637830590938309</v>
      </c>
      <c r="P2166" s="562" t="s">
        <v>623</v>
      </c>
      <c r="Q2166" s="372" t="s">
        <v>623</v>
      </c>
      <c r="R2166" s="695">
        <v>20140530</v>
      </c>
      <c r="S2166" s="372" t="s">
        <v>14024</v>
      </c>
      <c r="T2166" s="696" t="s">
        <v>772</v>
      </c>
      <c r="U2166" s="372" t="s">
        <v>14025</v>
      </c>
      <c r="V2166" s="722">
        <v>38</v>
      </c>
      <c r="W2166" s="722">
        <v>1.0900000000000001</v>
      </c>
      <c r="X2166" s="722">
        <v>1.93</v>
      </c>
      <c r="Y2166" s="722" t="s">
        <v>774</v>
      </c>
      <c r="Z2166" s="382" t="s">
        <v>934</v>
      </c>
      <c r="AA2166" s="372">
        <v>329.28711299999998</v>
      </c>
      <c r="AB2166" s="372">
        <v>286.31983020000001</v>
      </c>
      <c r="AC2166" s="372">
        <v>257.92993510000002</v>
      </c>
      <c r="AD2166" s="372">
        <v>246.26727589999999</v>
      </c>
      <c r="AE2166" s="372">
        <v>0</v>
      </c>
      <c r="AF2166" s="372">
        <v>0</v>
      </c>
      <c r="AG2166" s="372">
        <v>0</v>
      </c>
      <c r="AH2166" s="372">
        <v>0</v>
      </c>
    </row>
    <row r="2167" spans="1:34">
      <c r="A2167" s="372" t="s">
        <v>14026</v>
      </c>
      <c r="B2167" s="372" t="s">
        <v>14027</v>
      </c>
      <c r="C2167" s="372" t="s">
        <v>14028</v>
      </c>
      <c r="D2167" s="374">
        <v>1955110072268</v>
      </c>
      <c r="E2167" s="372" t="s">
        <v>14029</v>
      </c>
      <c r="F2167" s="372" t="s">
        <v>1985</v>
      </c>
      <c r="G2167" s="375" t="s">
        <v>1985</v>
      </c>
      <c r="H2167" s="375" t="s">
        <v>868</v>
      </c>
      <c r="I2167" s="375" t="s">
        <v>869</v>
      </c>
      <c r="J2167" s="375">
        <v>86351.394039999999</v>
      </c>
      <c r="K2167" s="375">
        <v>10864.027239999999</v>
      </c>
      <c r="L2167" s="375">
        <v>3831.7329199999999</v>
      </c>
      <c r="M2167" s="375">
        <v>15629.92685</v>
      </c>
      <c r="N2167" s="372">
        <v>0.621</v>
      </c>
      <c r="O2167" s="703">
        <v>18.681541134961748</v>
      </c>
      <c r="P2167" s="562" t="s">
        <v>623</v>
      </c>
      <c r="Q2167" s="372" t="s">
        <v>623</v>
      </c>
      <c r="R2167" s="695">
        <v>20091106</v>
      </c>
      <c r="S2167" s="372" t="s">
        <v>14030</v>
      </c>
      <c r="T2167" s="696">
        <v>0.20900000000000002</v>
      </c>
      <c r="U2167" s="372" t="s">
        <v>14031</v>
      </c>
      <c r="V2167" s="722">
        <v>3.83</v>
      </c>
      <c r="W2167" s="722">
        <v>2.57</v>
      </c>
      <c r="X2167" s="722">
        <v>0.46</v>
      </c>
      <c r="Y2167" s="722">
        <v>10.78</v>
      </c>
      <c r="Z2167" s="382" t="s">
        <v>934</v>
      </c>
      <c r="AA2167" s="372">
        <v>278.90453170000001</v>
      </c>
      <c r="AB2167" s="372">
        <v>511.55337029999998</v>
      </c>
      <c r="AC2167" s="372">
        <v>744.29394549999995</v>
      </c>
      <c r="AD2167" s="372">
        <v>863.51394040000002</v>
      </c>
      <c r="AE2167" s="372">
        <v>0</v>
      </c>
      <c r="AF2167" s="372">
        <v>0</v>
      </c>
      <c r="AG2167" s="372">
        <v>0</v>
      </c>
      <c r="AH2167" s="372">
        <v>0</v>
      </c>
    </row>
    <row r="2168" spans="1:34">
      <c r="A2168" s="372" t="s">
        <v>14032</v>
      </c>
      <c r="B2168" s="372" t="s">
        <v>14033</v>
      </c>
      <c r="C2168" s="372" t="s">
        <v>14034</v>
      </c>
      <c r="D2168" s="374">
        <v>1101110542484</v>
      </c>
      <c r="E2168" s="372" t="s">
        <v>14035</v>
      </c>
      <c r="F2168" s="372" t="s">
        <v>982</v>
      </c>
      <c r="G2168" s="375" t="s">
        <v>983</v>
      </c>
      <c r="H2168" s="375" t="s">
        <v>1693</v>
      </c>
      <c r="I2168" s="375" t="s">
        <v>869</v>
      </c>
      <c r="J2168" s="375">
        <v>0</v>
      </c>
      <c r="K2168" s="375">
        <v>0</v>
      </c>
      <c r="L2168" s="375">
        <v>0</v>
      </c>
      <c r="M2168" s="375">
        <v>0</v>
      </c>
      <c r="N2168" s="372">
        <v>0.68700000000000006</v>
      </c>
      <c r="O2168" s="703">
        <v>0</v>
      </c>
      <c r="P2168" s="562" t="s">
        <v>623</v>
      </c>
      <c r="Q2168" s="372" t="s">
        <v>623</v>
      </c>
      <c r="R2168" s="695">
        <v>19950929</v>
      </c>
      <c r="S2168" s="372" t="s">
        <v>14036</v>
      </c>
      <c r="T2168" s="696" t="s">
        <v>772</v>
      </c>
      <c r="U2168" s="372" t="s">
        <v>14037</v>
      </c>
      <c r="V2168" s="722">
        <v>0</v>
      </c>
      <c r="W2168" s="722">
        <v>0</v>
      </c>
      <c r="X2168" s="722">
        <v>0</v>
      </c>
      <c r="Y2168" s="722">
        <v>0</v>
      </c>
      <c r="Z2168" s="382" t="s">
        <v>774</v>
      </c>
      <c r="AA2168" s="372">
        <v>1937.5002138</v>
      </c>
      <c r="AB2168" s="372">
        <v>1805.7093313</v>
      </c>
      <c r="AC2168" s="372">
        <v>2284.8762163000001</v>
      </c>
      <c r="AD2168" s="372">
        <v>0</v>
      </c>
      <c r="AE2168" s="372">
        <v>0</v>
      </c>
      <c r="AF2168" s="372">
        <v>0</v>
      </c>
      <c r="AG2168" s="372">
        <v>0</v>
      </c>
      <c r="AH2168" s="372">
        <v>0</v>
      </c>
    </row>
    <row r="2169" spans="1:34">
      <c r="A2169" s="372" t="s">
        <v>14038</v>
      </c>
      <c r="B2169" s="372" t="s">
        <v>14039</v>
      </c>
      <c r="C2169" s="372" t="s">
        <v>14040</v>
      </c>
      <c r="D2169" s="374">
        <v>1101110095152</v>
      </c>
      <c r="E2169" s="372" t="s">
        <v>14041</v>
      </c>
      <c r="F2169" s="372" t="s">
        <v>14042</v>
      </c>
      <c r="G2169" s="375" t="s">
        <v>14043</v>
      </c>
      <c r="H2169" s="375" t="s">
        <v>1555</v>
      </c>
      <c r="I2169" s="375" t="s">
        <v>755</v>
      </c>
      <c r="J2169" s="375">
        <v>84421.858600000007</v>
      </c>
      <c r="K2169" s="375">
        <v>5066.4034199999996</v>
      </c>
      <c r="L2169" s="375">
        <v>11736.55971</v>
      </c>
      <c r="M2169" s="375">
        <v>151917.18177</v>
      </c>
      <c r="N2169" s="372">
        <v>0.68100000000000005</v>
      </c>
      <c r="O2169" s="703">
        <v>21.459312135617541</v>
      </c>
      <c r="P2169" s="562" t="s">
        <v>623</v>
      </c>
      <c r="Q2169" s="372" t="s">
        <v>623</v>
      </c>
      <c r="R2169" s="695">
        <v>19900420</v>
      </c>
      <c r="S2169" s="372" t="s">
        <v>14044</v>
      </c>
      <c r="T2169" s="696">
        <v>0.20900000000000002</v>
      </c>
      <c r="U2169" s="372" t="s">
        <v>14045</v>
      </c>
      <c r="V2169" s="722">
        <v>10.41</v>
      </c>
      <c r="W2169" s="722">
        <v>0.35</v>
      </c>
      <c r="X2169" s="722">
        <v>0.51</v>
      </c>
      <c r="Y2169" s="722">
        <v>5.83</v>
      </c>
      <c r="Z2169" s="382" t="s">
        <v>934</v>
      </c>
      <c r="AA2169" s="372">
        <v>683.6689308</v>
      </c>
      <c r="AB2169" s="372">
        <v>796.8312952</v>
      </c>
      <c r="AC2169" s="372">
        <v>819.27170599999999</v>
      </c>
      <c r="AD2169" s="372">
        <v>844.21858599999996</v>
      </c>
      <c r="AE2169" s="372">
        <v>0</v>
      </c>
      <c r="AF2169" s="372">
        <v>0</v>
      </c>
      <c r="AG2169" s="372">
        <v>0</v>
      </c>
      <c r="AH2169" s="372">
        <v>0</v>
      </c>
    </row>
    <row r="2170" spans="1:34">
      <c r="A2170" s="372" t="s">
        <v>14046</v>
      </c>
      <c r="B2170" s="372" t="s">
        <v>14047</v>
      </c>
      <c r="C2170" s="372" t="s">
        <v>14048</v>
      </c>
      <c r="D2170" s="374">
        <v>2062110029823</v>
      </c>
      <c r="E2170" s="372" t="s">
        <v>14049</v>
      </c>
      <c r="F2170" s="372" t="s">
        <v>786</v>
      </c>
      <c r="G2170" s="375" t="s">
        <v>3360</v>
      </c>
      <c r="H2170" s="375" t="s">
        <v>868</v>
      </c>
      <c r="I2170" s="375" t="s">
        <v>869</v>
      </c>
      <c r="J2170" s="375">
        <v>22369.48027</v>
      </c>
      <c r="K2170" s="375">
        <v>-4643.0256099999997</v>
      </c>
      <c r="L2170" s="375">
        <v>-16357.737230000001</v>
      </c>
      <c r="M2170" s="375">
        <v>35954.000890000003</v>
      </c>
      <c r="N2170" s="372">
        <v>0.85699999999999998</v>
      </c>
      <c r="O2170" s="703">
        <v>11.762951597797151</v>
      </c>
      <c r="P2170" s="562" t="s">
        <v>623</v>
      </c>
      <c r="Q2170" s="372" t="s">
        <v>623</v>
      </c>
      <c r="R2170" s="695">
        <v>20091222</v>
      </c>
      <c r="S2170" s="372" t="s">
        <v>14050</v>
      </c>
      <c r="T2170" s="696" t="s">
        <v>772</v>
      </c>
      <c r="U2170" s="372" t="s">
        <v>14051</v>
      </c>
      <c r="V2170" s="722">
        <v>0</v>
      </c>
      <c r="W2170" s="722">
        <v>1.23</v>
      </c>
      <c r="X2170" s="722">
        <v>0</v>
      </c>
      <c r="Y2170" s="722">
        <v>0</v>
      </c>
      <c r="Z2170" s="382" t="s">
        <v>934</v>
      </c>
      <c r="AA2170" s="372">
        <v>245.60723780000001</v>
      </c>
      <c r="AB2170" s="372">
        <v>253.37689219999999</v>
      </c>
      <c r="AC2170" s="372">
        <v>365.04906970000002</v>
      </c>
      <c r="AD2170" s="372">
        <v>223.6948027</v>
      </c>
      <c r="AE2170" s="372">
        <v>0</v>
      </c>
      <c r="AF2170" s="372">
        <v>0</v>
      </c>
      <c r="AG2170" s="372">
        <v>0</v>
      </c>
      <c r="AH2170" s="372">
        <v>0</v>
      </c>
    </row>
    <row r="2171" spans="1:34">
      <c r="A2171" s="372" t="s">
        <v>14052</v>
      </c>
      <c r="B2171" s="372" t="s">
        <v>14053</v>
      </c>
      <c r="C2171" s="372" t="s">
        <v>14054</v>
      </c>
      <c r="D2171" s="374">
        <v>1701110074493</v>
      </c>
      <c r="E2171" s="372" t="s">
        <v>14055</v>
      </c>
      <c r="F2171" s="372" t="s">
        <v>5182</v>
      </c>
      <c r="G2171" s="375" t="s">
        <v>5182</v>
      </c>
      <c r="H2171" s="375" t="s">
        <v>3127</v>
      </c>
      <c r="I2171" s="375" t="s">
        <v>869</v>
      </c>
      <c r="J2171" s="375">
        <v>47923.2932</v>
      </c>
      <c r="K2171" s="375">
        <v>-9784.6599499999993</v>
      </c>
      <c r="L2171" s="375">
        <v>-16788.120480000001</v>
      </c>
      <c r="M2171" s="375">
        <v>29330.252840000001</v>
      </c>
      <c r="N2171" s="372">
        <v>0.69</v>
      </c>
      <c r="O2171" s="703">
        <v>26.286112777585029</v>
      </c>
      <c r="P2171" s="562" t="s">
        <v>623</v>
      </c>
      <c r="Q2171" s="372" t="s">
        <v>623</v>
      </c>
      <c r="R2171" s="695">
        <v>19991218</v>
      </c>
      <c r="S2171" s="372" t="s">
        <v>14056</v>
      </c>
      <c r="T2171" s="696" t="s">
        <v>772</v>
      </c>
      <c r="U2171" s="372" t="s">
        <v>14057</v>
      </c>
      <c r="V2171" s="722" t="s">
        <v>774</v>
      </c>
      <c r="W2171" s="722">
        <v>1.51</v>
      </c>
      <c r="X2171" s="722">
        <v>0.82</v>
      </c>
      <c r="Y2171" s="722" t="s">
        <v>774</v>
      </c>
      <c r="Z2171" s="382" t="s">
        <v>934</v>
      </c>
      <c r="AA2171" s="372">
        <v>524.93393160000005</v>
      </c>
      <c r="AB2171" s="372">
        <v>525.73686369999996</v>
      </c>
      <c r="AC2171" s="372">
        <v>525.25588330000005</v>
      </c>
      <c r="AD2171" s="372">
        <v>479.23293200000001</v>
      </c>
      <c r="AE2171" s="372">
        <v>0</v>
      </c>
      <c r="AF2171" s="372">
        <v>0</v>
      </c>
      <c r="AG2171" s="372">
        <v>0</v>
      </c>
      <c r="AH2171" s="372">
        <v>0</v>
      </c>
    </row>
    <row r="2172" spans="1:34">
      <c r="A2172" s="372" t="s">
        <v>14058</v>
      </c>
      <c r="B2172" s="372" t="s">
        <v>14059</v>
      </c>
      <c r="C2172" s="372" t="s">
        <v>14060</v>
      </c>
      <c r="D2172" s="374">
        <v>1101110759493</v>
      </c>
      <c r="E2172" s="372" t="s">
        <v>14061</v>
      </c>
      <c r="F2172" s="372" t="s">
        <v>4892</v>
      </c>
      <c r="G2172" s="375" t="s">
        <v>4893</v>
      </c>
      <c r="H2172" s="375" t="s">
        <v>1397</v>
      </c>
      <c r="I2172" s="375" t="s">
        <v>755</v>
      </c>
      <c r="J2172" s="375">
        <v>0</v>
      </c>
      <c r="K2172" s="375">
        <v>0</v>
      </c>
      <c r="L2172" s="375">
        <v>0</v>
      </c>
      <c r="M2172" s="375">
        <v>119959.59923000001</v>
      </c>
      <c r="N2172" s="372">
        <v>1.042</v>
      </c>
      <c r="O2172" s="703">
        <v>463.31853618894331</v>
      </c>
      <c r="P2172" s="562" t="s">
        <v>623</v>
      </c>
      <c r="Q2172" s="372" t="s">
        <v>623</v>
      </c>
      <c r="R2172" s="695">
        <v>19990623</v>
      </c>
      <c r="S2172" s="372" t="s">
        <v>14062</v>
      </c>
      <c r="T2172" s="696" t="s">
        <v>772</v>
      </c>
      <c r="U2172" s="372" t="s">
        <v>14063</v>
      </c>
      <c r="V2172" s="722">
        <v>0</v>
      </c>
      <c r="W2172" s="722">
        <v>0.42</v>
      </c>
      <c r="X2172" s="722">
        <v>0</v>
      </c>
      <c r="Y2172" s="722">
        <v>0</v>
      </c>
      <c r="Z2172" s="382" t="s">
        <v>934</v>
      </c>
      <c r="AA2172" s="372">
        <v>9567.5607514000003</v>
      </c>
      <c r="AB2172" s="372">
        <v>12567.5043959</v>
      </c>
      <c r="AC2172" s="372">
        <v>14323.8494801</v>
      </c>
      <c r="AD2172" s="372">
        <v>15026.281336800001</v>
      </c>
      <c r="AE2172" s="372">
        <v>0</v>
      </c>
      <c r="AF2172" s="372">
        <v>0</v>
      </c>
      <c r="AG2172" s="372">
        <v>0</v>
      </c>
      <c r="AH2172" s="372">
        <v>0</v>
      </c>
    </row>
    <row r="2173" spans="1:34">
      <c r="A2173" s="372" t="s">
        <v>14064</v>
      </c>
      <c r="B2173" s="372" t="s">
        <v>14065</v>
      </c>
      <c r="C2173" s="372" t="s">
        <v>14066</v>
      </c>
      <c r="D2173" s="374">
        <v>1101113251165</v>
      </c>
      <c r="E2173" s="372" t="s">
        <v>14067</v>
      </c>
      <c r="F2173" s="372" t="s">
        <v>822</v>
      </c>
      <c r="G2173" s="375" t="s">
        <v>822</v>
      </c>
      <c r="H2173" s="375" t="s">
        <v>1693</v>
      </c>
      <c r="I2173" s="375" t="s">
        <v>869</v>
      </c>
      <c r="J2173" s="375">
        <v>93135.610390000002</v>
      </c>
      <c r="K2173" s="375">
        <v>-28489.053790000002</v>
      </c>
      <c r="L2173" s="375">
        <v>-27814.711340000002</v>
      </c>
      <c r="M2173" s="375">
        <v>168912.03401</v>
      </c>
      <c r="N2173" s="372">
        <v>0.92300000000000004</v>
      </c>
      <c r="O2173" s="703">
        <v>778.52603936425737</v>
      </c>
      <c r="P2173" s="562" t="s">
        <v>623</v>
      </c>
      <c r="Q2173" s="372" t="s">
        <v>623</v>
      </c>
      <c r="R2173" s="695">
        <v>20150731</v>
      </c>
      <c r="S2173" s="372" t="s">
        <v>14068</v>
      </c>
      <c r="T2173" s="696" t="s">
        <v>772</v>
      </c>
      <c r="U2173" s="372" t="s">
        <v>14069</v>
      </c>
      <c r="V2173" s="722" t="s">
        <v>774</v>
      </c>
      <c r="W2173" s="722">
        <v>0.25</v>
      </c>
      <c r="X2173" s="722">
        <v>0.45</v>
      </c>
      <c r="Y2173" s="722" t="s">
        <v>774</v>
      </c>
      <c r="Z2173" s="382" t="s">
        <v>934</v>
      </c>
      <c r="AA2173" s="372">
        <v>718.47306149999997</v>
      </c>
      <c r="AB2173" s="372">
        <v>428.417147</v>
      </c>
      <c r="AC2173" s="372">
        <v>852.42477450000001</v>
      </c>
      <c r="AD2173" s="372">
        <v>931.35610389999999</v>
      </c>
      <c r="AE2173" s="372">
        <v>0</v>
      </c>
      <c r="AF2173" s="372">
        <v>0</v>
      </c>
      <c r="AG2173" s="372">
        <v>0</v>
      </c>
      <c r="AH2173" s="372">
        <v>0</v>
      </c>
    </row>
    <row r="2174" spans="1:34">
      <c r="A2174" s="372" t="s">
        <v>14070</v>
      </c>
      <c r="B2174" s="372" t="s">
        <v>14071</v>
      </c>
      <c r="C2174" s="372" t="s">
        <v>14072</v>
      </c>
      <c r="D2174" s="374">
        <v>1101110958590</v>
      </c>
      <c r="E2174" s="372" t="s">
        <v>14073</v>
      </c>
      <c r="F2174" s="372" t="s">
        <v>1381</v>
      </c>
      <c r="G2174" s="375" t="s">
        <v>1381</v>
      </c>
      <c r="H2174" s="375" t="s">
        <v>1693</v>
      </c>
      <c r="I2174" s="375" t="s">
        <v>869</v>
      </c>
      <c r="J2174" s="375">
        <v>10387.74836</v>
      </c>
      <c r="K2174" s="375">
        <v>-6086.4997100000001</v>
      </c>
      <c r="L2174" s="375">
        <v>-11621.86449</v>
      </c>
      <c r="M2174" s="375">
        <v>25224.568179999998</v>
      </c>
      <c r="N2174" s="372">
        <v>0.90100000000000002</v>
      </c>
      <c r="O2174" s="703">
        <v>1.0268851582820446</v>
      </c>
      <c r="P2174" s="562" t="s">
        <v>623</v>
      </c>
      <c r="Q2174" s="372" t="s">
        <v>623</v>
      </c>
      <c r="R2174" s="695">
        <v>20020102</v>
      </c>
      <c r="S2174" s="372" t="s">
        <v>14074</v>
      </c>
      <c r="T2174" s="696" t="s">
        <v>772</v>
      </c>
      <c r="U2174" s="372" t="s">
        <v>14075</v>
      </c>
      <c r="V2174" s="722" t="s">
        <v>774</v>
      </c>
      <c r="W2174" s="722">
        <v>1.35</v>
      </c>
      <c r="X2174" s="722">
        <v>3.93</v>
      </c>
      <c r="Y2174" s="722" t="s">
        <v>774</v>
      </c>
      <c r="Z2174" s="382" t="s">
        <v>934</v>
      </c>
      <c r="AA2174" s="372">
        <v>521.18583390000003</v>
      </c>
      <c r="AB2174" s="372">
        <v>368.30817070000001</v>
      </c>
      <c r="AC2174" s="372">
        <v>290.86009230000002</v>
      </c>
      <c r="AD2174" s="372">
        <v>103.87748360000001</v>
      </c>
      <c r="AE2174" s="372">
        <v>0</v>
      </c>
      <c r="AF2174" s="372">
        <v>0</v>
      </c>
      <c r="AG2174" s="372">
        <v>0</v>
      </c>
      <c r="AH2174" s="372">
        <v>0</v>
      </c>
    </row>
    <row r="2175" spans="1:34">
      <c r="A2175" s="372" t="s">
        <v>14076</v>
      </c>
      <c r="B2175" s="372" t="s">
        <v>14077</v>
      </c>
      <c r="C2175" s="372" t="s">
        <v>14078</v>
      </c>
      <c r="D2175" s="374">
        <v>1358110286766</v>
      </c>
      <c r="E2175" s="372" t="s">
        <v>14079</v>
      </c>
      <c r="F2175" s="372" t="s">
        <v>14080</v>
      </c>
      <c r="G2175" s="375" t="s">
        <v>14080</v>
      </c>
      <c r="H2175" s="375" t="s">
        <v>1388</v>
      </c>
      <c r="I2175" s="375" t="s">
        <v>869</v>
      </c>
      <c r="J2175" s="375">
        <v>26332.44109</v>
      </c>
      <c r="K2175" s="375">
        <v>-4057.2842000000001</v>
      </c>
      <c r="L2175" s="375">
        <v>-4524.0302499999998</v>
      </c>
      <c r="M2175" s="375">
        <v>19183.995889999998</v>
      </c>
      <c r="N2175" s="372" t="s">
        <v>1033</v>
      </c>
      <c r="O2175" s="703">
        <v>28.181599139473285</v>
      </c>
      <c r="P2175" s="562" t="s">
        <v>623</v>
      </c>
      <c r="Q2175" s="372" t="s">
        <v>623</v>
      </c>
      <c r="R2175" s="695">
        <v>20221229</v>
      </c>
      <c r="S2175" s="372" t="s">
        <v>14081</v>
      </c>
      <c r="T2175" s="696" t="s">
        <v>772</v>
      </c>
      <c r="U2175" s="372" t="s">
        <v>14082</v>
      </c>
      <c r="V2175" s="722" t="s">
        <v>774</v>
      </c>
      <c r="W2175" s="722">
        <v>1.66</v>
      </c>
      <c r="X2175" s="722">
        <v>1.4</v>
      </c>
      <c r="Y2175" s="722" t="s">
        <v>774</v>
      </c>
      <c r="Z2175" s="382" t="s">
        <v>934</v>
      </c>
      <c r="AA2175" s="372">
        <v>0</v>
      </c>
      <c r="AB2175" s="372">
        <v>333.5251336</v>
      </c>
      <c r="AC2175" s="372">
        <v>243.18584860000001</v>
      </c>
      <c r="AD2175" s="372">
        <v>263.32441089999998</v>
      </c>
      <c r="AE2175" s="372">
        <v>0</v>
      </c>
      <c r="AF2175" s="372">
        <v>0</v>
      </c>
      <c r="AG2175" s="372">
        <v>0</v>
      </c>
      <c r="AH2175" s="372">
        <v>0</v>
      </c>
    </row>
    <row r="2176" spans="1:34">
      <c r="A2176" s="372" t="s">
        <v>14083</v>
      </c>
      <c r="B2176" s="372" t="s">
        <v>14084</v>
      </c>
      <c r="C2176" s="372" t="s">
        <v>14085</v>
      </c>
      <c r="D2176" s="374">
        <v>1101113623463</v>
      </c>
      <c r="E2176" s="372" t="s">
        <v>14086</v>
      </c>
      <c r="F2176" s="372" t="s">
        <v>1814</v>
      </c>
      <c r="G2176" s="375" t="s">
        <v>2821</v>
      </c>
      <c r="H2176" s="375" t="s">
        <v>1693</v>
      </c>
      <c r="I2176" s="375" t="s">
        <v>869</v>
      </c>
      <c r="J2176" s="375">
        <v>25511.836780000001</v>
      </c>
      <c r="K2176" s="375">
        <v>-2588.39041</v>
      </c>
      <c r="L2176" s="375">
        <v>-3978.5520499999998</v>
      </c>
      <c r="M2176" s="375">
        <v>33016.807030000004</v>
      </c>
      <c r="N2176" s="372">
        <v>1.05</v>
      </c>
      <c r="O2176" s="703">
        <v>18.772998976222087</v>
      </c>
      <c r="P2176" s="562" t="s">
        <v>623</v>
      </c>
      <c r="Q2176" s="372" t="s">
        <v>623</v>
      </c>
      <c r="R2176" s="695">
        <v>20070416</v>
      </c>
      <c r="S2176" s="372" t="s">
        <v>14087</v>
      </c>
      <c r="T2176" s="696" t="s">
        <v>772</v>
      </c>
      <c r="U2176" s="372" t="s">
        <v>14088</v>
      </c>
      <c r="V2176" s="722" t="s">
        <v>774</v>
      </c>
      <c r="W2176" s="722">
        <v>1.46</v>
      </c>
      <c r="X2176" s="722">
        <v>1.89</v>
      </c>
      <c r="Y2176" s="722" t="s">
        <v>774</v>
      </c>
      <c r="Z2176" s="382" t="s">
        <v>934</v>
      </c>
      <c r="AA2176" s="372">
        <v>94.732097999999993</v>
      </c>
      <c r="AB2176" s="372">
        <v>206.45100310000001</v>
      </c>
      <c r="AC2176" s="372">
        <v>260.86111640000001</v>
      </c>
      <c r="AD2176" s="372">
        <v>255.11836779999999</v>
      </c>
      <c r="AE2176" s="372">
        <v>0</v>
      </c>
      <c r="AF2176" s="372">
        <v>0</v>
      </c>
      <c r="AG2176" s="372">
        <v>0</v>
      </c>
      <c r="AH2176" s="372">
        <v>0</v>
      </c>
    </row>
    <row r="2177" spans="1:34">
      <c r="A2177" s="372" t="s">
        <v>14089</v>
      </c>
      <c r="B2177" s="372" t="s">
        <v>14090</v>
      </c>
      <c r="C2177" s="372" t="s">
        <v>14091</v>
      </c>
      <c r="D2177" s="374">
        <v>1101117167128</v>
      </c>
      <c r="E2177" s="372" t="s">
        <v>14092</v>
      </c>
      <c r="F2177" s="372" t="s">
        <v>5680</v>
      </c>
      <c r="G2177" s="375" t="s">
        <v>5680</v>
      </c>
      <c r="H2177" s="375" t="s">
        <v>868</v>
      </c>
      <c r="I2177" s="375" t="s">
        <v>869</v>
      </c>
      <c r="J2177" s="375">
        <v>59458.221599999997</v>
      </c>
      <c r="K2177" s="375">
        <v>2646.3434200000002</v>
      </c>
      <c r="L2177" s="375">
        <v>2624.9573099999998</v>
      </c>
      <c r="M2177" s="375">
        <v>22772.75099</v>
      </c>
      <c r="N2177" s="372">
        <v>0.95799999999999996</v>
      </c>
      <c r="O2177" s="703">
        <v>12.863668950418791</v>
      </c>
      <c r="P2177" s="562" t="s">
        <v>623</v>
      </c>
      <c r="Q2177" s="372" t="s">
        <v>623</v>
      </c>
      <c r="R2177" s="695">
        <v>20191002</v>
      </c>
      <c r="S2177" s="372" t="s">
        <v>14093</v>
      </c>
      <c r="T2177" s="696">
        <v>0.20900000000000002</v>
      </c>
      <c r="U2177" s="372" t="s">
        <v>14094</v>
      </c>
      <c r="V2177" s="722">
        <v>0</v>
      </c>
      <c r="W2177" s="722">
        <v>1.74</v>
      </c>
      <c r="X2177" s="722">
        <v>0</v>
      </c>
      <c r="Y2177" s="722">
        <v>0</v>
      </c>
      <c r="Z2177" s="382" t="s">
        <v>934</v>
      </c>
      <c r="AA2177" s="372">
        <v>328.2569694</v>
      </c>
      <c r="AB2177" s="372">
        <v>481.50106979999998</v>
      </c>
      <c r="AC2177" s="372">
        <v>616.25592170000004</v>
      </c>
      <c r="AD2177" s="372">
        <v>594.58221600000002</v>
      </c>
      <c r="AE2177" s="372">
        <v>0</v>
      </c>
      <c r="AF2177" s="372">
        <v>0</v>
      </c>
      <c r="AG2177" s="372">
        <v>0</v>
      </c>
      <c r="AH2177" s="372">
        <v>0</v>
      </c>
    </row>
    <row r="2178" spans="1:34">
      <c r="A2178" s="372" t="s">
        <v>14095</v>
      </c>
      <c r="B2178" s="372" t="s">
        <v>14096</v>
      </c>
      <c r="C2178" s="372" t="s">
        <v>14097</v>
      </c>
      <c r="D2178" s="374">
        <v>1101111787378</v>
      </c>
      <c r="E2178" s="372" t="s">
        <v>14098</v>
      </c>
      <c r="F2178" s="372" t="s">
        <v>3941</v>
      </c>
      <c r="G2178" s="375" t="s">
        <v>6406</v>
      </c>
      <c r="H2178" s="375" t="s">
        <v>868</v>
      </c>
      <c r="I2178" s="375" t="s">
        <v>869</v>
      </c>
      <c r="J2178" s="375">
        <v>18634.263869999999</v>
      </c>
      <c r="K2178" s="375">
        <v>-343.65368000000001</v>
      </c>
      <c r="L2178" s="375">
        <v>139.12978000000001</v>
      </c>
      <c r="M2178" s="375">
        <v>51702.40726</v>
      </c>
      <c r="N2178" s="372">
        <v>1.0069999999999999</v>
      </c>
      <c r="O2178" s="703">
        <v>26.444550022082293</v>
      </c>
      <c r="P2178" s="562" t="s">
        <v>623</v>
      </c>
      <c r="Q2178" s="372" t="s">
        <v>623</v>
      </c>
      <c r="R2178" s="695">
        <v>20181226</v>
      </c>
      <c r="S2178" s="372" t="s">
        <v>14099</v>
      </c>
      <c r="T2178" s="696">
        <v>9.9000000000000005E-2</v>
      </c>
      <c r="U2178" s="372" t="s">
        <v>14100</v>
      </c>
      <c r="V2178" s="722">
        <v>28.73</v>
      </c>
      <c r="W2178" s="722">
        <v>0.85</v>
      </c>
      <c r="X2178" s="722">
        <v>2.36</v>
      </c>
      <c r="Y2178" s="722">
        <v>40.590000000000003</v>
      </c>
      <c r="Z2178" s="382" t="s">
        <v>934</v>
      </c>
      <c r="AA2178" s="372">
        <v>123.8083298</v>
      </c>
      <c r="AB2178" s="372">
        <v>121.1667028</v>
      </c>
      <c r="AC2178" s="372">
        <v>145.7859393</v>
      </c>
      <c r="AD2178" s="372">
        <v>186.34263870000001</v>
      </c>
      <c r="AE2178" s="372">
        <v>0</v>
      </c>
      <c r="AF2178" s="372">
        <v>0</v>
      </c>
      <c r="AG2178" s="372">
        <v>0</v>
      </c>
      <c r="AH2178" s="372">
        <v>0</v>
      </c>
    </row>
    <row r="2179" spans="1:34">
      <c r="A2179" s="372" t="s">
        <v>14101</v>
      </c>
      <c r="B2179" s="372" t="s">
        <v>14102</v>
      </c>
      <c r="C2179" s="372" t="s">
        <v>14103</v>
      </c>
      <c r="D2179" s="374">
        <v>1311110021699</v>
      </c>
      <c r="E2179" s="372" t="s">
        <v>14104</v>
      </c>
      <c r="F2179" s="372" t="s">
        <v>1761</v>
      </c>
      <c r="G2179" s="375" t="s">
        <v>1761</v>
      </c>
      <c r="H2179" s="375" t="s">
        <v>3127</v>
      </c>
      <c r="I2179" s="375" t="s">
        <v>869</v>
      </c>
      <c r="J2179" s="375">
        <v>36985.66618</v>
      </c>
      <c r="K2179" s="375">
        <v>6475.0589099999997</v>
      </c>
      <c r="L2179" s="375">
        <v>6721.1488900000004</v>
      </c>
      <c r="M2179" s="375">
        <v>79878.666150000005</v>
      </c>
      <c r="N2179" s="372">
        <v>0.75800000000000001</v>
      </c>
      <c r="O2179" s="703">
        <v>0</v>
      </c>
      <c r="P2179" s="562" t="s">
        <v>623</v>
      </c>
      <c r="Q2179" s="372" t="s">
        <v>623</v>
      </c>
      <c r="R2179" s="695">
        <v>20011113</v>
      </c>
      <c r="S2179" s="372" t="s">
        <v>14105</v>
      </c>
      <c r="T2179" s="696">
        <v>0.20900000000000002</v>
      </c>
      <c r="U2179" s="372" t="s">
        <v>14106</v>
      </c>
      <c r="V2179" s="722">
        <v>6.23</v>
      </c>
      <c r="W2179" s="722">
        <v>0.48</v>
      </c>
      <c r="X2179" s="722">
        <v>1.17</v>
      </c>
      <c r="Y2179" s="722">
        <v>8.1199999999999992</v>
      </c>
      <c r="Z2179" s="382" t="s">
        <v>934</v>
      </c>
      <c r="AA2179" s="372">
        <v>166.52185750000001</v>
      </c>
      <c r="AB2179" s="372">
        <v>150.4772552</v>
      </c>
      <c r="AC2179" s="372">
        <v>202.83592150000001</v>
      </c>
      <c r="AD2179" s="372">
        <v>369.85666179999998</v>
      </c>
      <c r="AE2179" s="372">
        <v>0</v>
      </c>
      <c r="AF2179" s="372">
        <v>0</v>
      </c>
      <c r="AG2179" s="372">
        <v>0</v>
      </c>
      <c r="AH2179" s="372">
        <v>0</v>
      </c>
    </row>
    <row r="2180" spans="1:34">
      <c r="A2180" s="372" t="s">
        <v>14107</v>
      </c>
      <c r="B2180" s="372" t="s">
        <v>14108</v>
      </c>
      <c r="C2180" s="372" t="s">
        <v>14109</v>
      </c>
      <c r="D2180" s="374">
        <v>1101115221158</v>
      </c>
      <c r="E2180" s="372" t="s">
        <v>14110</v>
      </c>
      <c r="F2180" s="372" t="s">
        <v>1381</v>
      </c>
      <c r="G2180" s="375" t="s">
        <v>1381</v>
      </c>
      <c r="H2180" s="375" t="s">
        <v>1693</v>
      </c>
      <c r="I2180" s="375" t="s">
        <v>869</v>
      </c>
      <c r="J2180" s="375">
        <v>54733.280059999997</v>
      </c>
      <c r="K2180" s="375">
        <v>1276.8904199999999</v>
      </c>
      <c r="L2180" s="375">
        <v>-179.86154999999999</v>
      </c>
      <c r="M2180" s="375">
        <v>57069.941359999997</v>
      </c>
      <c r="N2180" s="372">
        <v>1.147</v>
      </c>
      <c r="O2180" s="703">
        <v>47.824139014971834</v>
      </c>
      <c r="P2180" s="562" t="s">
        <v>623</v>
      </c>
      <c r="Q2180" s="372" t="s">
        <v>623</v>
      </c>
      <c r="R2180" s="695">
        <v>20131220</v>
      </c>
      <c r="S2180" s="372" t="s">
        <v>14111</v>
      </c>
      <c r="T2180" s="696" t="s">
        <v>772</v>
      </c>
      <c r="U2180" s="372" t="s">
        <v>14112</v>
      </c>
      <c r="V2180" s="722">
        <v>11.34</v>
      </c>
      <c r="W2180" s="722">
        <v>0.86</v>
      </c>
      <c r="X2180" s="722">
        <v>0.78</v>
      </c>
      <c r="Y2180" s="722" t="s">
        <v>774</v>
      </c>
      <c r="Z2180" s="382" t="s">
        <v>934</v>
      </c>
      <c r="AA2180" s="372">
        <v>405.7211633</v>
      </c>
      <c r="AB2180" s="372">
        <v>219.3882993</v>
      </c>
      <c r="AC2180" s="372">
        <v>373.23741649999999</v>
      </c>
      <c r="AD2180" s="372">
        <v>547.33280060000004</v>
      </c>
      <c r="AE2180" s="372">
        <v>0</v>
      </c>
      <c r="AF2180" s="372">
        <v>0</v>
      </c>
      <c r="AG2180" s="372">
        <v>0</v>
      </c>
      <c r="AH2180" s="372">
        <v>0</v>
      </c>
    </row>
    <row r="2181" spans="1:34">
      <c r="A2181" s="372" t="s">
        <v>14113</v>
      </c>
      <c r="B2181" s="372" t="s">
        <v>14114</v>
      </c>
      <c r="C2181" s="372" t="s">
        <v>14115</v>
      </c>
      <c r="D2181" s="374">
        <v>1341110021539</v>
      </c>
      <c r="E2181" s="372" t="s">
        <v>14116</v>
      </c>
      <c r="F2181" s="372" t="s">
        <v>3997</v>
      </c>
      <c r="G2181" s="375" t="s">
        <v>3997</v>
      </c>
      <c r="H2181" s="375" t="s">
        <v>868</v>
      </c>
      <c r="I2181" s="375" t="s">
        <v>869</v>
      </c>
      <c r="J2181" s="375">
        <v>69278.802739999999</v>
      </c>
      <c r="K2181" s="375">
        <v>-4311.0695999999998</v>
      </c>
      <c r="L2181" s="375">
        <v>-6047.4579800000001</v>
      </c>
      <c r="M2181" s="375">
        <v>44218.508470000001</v>
      </c>
      <c r="N2181" s="372">
        <v>0.68</v>
      </c>
      <c r="O2181" s="703">
        <v>42.206551903127362</v>
      </c>
      <c r="P2181" s="562" t="s">
        <v>623</v>
      </c>
      <c r="Q2181" s="372" t="s">
        <v>623</v>
      </c>
      <c r="R2181" s="695">
        <v>20030113</v>
      </c>
      <c r="S2181" s="372" t="s">
        <v>2092</v>
      </c>
      <c r="T2181" s="696" t="s">
        <v>772</v>
      </c>
      <c r="U2181" s="372" t="s">
        <v>14117</v>
      </c>
      <c r="V2181" s="722" t="s">
        <v>774</v>
      </c>
      <c r="W2181" s="722">
        <v>0.92</v>
      </c>
      <c r="X2181" s="722">
        <v>0.6</v>
      </c>
      <c r="Y2181" s="722">
        <v>176</v>
      </c>
      <c r="Z2181" s="382" t="s">
        <v>934</v>
      </c>
      <c r="AA2181" s="372">
        <v>937.19510019999996</v>
      </c>
      <c r="AB2181" s="372">
        <v>874.31172449999997</v>
      </c>
      <c r="AC2181" s="372">
        <v>866.57750910000004</v>
      </c>
      <c r="AD2181" s="372">
        <v>692.78802740000003</v>
      </c>
      <c r="AE2181" s="372">
        <v>0</v>
      </c>
      <c r="AF2181" s="372">
        <v>0</v>
      </c>
      <c r="AG2181" s="372">
        <v>0</v>
      </c>
      <c r="AH2181" s="372">
        <v>0</v>
      </c>
    </row>
    <row r="2182" spans="1:34">
      <c r="A2182" s="372" t="s">
        <v>14118</v>
      </c>
      <c r="B2182" s="372" t="s">
        <v>14119</v>
      </c>
      <c r="C2182" s="372" t="s">
        <v>14120</v>
      </c>
      <c r="D2182" s="374">
        <v>1101112507551</v>
      </c>
      <c r="E2182" s="372" t="s">
        <v>14121</v>
      </c>
      <c r="F2182" s="372" t="s">
        <v>1553</v>
      </c>
      <c r="G2182" s="375" t="s">
        <v>3677</v>
      </c>
      <c r="H2182" s="375" t="s">
        <v>1555</v>
      </c>
      <c r="I2182" s="375" t="s">
        <v>755</v>
      </c>
      <c r="J2182" s="375">
        <v>94485.977329999994</v>
      </c>
      <c r="K2182" s="375">
        <v>2485.7379999999998</v>
      </c>
      <c r="L2182" s="375">
        <v>170.77315999999999</v>
      </c>
      <c r="M2182" s="375">
        <v>69926.775299999994</v>
      </c>
      <c r="N2182" s="372">
        <v>1.012</v>
      </c>
      <c r="O2182" s="703">
        <v>74.176974075079727</v>
      </c>
      <c r="P2182" s="562" t="s">
        <v>623</v>
      </c>
      <c r="Q2182" s="372" t="s">
        <v>623</v>
      </c>
      <c r="R2182" s="695">
        <v>20090928</v>
      </c>
      <c r="S2182" s="372" t="s">
        <v>14122</v>
      </c>
      <c r="T2182" s="696">
        <v>9.9000000000000005E-2</v>
      </c>
      <c r="U2182" s="372" t="s">
        <v>14123</v>
      </c>
      <c r="V2182" s="722">
        <v>12.49</v>
      </c>
      <c r="W2182" s="722">
        <v>0.66</v>
      </c>
      <c r="X2182" s="722">
        <v>0.5</v>
      </c>
      <c r="Y2182" s="722">
        <v>23.47</v>
      </c>
      <c r="Z2182" s="382" t="s">
        <v>934</v>
      </c>
      <c r="AA2182" s="372">
        <v>1479.4873024000001</v>
      </c>
      <c r="AB2182" s="372">
        <v>1352.8163469000001</v>
      </c>
      <c r="AC2182" s="372">
        <v>1372.7136871</v>
      </c>
      <c r="AD2182" s="372">
        <v>944.85977330000003</v>
      </c>
      <c r="AE2182" s="372">
        <v>0</v>
      </c>
      <c r="AF2182" s="372">
        <v>0</v>
      </c>
      <c r="AG2182" s="372">
        <v>0</v>
      </c>
      <c r="AH2182" s="372">
        <v>0</v>
      </c>
    </row>
    <row r="2183" spans="1:34">
      <c r="A2183" s="372" t="s">
        <v>14124</v>
      </c>
      <c r="B2183" s="372" t="s">
        <v>14125</v>
      </c>
      <c r="C2183" s="372" t="s">
        <v>14126</v>
      </c>
      <c r="D2183" s="374">
        <v>1801110052091</v>
      </c>
      <c r="E2183" s="372" t="s">
        <v>14127</v>
      </c>
      <c r="F2183" s="372" t="s">
        <v>8745</v>
      </c>
      <c r="G2183" s="375" t="s">
        <v>8746</v>
      </c>
      <c r="H2183" s="375" t="s">
        <v>868</v>
      </c>
      <c r="I2183" s="375" t="s">
        <v>869</v>
      </c>
      <c r="J2183" s="375">
        <v>11835.001410000001</v>
      </c>
      <c r="K2183" s="375">
        <v>1351.8797400000001</v>
      </c>
      <c r="L2183" s="375">
        <v>1421.02666</v>
      </c>
      <c r="M2183" s="375">
        <v>74962.897930000006</v>
      </c>
      <c r="N2183" s="372">
        <v>0.92700000000000005</v>
      </c>
      <c r="O2183" s="703">
        <v>1.4543453366271344E-2</v>
      </c>
      <c r="P2183" s="562" t="s">
        <v>623</v>
      </c>
      <c r="Q2183" s="372" t="s">
        <v>623</v>
      </c>
      <c r="R2183" s="695">
        <v>19911218</v>
      </c>
      <c r="S2183" s="372" t="s">
        <v>14128</v>
      </c>
      <c r="T2183" s="696">
        <v>0.20900000000000002</v>
      </c>
      <c r="U2183" s="372" t="s">
        <v>14129</v>
      </c>
      <c r="V2183" s="722">
        <v>0</v>
      </c>
      <c r="W2183" s="722">
        <v>0.56999999999999995</v>
      </c>
      <c r="X2183" s="722">
        <v>0</v>
      </c>
      <c r="Y2183" s="722">
        <v>0</v>
      </c>
      <c r="Z2183" s="382" t="s">
        <v>934</v>
      </c>
      <c r="AA2183" s="372">
        <v>143.1151199</v>
      </c>
      <c r="AB2183" s="372">
        <v>150.29594449999999</v>
      </c>
      <c r="AC2183" s="372">
        <v>139.66161589999999</v>
      </c>
      <c r="AD2183" s="372">
        <v>118.3500141</v>
      </c>
      <c r="AE2183" s="372">
        <v>0</v>
      </c>
      <c r="AF2183" s="372">
        <v>0</v>
      </c>
      <c r="AG2183" s="372">
        <v>0</v>
      </c>
      <c r="AH2183" s="372">
        <v>0</v>
      </c>
    </row>
    <row r="2184" spans="1:34">
      <c r="A2184" s="372" t="s">
        <v>14130</v>
      </c>
      <c r="B2184" s="372" t="s">
        <v>14131</v>
      </c>
      <c r="C2184" s="372" t="s">
        <v>14132</v>
      </c>
      <c r="D2184" s="374">
        <v>1812110008083</v>
      </c>
      <c r="E2184" s="372" t="s">
        <v>14133</v>
      </c>
      <c r="F2184" s="372" t="s">
        <v>2030</v>
      </c>
      <c r="G2184" s="375" t="s">
        <v>2030</v>
      </c>
      <c r="H2184" s="375" t="s">
        <v>868</v>
      </c>
      <c r="I2184" s="375" t="s">
        <v>869</v>
      </c>
      <c r="J2184" s="375">
        <v>162809.37031999999</v>
      </c>
      <c r="K2184" s="375">
        <v>1976.6086399999999</v>
      </c>
      <c r="L2184" s="375">
        <v>-2350.1529799999998</v>
      </c>
      <c r="M2184" s="375">
        <v>37596.113389999999</v>
      </c>
      <c r="N2184" s="372">
        <v>1.0589999999999999</v>
      </c>
      <c r="O2184" s="703">
        <v>49.876373854203834</v>
      </c>
      <c r="P2184" s="562" t="s">
        <v>623</v>
      </c>
      <c r="Q2184" s="372" t="s">
        <v>623</v>
      </c>
      <c r="R2184" s="695">
        <v>20020917</v>
      </c>
      <c r="S2184" s="372" t="s">
        <v>14134</v>
      </c>
      <c r="T2184" s="696" t="s">
        <v>772</v>
      </c>
      <c r="U2184" s="372" t="s">
        <v>14135</v>
      </c>
      <c r="V2184" s="722">
        <v>12.05</v>
      </c>
      <c r="W2184" s="722">
        <v>1.02</v>
      </c>
      <c r="X2184" s="722">
        <v>0.23</v>
      </c>
      <c r="Y2184" s="722" t="s">
        <v>774</v>
      </c>
      <c r="Z2184" s="382" t="s">
        <v>934</v>
      </c>
      <c r="AA2184" s="372">
        <v>822.0317675</v>
      </c>
      <c r="AB2184" s="372">
        <v>1148.6758012</v>
      </c>
      <c r="AC2184" s="372">
        <v>1119.7948501000001</v>
      </c>
      <c r="AD2184" s="372">
        <v>1628.0937031999999</v>
      </c>
      <c r="AE2184" s="372">
        <v>0</v>
      </c>
      <c r="AF2184" s="372">
        <v>0</v>
      </c>
      <c r="AG2184" s="372">
        <v>0</v>
      </c>
      <c r="AH2184" s="372">
        <v>0</v>
      </c>
    </row>
    <row r="2185" spans="1:34">
      <c r="A2185" s="372" t="s">
        <v>14136</v>
      </c>
      <c r="B2185" s="372" t="s">
        <v>14137</v>
      </c>
      <c r="C2185" s="372" t="s">
        <v>14138</v>
      </c>
      <c r="D2185" s="374">
        <v>1101111220063</v>
      </c>
      <c r="E2185" s="372" t="s">
        <v>14139</v>
      </c>
      <c r="F2185" s="372" t="s">
        <v>1381</v>
      </c>
      <c r="G2185" s="375" t="s">
        <v>1381</v>
      </c>
      <c r="H2185" s="375" t="s">
        <v>1693</v>
      </c>
      <c r="I2185" s="375" t="s">
        <v>869</v>
      </c>
      <c r="J2185" s="375">
        <v>36300.830199999997</v>
      </c>
      <c r="K2185" s="375">
        <v>1181.2508700000001</v>
      </c>
      <c r="L2185" s="375">
        <v>3253.9825799999999</v>
      </c>
      <c r="M2185" s="375">
        <v>101259.31024000001</v>
      </c>
      <c r="N2185" s="372">
        <v>1.0049999999999999</v>
      </c>
      <c r="O2185" s="703">
        <v>14.611555327663842</v>
      </c>
      <c r="P2185" s="562" t="s">
        <v>623</v>
      </c>
      <c r="Q2185" s="372" t="s">
        <v>623</v>
      </c>
      <c r="R2185" s="695">
        <v>20000607</v>
      </c>
      <c r="S2185" s="372" t="s">
        <v>14140</v>
      </c>
      <c r="T2185" s="696">
        <v>0.20900000000000002</v>
      </c>
      <c r="U2185" s="372" t="s">
        <v>14141</v>
      </c>
      <c r="V2185" s="722">
        <v>20.78</v>
      </c>
      <c r="W2185" s="722">
        <v>0.42</v>
      </c>
      <c r="X2185" s="722">
        <v>1.18</v>
      </c>
      <c r="Y2185" s="722">
        <v>3.12</v>
      </c>
      <c r="Z2185" s="382" t="s">
        <v>934</v>
      </c>
      <c r="AA2185" s="372">
        <v>1318.1673034999999</v>
      </c>
      <c r="AB2185" s="372">
        <v>383.67926360000001</v>
      </c>
      <c r="AC2185" s="372">
        <v>380.876914</v>
      </c>
      <c r="AD2185" s="372">
        <v>363.00830200000001</v>
      </c>
      <c r="AE2185" s="372">
        <v>0</v>
      </c>
      <c r="AF2185" s="372">
        <v>0</v>
      </c>
      <c r="AG2185" s="372">
        <v>0</v>
      </c>
      <c r="AH2185" s="372">
        <v>0</v>
      </c>
    </row>
    <row r="2186" spans="1:34">
      <c r="A2186" s="372" t="s">
        <v>14142</v>
      </c>
      <c r="B2186" s="372" t="s">
        <v>14143</v>
      </c>
      <c r="C2186" s="372" t="s">
        <v>14144</v>
      </c>
      <c r="D2186" s="374">
        <v>2801110073830</v>
      </c>
      <c r="E2186" s="372" t="s">
        <v>14145</v>
      </c>
      <c r="F2186" s="372" t="s">
        <v>2535</v>
      </c>
      <c r="G2186" s="375" t="s">
        <v>2535</v>
      </c>
      <c r="H2186" s="375" t="s">
        <v>1388</v>
      </c>
      <c r="I2186" s="375" t="s">
        <v>869</v>
      </c>
      <c r="J2186" s="375">
        <v>16392.594420000001</v>
      </c>
      <c r="K2186" s="375">
        <v>-4103.0334899999998</v>
      </c>
      <c r="L2186" s="375">
        <v>-4436.0563400000001</v>
      </c>
      <c r="M2186" s="375">
        <v>14993.78731</v>
      </c>
      <c r="N2186" s="372">
        <v>1.0309999999999999</v>
      </c>
      <c r="O2186" s="703">
        <v>36.524198696825415</v>
      </c>
      <c r="P2186" s="562" t="s">
        <v>623</v>
      </c>
      <c r="Q2186" s="372" t="s">
        <v>623</v>
      </c>
      <c r="R2186" s="695">
        <v>20120927</v>
      </c>
      <c r="S2186" s="372" t="s">
        <v>14146</v>
      </c>
      <c r="T2186" s="696" t="s">
        <v>772</v>
      </c>
      <c r="U2186" s="372" t="s">
        <v>14147</v>
      </c>
      <c r="V2186" s="722" t="s">
        <v>774</v>
      </c>
      <c r="W2186" s="722">
        <v>2.73</v>
      </c>
      <c r="X2186" s="722">
        <v>2.83</v>
      </c>
      <c r="Y2186" s="722" t="s">
        <v>774</v>
      </c>
      <c r="Z2186" s="382" t="s">
        <v>934</v>
      </c>
      <c r="AA2186" s="372">
        <v>369.5274015</v>
      </c>
      <c r="AB2186" s="372">
        <v>161.87125979999999</v>
      </c>
      <c r="AC2186" s="372">
        <v>97.0266637</v>
      </c>
      <c r="AD2186" s="372">
        <v>163.9259442</v>
      </c>
      <c r="AE2186" s="372">
        <v>0</v>
      </c>
      <c r="AF2186" s="372">
        <v>0</v>
      </c>
      <c r="AG2186" s="372">
        <v>0</v>
      </c>
      <c r="AH2186" s="372">
        <v>0</v>
      </c>
    </row>
    <row r="2187" spans="1:34">
      <c r="A2187" s="372" t="s">
        <v>14148</v>
      </c>
      <c r="B2187" s="372" t="s">
        <v>14149</v>
      </c>
      <c r="C2187" s="372" t="s">
        <v>14150</v>
      </c>
      <c r="D2187" s="374">
        <v>1101110046197</v>
      </c>
      <c r="E2187" s="372" t="s">
        <v>14151</v>
      </c>
      <c r="F2187" s="372" t="s">
        <v>2729</v>
      </c>
      <c r="G2187" s="375" t="s">
        <v>5245</v>
      </c>
      <c r="H2187" s="375" t="s">
        <v>868</v>
      </c>
      <c r="I2187" s="375" t="s">
        <v>869</v>
      </c>
      <c r="J2187" s="375">
        <v>111406.31439</v>
      </c>
      <c r="K2187" s="375">
        <v>12140.84361</v>
      </c>
      <c r="L2187" s="375">
        <v>12684.03981</v>
      </c>
      <c r="M2187" s="375">
        <v>42203.319620000002</v>
      </c>
      <c r="N2187" s="372">
        <v>1.177</v>
      </c>
      <c r="O2187" s="703">
        <v>4.478927979402533</v>
      </c>
      <c r="P2187" s="562" t="s">
        <v>623</v>
      </c>
      <c r="Q2187" s="372" t="s">
        <v>623</v>
      </c>
      <c r="R2187" s="695">
        <v>19881229</v>
      </c>
      <c r="S2187" s="372" t="s">
        <v>5246</v>
      </c>
      <c r="T2187" s="696">
        <v>0.20900000000000002</v>
      </c>
      <c r="U2187" s="372" t="s">
        <v>14152</v>
      </c>
      <c r="V2187" s="722">
        <v>3.81</v>
      </c>
      <c r="W2187" s="722">
        <v>1.29</v>
      </c>
      <c r="X2187" s="722">
        <v>0.39</v>
      </c>
      <c r="Y2187" s="722">
        <v>5.19</v>
      </c>
      <c r="Z2187" s="382" t="s">
        <v>934</v>
      </c>
      <c r="AA2187" s="372">
        <v>707.45703430000003</v>
      </c>
      <c r="AB2187" s="372">
        <v>728.14044109999998</v>
      </c>
      <c r="AC2187" s="372">
        <v>901.23541699999998</v>
      </c>
      <c r="AD2187" s="372">
        <v>1114.0631438999999</v>
      </c>
      <c r="AE2187" s="372">
        <v>0</v>
      </c>
      <c r="AF2187" s="372">
        <v>0</v>
      </c>
      <c r="AG2187" s="372">
        <v>0</v>
      </c>
      <c r="AH2187" s="372">
        <v>0</v>
      </c>
    </row>
    <row r="2188" spans="1:34">
      <c r="A2188" s="372" t="s">
        <v>14153</v>
      </c>
      <c r="B2188" s="372" t="s">
        <v>14154</v>
      </c>
      <c r="C2188" s="372" t="s">
        <v>14155</v>
      </c>
      <c r="D2188" s="374">
        <v>1747110000187</v>
      </c>
      <c r="E2188" s="372" t="s">
        <v>14156</v>
      </c>
      <c r="F2188" s="372" t="s">
        <v>5353</v>
      </c>
      <c r="G2188" s="375" t="s">
        <v>5353</v>
      </c>
      <c r="H2188" s="375" t="s">
        <v>868</v>
      </c>
      <c r="I2188" s="375" t="s">
        <v>869</v>
      </c>
      <c r="J2188" s="375">
        <v>92576.838910000006</v>
      </c>
      <c r="K2188" s="375">
        <v>6049.0043500000002</v>
      </c>
      <c r="L2188" s="375">
        <v>7153.9093199999998</v>
      </c>
      <c r="M2188" s="375">
        <v>66216.719620000003</v>
      </c>
      <c r="N2188" s="372">
        <v>1.026</v>
      </c>
      <c r="O2188" s="703">
        <v>67.946029753682922</v>
      </c>
      <c r="P2188" s="562" t="s">
        <v>623</v>
      </c>
      <c r="Q2188" s="372" t="s">
        <v>623</v>
      </c>
      <c r="R2188" s="695">
        <v>19950630</v>
      </c>
      <c r="S2188" s="372" t="s">
        <v>6976</v>
      </c>
      <c r="T2188" s="696">
        <v>0.20900000000000002</v>
      </c>
      <c r="U2188" s="372" t="s">
        <v>14157</v>
      </c>
      <c r="V2188" s="722">
        <v>6.2</v>
      </c>
      <c r="W2188" s="722">
        <v>0.62</v>
      </c>
      <c r="X2188" s="722">
        <v>0.45</v>
      </c>
      <c r="Y2188" s="722">
        <v>6.28</v>
      </c>
      <c r="Z2188" s="382" t="s">
        <v>934</v>
      </c>
      <c r="AA2188" s="372">
        <v>657.40379710000002</v>
      </c>
      <c r="AB2188" s="372">
        <v>757.42976480000004</v>
      </c>
      <c r="AC2188" s="372">
        <v>884.77418720000003</v>
      </c>
      <c r="AD2188" s="372">
        <v>925.76838910000004</v>
      </c>
      <c r="AE2188" s="372">
        <v>0</v>
      </c>
      <c r="AF2188" s="372">
        <v>0</v>
      </c>
      <c r="AG2188" s="372">
        <v>0</v>
      </c>
      <c r="AH2188" s="372">
        <v>0</v>
      </c>
    </row>
    <row r="2189" spans="1:34">
      <c r="A2189" s="372" t="s">
        <v>14158</v>
      </c>
      <c r="B2189" s="372" t="s">
        <v>14159</v>
      </c>
      <c r="C2189" s="372" t="s">
        <v>14160</v>
      </c>
      <c r="D2189" s="374">
        <v>1101118321054</v>
      </c>
      <c r="E2189" s="372" t="s">
        <v>14161</v>
      </c>
      <c r="F2189" s="372" t="s">
        <v>1151</v>
      </c>
      <c r="G2189" s="375" t="s">
        <v>1152</v>
      </c>
      <c r="H2189" s="375" t="s">
        <v>902</v>
      </c>
      <c r="I2189" s="375" t="s">
        <v>869</v>
      </c>
      <c r="J2189" s="375">
        <v>0</v>
      </c>
      <c r="K2189" s="375">
        <v>-133.23863</v>
      </c>
      <c r="L2189" s="375">
        <v>1690.44785</v>
      </c>
      <c r="M2189" s="375">
        <v>43320.085870000003</v>
      </c>
      <c r="N2189" s="372" t="s">
        <v>1033</v>
      </c>
      <c r="O2189" s="703">
        <v>11.516249607536784</v>
      </c>
      <c r="P2189" s="562" t="s">
        <v>623</v>
      </c>
      <c r="Q2189" s="372" t="s">
        <v>623</v>
      </c>
      <c r="R2189" s="695">
        <v>20221020</v>
      </c>
      <c r="S2189" s="372" t="s">
        <v>9098</v>
      </c>
      <c r="T2189" s="696">
        <v>0.20900000000000002</v>
      </c>
      <c r="U2189" s="372">
        <v>0</v>
      </c>
      <c r="V2189" s="722">
        <v>0</v>
      </c>
      <c r="W2189" s="722">
        <v>0.93</v>
      </c>
      <c r="X2189" s="722">
        <v>0</v>
      </c>
      <c r="Y2189" s="722">
        <v>0</v>
      </c>
      <c r="Z2189" s="382" t="s">
        <v>774</v>
      </c>
      <c r="AA2189" s="372">
        <v>0</v>
      </c>
      <c r="AB2189" s="372">
        <v>0</v>
      </c>
      <c r="AC2189" s="372">
        <v>0</v>
      </c>
      <c r="AD2189" s="372">
        <v>0</v>
      </c>
      <c r="AE2189" s="372">
        <v>0</v>
      </c>
      <c r="AF2189" s="372">
        <v>0</v>
      </c>
      <c r="AG2189" s="372">
        <v>0</v>
      </c>
      <c r="AH2189" s="372">
        <v>0</v>
      </c>
    </row>
    <row r="2190" spans="1:34">
      <c r="A2190" s="372" t="s">
        <v>14162</v>
      </c>
      <c r="B2190" s="372" t="s">
        <v>14163</v>
      </c>
      <c r="C2190" s="372" t="s">
        <v>14164</v>
      </c>
      <c r="D2190" s="374">
        <v>1101110685309</v>
      </c>
      <c r="E2190" s="372" t="s">
        <v>14165</v>
      </c>
      <c r="F2190" s="372" t="s">
        <v>1013</v>
      </c>
      <c r="G2190" s="375" t="s">
        <v>1013</v>
      </c>
      <c r="H2190" s="375" t="s">
        <v>1693</v>
      </c>
      <c r="I2190" s="375" t="s">
        <v>869</v>
      </c>
      <c r="J2190" s="375">
        <v>16617.92958</v>
      </c>
      <c r="K2190" s="375">
        <v>-13327.228940000001</v>
      </c>
      <c r="L2190" s="375">
        <v>-28462.192159999999</v>
      </c>
      <c r="M2190" s="375">
        <v>28364.034650000001</v>
      </c>
      <c r="N2190" s="372">
        <v>0.99399999999999999</v>
      </c>
      <c r="O2190" s="703">
        <v>8.2487494465666593</v>
      </c>
      <c r="P2190" s="562" t="s">
        <v>623</v>
      </c>
      <c r="Q2190" s="372" t="s">
        <v>623</v>
      </c>
      <c r="R2190" s="695">
        <v>19971110</v>
      </c>
      <c r="S2190" s="372" t="s">
        <v>14166</v>
      </c>
      <c r="T2190" s="696" t="s">
        <v>772</v>
      </c>
      <c r="U2190" s="372" t="s">
        <v>14167</v>
      </c>
      <c r="V2190" s="722" t="s">
        <v>774</v>
      </c>
      <c r="W2190" s="722">
        <v>1.54</v>
      </c>
      <c r="X2190" s="722">
        <v>2.5299999999999998</v>
      </c>
      <c r="Y2190" s="722" t="s">
        <v>774</v>
      </c>
      <c r="Z2190" s="382" t="s">
        <v>934</v>
      </c>
      <c r="AA2190" s="372">
        <v>37.768515999999998</v>
      </c>
      <c r="AB2190" s="372">
        <v>62.969944499999997</v>
      </c>
      <c r="AC2190" s="372">
        <v>70.968036699999999</v>
      </c>
      <c r="AD2190" s="372">
        <v>166.17929580000001</v>
      </c>
      <c r="AE2190" s="372">
        <v>0</v>
      </c>
      <c r="AF2190" s="372">
        <v>0</v>
      </c>
      <c r="AG2190" s="372">
        <v>0</v>
      </c>
      <c r="AH2190" s="372">
        <v>0</v>
      </c>
    </row>
    <row r="2191" spans="1:34">
      <c r="A2191" s="372" t="s">
        <v>14168</v>
      </c>
      <c r="B2191" s="372" t="s">
        <v>14169</v>
      </c>
      <c r="C2191" s="372" t="s">
        <v>14170</v>
      </c>
      <c r="D2191" s="374">
        <v>1348110003715</v>
      </c>
      <c r="E2191" s="372" t="s">
        <v>14171</v>
      </c>
      <c r="F2191" s="372" t="s">
        <v>2139</v>
      </c>
      <c r="G2191" s="375" t="s">
        <v>14172</v>
      </c>
      <c r="H2191" s="375" t="s">
        <v>868</v>
      </c>
      <c r="I2191" s="375" t="s">
        <v>869</v>
      </c>
      <c r="J2191" s="375">
        <v>66951.087079999998</v>
      </c>
      <c r="K2191" s="375">
        <v>1568.8509100000001</v>
      </c>
      <c r="L2191" s="375">
        <v>1392.98819</v>
      </c>
      <c r="M2191" s="375">
        <v>61794.496160000002</v>
      </c>
      <c r="N2191" s="372">
        <v>0.55000000000000004</v>
      </c>
      <c r="O2191" s="703">
        <v>11.894463706594964</v>
      </c>
      <c r="P2191" s="562" t="s">
        <v>623</v>
      </c>
      <c r="Q2191" s="372" t="s">
        <v>623</v>
      </c>
      <c r="R2191" s="695">
        <v>20050125</v>
      </c>
      <c r="S2191" s="372" t="s">
        <v>14173</v>
      </c>
      <c r="T2191" s="696">
        <v>0.20900000000000002</v>
      </c>
      <c r="U2191" s="372" t="s">
        <v>14174</v>
      </c>
      <c r="V2191" s="722">
        <v>0</v>
      </c>
      <c r="W2191" s="722">
        <v>0.69</v>
      </c>
      <c r="X2191" s="722">
        <v>0</v>
      </c>
      <c r="Y2191" s="722">
        <v>0</v>
      </c>
      <c r="Z2191" s="382" t="s">
        <v>934</v>
      </c>
      <c r="AA2191" s="372">
        <v>562.85675890000005</v>
      </c>
      <c r="AB2191" s="372">
        <v>737.39923339999996</v>
      </c>
      <c r="AC2191" s="372">
        <v>993.00011199999994</v>
      </c>
      <c r="AD2191" s="372">
        <v>669.51087080000002</v>
      </c>
      <c r="AE2191" s="372">
        <v>0</v>
      </c>
      <c r="AF2191" s="372">
        <v>0</v>
      </c>
      <c r="AG2191" s="372">
        <v>0</v>
      </c>
      <c r="AH2191" s="372">
        <v>0</v>
      </c>
    </row>
    <row r="2192" spans="1:34">
      <c r="A2192" s="372" t="s">
        <v>14175</v>
      </c>
      <c r="B2192" s="372" t="s">
        <v>14176</v>
      </c>
      <c r="C2192" s="372" t="s">
        <v>14177</v>
      </c>
      <c r="D2192" s="374">
        <v>1101117442710</v>
      </c>
      <c r="E2192" s="372" t="s">
        <v>14178</v>
      </c>
      <c r="F2192" s="372" t="s">
        <v>2245</v>
      </c>
      <c r="G2192" s="375" t="s">
        <v>2245</v>
      </c>
      <c r="H2192" s="375" t="s">
        <v>868</v>
      </c>
      <c r="I2192" s="375" t="s">
        <v>869</v>
      </c>
      <c r="J2192" s="375">
        <v>88406.989379999999</v>
      </c>
      <c r="K2192" s="375">
        <v>3755.2500799999998</v>
      </c>
      <c r="L2192" s="375">
        <v>4534.8187500000004</v>
      </c>
      <c r="M2192" s="375">
        <v>41285.955730000001</v>
      </c>
      <c r="N2192" s="372">
        <v>0.92200000000000004</v>
      </c>
      <c r="O2192" s="703">
        <v>43.825522101021477</v>
      </c>
      <c r="P2192" s="562" t="s">
        <v>623</v>
      </c>
      <c r="Q2192" s="372" t="s">
        <v>623</v>
      </c>
      <c r="R2192" s="695">
        <v>20200617</v>
      </c>
      <c r="S2192" s="372" t="s">
        <v>14179</v>
      </c>
      <c r="T2192" s="696">
        <v>0.20900000000000002</v>
      </c>
      <c r="U2192" s="372" t="s">
        <v>14180</v>
      </c>
      <c r="V2192" s="722">
        <v>9.68</v>
      </c>
      <c r="W2192" s="722">
        <v>1.1499999999999999</v>
      </c>
      <c r="X2192" s="722">
        <v>0.5</v>
      </c>
      <c r="Y2192" s="722">
        <v>13.6</v>
      </c>
      <c r="Z2192" s="382" t="s">
        <v>934</v>
      </c>
      <c r="AA2192" s="372">
        <v>767.68038320000005</v>
      </c>
      <c r="AB2192" s="372">
        <v>690.7700466</v>
      </c>
      <c r="AC2192" s="372">
        <v>669.11197589999995</v>
      </c>
      <c r="AD2192" s="372">
        <v>884.06989380000005</v>
      </c>
      <c r="AE2192" s="372">
        <v>0</v>
      </c>
      <c r="AF2192" s="372">
        <v>0</v>
      </c>
      <c r="AG2192" s="372">
        <v>0</v>
      </c>
      <c r="AH2192" s="372">
        <v>0</v>
      </c>
    </row>
    <row r="2193" spans="1:34">
      <c r="A2193" s="372" t="s">
        <v>14181</v>
      </c>
      <c r="B2193" s="372" t="s">
        <v>14182</v>
      </c>
      <c r="C2193" s="372" t="s">
        <v>16214</v>
      </c>
      <c r="D2193" s="374">
        <v>1101114313807</v>
      </c>
      <c r="E2193" s="372" t="s">
        <v>16115</v>
      </c>
      <c r="F2193" s="372" t="s">
        <v>14183</v>
      </c>
      <c r="G2193" s="375" t="s">
        <v>14184</v>
      </c>
      <c r="H2193" s="375" t="s">
        <v>868</v>
      </c>
      <c r="I2193" s="375" t="s">
        <v>869</v>
      </c>
      <c r="J2193" s="375">
        <v>42402.82531</v>
      </c>
      <c r="K2193" s="375">
        <v>649.77607</v>
      </c>
      <c r="L2193" s="375">
        <v>-404.64400000000001</v>
      </c>
      <c r="M2193" s="375">
        <v>26469.466619999999</v>
      </c>
      <c r="N2193" s="372">
        <v>1.0529999999999999</v>
      </c>
      <c r="O2193" s="703">
        <v>27.9918802270887</v>
      </c>
      <c r="P2193" s="562" t="s">
        <v>623</v>
      </c>
      <c r="Q2193" s="372" t="s">
        <v>623</v>
      </c>
      <c r="R2193" s="695">
        <v>20100702</v>
      </c>
      <c r="S2193" s="372" t="s">
        <v>14185</v>
      </c>
      <c r="T2193" s="696" t="s">
        <v>772</v>
      </c>
      <c r="U2193" s="372" t="s">
        <v>14186</v>
      </c>
      <c r="V2193" s="722">
        <v>27.13</v>
      </c>
      <c r="W2193" s="722">
        <v>1.62</v>
      </c>
      <c r="X2193" s="722">
        <v>1.01</v>
      </c>
      <c r="Y2193" s="722" t="s">
        <v>774</v>
      </c>
      <c r="Z2193" s="382" t="s">
        <v>934</v>
      </c>
      <c r="AA2193" s="372">
        <v>449.06054310000002</v>
      </c>
      <c r="AB2193" s="372">
        <v>499.91547250000002</v>
      </c>
      <c r="AC2193" s="372">
        <v>513.17871449999996</v>
      </c>
      <c r="AD2193" s="372">
        <v>424.02825309999997</v>
      </c>
      <c r="AE2193" s="372">
        <v>0</v>
      </c>
      <c r="AF2193" s="372">
        <v>0</v>
      </c>
      <c r="AG2193" s="372">
        <v>0</v>
      </c>
      <c r="AH2193" s="372">
        <v>0</v>
      </c>
    </row>
    <row r="2194" spans="1:34">
      <c r="A2194" s="372" t="s">
        <v>14187</v>
      </c>
      <c r="B2194" s="372" t="s">
        <v>14188</v>
      </c>
      <c r="C2194" s="372" t="s">
        <v>14189</v>
      </c>
      <c r="D2194" s="374">
        <v>1301110008721</v>
      </c>
      <c r="E2194" s="372" t="s">
        <v>14190</v>
      </c>
      <c r="F2194" s="372" t="s">
        <v>1334</v>
      </c>
      <c r="G2194" s="375" t="s">
        <v>1334</v>
      </c>
      <c r="H2194" s="375" t="s">
        <v>868</v>
      </c>
      <c r="I2194" s="375" t="s">
        <v>869</v>
      </c>
      <c r="J2194" s="375">
        <v>52458.517110000001</v>
      </c>
      <c r="K2194" s="375">
        <v>1212.77646</v>
      </c>
      <c r="L2194" s="375">
        <v>4043.71821</v>
      </c>
      <c r="M2194" s="375">
        <v>38564.140959999997</v>
      </c>
      <c r="N2194" s="372">
        <v>0.89600000000000002</v>
      </c>
      <c r="O2194" s="703">
        <v>27.883312432000956</v>
      </c>
      <c r="P2194" s="562" t="s">
        <v>623</v>
      </c>
      <c r="Q2194" s="372" t="s">
        <v>623</v>
      </c>
      <c r="R2194" s="695">
        <v>20000816</v>
      </c>
      <c r="S2194" s="372" t="s">
        <v>14191</v>
      </c>
      <c r="T2194" s="696">
        <v>0.20900000000000002</v>
      </c>
      <c r="U2194" s="372" t="s">
        <v>14192</v>
      </c>
      <c r="V2194" s="722">
        <v>0</v>
      </c>
      <c r="W2194" s="722">
        <v>1.1599999999999999</v>
      </c>
      <c r="X2194" s="722">
        <v>0</v>
      </c>
      <c r="Y2194" s="722">
        <v>0</v>
      </c>
      <c r="Z2194" s="382" t="s">
        <v>934</v>
      </c>
      <c r="AA2194" s="372">
        <v>522.31917420000002</v>
      </c>
      <c r="AB2194" s="372">
        <v>404.62650380000002</v>
      </c>
      <c r="AC2194" s="372">
        <v>500.56724910000003</v>
      </c>
      <c r="AD2194" s="372">
        <v>524.58517110000003</v>
      </c>
      <c r="AE2194" s="372">
        <v>0</v>
      </c>
      <c r="AF2194" s="372">
        <v>0</v>
      </c>
      <c r="AG2194" s="372">
        <v>0</v>
      </c>
      <c r="AH2194" s="372">
        <v>0</v>
      </c>
    </row>
    <row r="2195" spans="1:34">
      <c r="A2195" s="372" t="s">
        <v>14193</v>
      </c>
      <c r="B2195" s="372" t="s">
        <v>14194</v>
      </c>
      <c r="C2195" s="372" t="s">
        <v>14195</v>
      </c>
      <c r="D2195" s="374">
        <v>1301110010669</v>
      </c>
      <c r="E2195" s="372" t="s">
        <v>14196</v>
      </c>
      <c r="F2195" s="372" t="s">
        <v>5674</v>
      </c>
      <c r="G2195" s="375" t="s">
        <v>5674</v>
      </c>
      <c r="H2195" s="375" t="s">
        <v>868</v>
      </c>
      <c r="I2195" s="375" t="s">
        <v>869</v>
      </c>
      <c r="J2195" s="375">
        <v>71095.183860000005</v>
      </c>
      <c r="K2195" s="375">
        <v>2143.5097300000002</v>
      </c>
      <c r="L2195" s="375">
        <v>1962.7005899999999</v>
      </c>
      <c r="M2195" s="375">
        <v>49221.639569999999</v>
      </c>
      <c r="N2195" s="372">
        <v>1.0820000000000001</v>
      </c>
      <c r="O2195" s="703">
        <v>13.501025791675691</v>
      </c>
      <c r="P2195" s="562" t="s">
        <v>623</v>
      </c>
      <c r="Q2195" s="372" t="s">
        <v>623</v>
      </c>
      <c r="R2195" s="695">
        <v>20100917</v>
      </c>
      <c r="S2195" s="372" t="s">
        <v>14197</v>
      </c>
      <c r="T2195" s="696">
        <v>0.20900000000000002</v>
      </c>
      <c r="U2195" s="372" t="s">
        <v>14198</v>
      </c>
      <c r="V2195" s="722">
        <v>0</v>
      </c>
      <c r="W2195" s="722">
        <v>0.91</v>
      </c>
      <c r="X2195" s="722">
        <v>0</v>
      </c>
      <c r="Y2195" s="722">
        <v>0</v>
      </c>
      <c r="Z2195" s="382" t="s">
        <v>934</v>
      </c>
      <c r="AA2195" s="372">
        <v>522.12542389999999</v>
      </c>
      <c r="AB2195" s="372">
        <v>620.89298680000002</v>
      </c>
      <c r="AC2195" s="372">
        <v>695.99538299999995</v>
      </c>
      <c r="AD2195" s="372">
        <v>710.95183859999997</v>
      </c>
      <c r="AE2195" s="372">
        <v>0</v>
      </c>
      <c r="AF2195" s="372">
        <v>0</v>
      </c>
      <c r="AG2195" s="372">
        <v>0</v>
      </c>
      <c r="AH2195" s="372">
        <v>0</v>
      </c>
    </row>
    <row r="2196" spans="1:34">
      <c r="A2196" s="372" t="s">
        <v>14199</v>
      </c>
      <c r="B2196" s="372" t="s">
        <v>14200</v>
      </c>
      <c r="C2196" s="372" t="s">
        <v>14201</v>
      </c>
      <c r="D2196" s="374">
        <v>1101110611693</v>
      </c>
      <c r="E2196" s="372" t="s">
        <v>14202</v>
      </c>
      <c r="F2196" s="372" t="s">
        <v>6425</v>
      </c>
      <c r="G2196" s="375" t="s">
        <v>14203</v>
      </c>
      <c r="H2196" s="375" t="s">
        <v>868</v>
      </c>
      <c r="I2196" s="375" t="s">
        <v>869</v>
      </c>
      <c r="J2196" s="375">
        <v>20547.570029999999</v>
      </c>
      <c r="K2196" s="375">
        <v>-2748.5468999999998</v>
      </c>
      <c r="L2196" s="375">
        <v>17749.794580000002</v>
      </c>
      <c r="M2196" s="375">
        <v>201457.42525</v>
      </c>
      <c r="N2196" s="372">
        <v>0.747</v>
      </c>
      <c r="O2196" s="703">
        <v>18.886994628658236</v>
      </c>
      <c r="P2196" s="562" t="s">
        <v>623</v>
      </c>
      <c r="Q2196" s="372" t="s">
        <v>623</v>
      </c>
      <c r="R2196" s="695">
        <v>19991127</v>
      </c>
      <c r="S2196" s="372" t="s">
        <v>14204</v>
      </c>
      <c r="T2196" s="696">
        <v>0.20900000000000002</v>
      </c>
      <c r="U2196" s="372" t="s">
        <v>14205</v>
      </c>
      <c r="V2196" s="722" t="s">
        <v>774</v>
      </c>
      <c r="W2196" s="722">
        <v>0.31</v>
      </c>
      <c r="X2196" s="722">
        <v>2</v>
      </c>
      <c r="Y2196" s="722">
        <v>4.55</v>
      </c>
      <c r="Z2196" s="382" t="s">
        <v>934</v>
      </c>
      <c r="AA2196" s="372">
        <v>243.59522609999999</v>
      </c>
      <c r="AB2196" s="372">
        <v>281.8913111</v>
      </c>
      <c r="AC2196" s="372">
        <v>263.725077</v>
      </c>
      <c r="AD2196" s="372">
        <v>205.4757003</v>
      </c>
      <c r="AE2196" s="372">
        <v>0</v>
      </c>
      <c r="AF2196" s="372">
        <v>0</v>
      </c>
      <c r="AG2196" s="372">
        <v>0</v>
      </c>
      <c r="AH2196" s="372">
        <v>0</v>
      </c>
    </row>
    <row r="2197" spans="1:34">
      <c r="A2197" s="372" t="s">
        <v>14206</v>
      </c>
      <c r="B2197" s="372" t="s">
        <v>14207</v>
      </c>
      <c r="C2197" s="372" t="s">
        <v>14208</v>
      </c>
      <c r="D2197" s="374">
        <v>1701110001082</v>
      </c>
      <c r="E2197" s="372" t="s">
        <v>14209</v>
      </c>
      <c r="F2197" s="372" t="s">
        <v>5414</v>
      </c>
      <c r="G2197" s="375" t="s">
        <v>5415</v>
      </c>
      <c r="H2197" s="375" t="s">
        <v>868</v>
      </c>
      <c r="I2197" s="375" t="s">
        <v>869</v>
      </c>
      <c r="J2197" s="375">
        <v>162093.71205999999</v>
      </c>
      <c r="K2197" s="375">
        <v>-7289.7180200000003</v>
      </c>
      <c r="L2197" s="375">
        <v>-7710.4268000000002</v>
      </c>
      <c r="M2197" s="375">
        <v>199949.04641000001</v>
      </c>
      <c r="N2197" s="372">
        <v>1.1439999999999999</v>
      </c>
      <c r="O2197" s="703">
        <v>146.77745938210288</v>
      </c>
      <c r="P2197" s="562" t="s">
        <v>623</v>
      </c>
      <c r="Q2197" s="372" t="s">
        <v>623</v>
      </c>
      <c r="R2197" s="695">
        <v>19991229</v>
      </c>
      <c r="S2197" s="372" t="s">
        <v>14210</v>
      </c>
      <c r="T2197" s="696" t="s">
        <v>772</v>
      </c>
      <c r="U2197" s="372" t="s">
        <v>6556</v>
      </c>
      <c r="V2197" s="722" t="s">
        <v>774</v>
      </c>
      <c r="W2197" s="722">
        <v>0.21</v>
      </c>
      <c r="X2197" s="722">
        <v>0.25</v>
      </c>
      <c r="Y2197" s="722" t="s">
        <v>774</v>
      </c>
      <c r="Z2197" s="382" t="s">
        <v>934</v>
      </c>
      <c r="AA2197" s="372">
        <v>1254.0677129999999</v>
      </c>
      <c r="AB2197" s="372">
        <v>1322.0232615</v>
      </c>
      <c r="AC2197" s="372">
        <v>1534.5510104</v>
      </c>
      <c r="AD2197" s="372">
        <v>1620.9371206000001</v>
      </c>
      <c r="AE2197" s="372">
        <v>0</v>
      </c>
      <c r="AF2197" s="372">
        <v>0</v>
      </c>
      <c r="AG2197" s="372">
        <v>0</v>
      </c>
      <c r="AH2197" s="372">
        <v>0</v>
      </c>
    </row>
    <row r="2198" spans="1:34">
      <c r="A2198" s="372" t="s">
        <v>14211</v>
      </c>
      <c r="B2198" s="372" t="s">
        <v>14212</v>
      </c>
      <c r="C2198" s="372" t="s">
        <v>14213</v>
      </c>
      <c r="D2198" s="374">
        <v>1101110816938</v>
      </c>
      <c r="E2198" s="372" t="s">
        <v>14214</v>
      </c>
      <c r="F2198" s="372" t="s">
        <v>1774</v>
      </c>
      <c r="G2198" s="375" t="s">
        <v>6561</v>
      </c>
      <c r="H2198" s="375" t="s">
        <v>868</v>
      </c>
      <c r="I2198" s="375" t="s">
        <v>869</v>
      </c>
      <c r="J2198" s="375">
        <v>43269.003259999998</v>
      </c>
      <c r="K2198" s="375">
        <v>-3459.1083800000001</v>
      </c>
      <c r="L2198" s="375">
        <v>-3740.1654600000002</v>
      </c>
      <c r="M2198" s="375">
        <v>30352.827000000001</v>
      </c>
      <c r="N2198" s="372">
        <v>1.137</v>
      </c>
      <c r="O2198" s="703">
        <v>13.913279977910461</v>
      </c>
      <c r="P2198" s="562" t="s">
        <v>623</v>
      </c>
      <c r="Q2198" s="372" t="s">
        <v>623</v>
      </c>
      <c r="R2198" s="695">
        <v>20141224</v>
      </c>
      <c r="S2198" s="372" t="s">
        <v>14215</v>
      </c>
      <c r="T2198" s="696" t="s">
        <v>772</v>
      </c>
      <c r="U2198" s="372" t="s">
        <v>14216</v>
      </c>
      <c r="V2198" s="722">
        <v>0</v>
      </c>
      <c r="W2198" s="722">
        <v>1.39</v>
      </c>
      <c r="X2198" s="722">
        <v>0</v>
      </c>
      <c r="Y2198" s="722">
        <v>0</v>
      </c>
      <c r="Z2198" s="382" t="s">
        <v>934</v>
      </c>
      <c r="AA2198" s="372">
        <v>613.77266650000001</v>
      </c>
      <c r="AB2198" s="372">
        <v>524.54376539999998</v>
      </c>
      <c r="AC2198" s="372">
        <v>507.05101230000002</v>
      </c>
      <c r="AD2198" s="372">
        <v>432.69003259999999</v>
      </c>
      <c r="AE2198" s="372">
        <v>0</v>
      </c>
      <c r="AF2198" s="372">
        <v>0</v>
      </c>
      <c r="AG2198" s="372">
        <v>0</v>
      </c>
      <c r="AH2198" s="372">
        <v>0</v>
      </c>
    </row>
    <row r="2199" spans="1:34">
      <c r="A2199" s="372" t="s">
        <v>14217</v>
      </c>
      <c r="B2199" s="372" t="s">
        <v>14218</v>
      </c>
      <c r="C2199" s="372" t="s">
        <v>14219</v>
      </c>
      <c r="D2199" s="374">
        <v>1545110049654</v>
      </c>
      <c r="E2199" s="372" t="s">
        <v>14220</v>
      </c>
      <c r="F2199" s="372" t="s">
        <v>1592</v>
      </c>
      <c r="G2199" s="375" t="s">
        <v>1593</v>
      </c>
      <c r="H2199" s="375" t="s">
        <v>868</v>
      </c>
      <c r="I2199" s="375" t="s">
        <v>869</v>
      </c>
      <c r="J2199" s="375">
        <v>153794.94501</v>
      </c>
      <c r="K2199" s="375">
        <v>18361.474569999998</v>
      </c>
      <c r="L2199" s="375">
        <v>8427.8081600000005</v>
      </c>
      <c r="M2199" s="375">
        <v>69730.949829999998</v>
      </c>
      <c r="N2199" s="372">
        <v>1.04</v>
      </c>
      <c r="O2199" s="703">
        <v>156.00036351090881</v>
      </c>
      <c r="P2199" s="562" t="s">
        <v>623</v>
      </c>
      <c r="Q2199" s="372" t="s">
        <v>623</v>
      </c>
      <c r="R2199" s="695">
        <v>20140725</v>
      </c>
      <c r="S2199" s="372" t="s">
        <v>14221</v>
      </c>
      <c r="T2199" s="696">
        <v>0.20900000000000002</v>
      </c>
      <c r="U2199" s="372" t="s">
        <v>14222</v>
      </c>
      <c r="V2199" s="722">
        <v>3.66</v>
      </c>
      <c r="W2199" s="722">
        <v>0.64</v>
      </c>
      <c r="X2199" s="722">
        <v>0.28999999999999998</v>
      </c>
      <c r="Y2199" s="722">
        <v>6.82</v>
      </c>
      <c r="Z2199" s="382" t="s">
        <v>934</v>
      </c>
      <c r="AA2199" s="372">
        <v>756.97119410000005</v>
      </c>
      <c r="AB2199" s="372">
        <v>944.97839260000001</v>
      </c>
      <c r="AC2199" s="372">
        <v>1167.7584663</v>
      </c>
      <c r="AD2199" s="372">
        <v>1537.9494500999999</v>
      </c>
      <c r="AE2199" s="372">
        <v>0</v>
      </c>
      <c r="AF2199" s="372">
        <v>0</v>
      </c>
      <c r="AG2199" s="372">
        <v>0</v>
      </c>
      <c r="AH2199" s="372">
        <v>0</v>
      </c>
    </row>
    <row r="2200" spans="1:34">
      <c r="A2200" s="372" t="s">
        <v>14223</v>
      </c>
      <c r="B2200" s="372" t="s">
        <v>14224</v>
      </c>
      <c r="C2200" s="372" t="s">
        <v>14225</v>
      </c>
      <c r="D2200" s="374">
        <v>1101112039934</v>
      </c>
      <c r="E2200" s="372" t="s">
        <v>14226</v>
      </c>
      <c r="F2200" s="372" t="s">
        <v>1761</v>
      </c>
      <c r="G2200" s="375" t="s">
        <v>1761</v>
      </c>
      <c r="H2200" s="375" t="s">
        <v>1388</v>
      </c>
      <c r="I2200" s="375" t="s">
        <v>869</v>
      </c>
      <c r="J2200" s="375">
        <v>63428.790860000001</v>
      </c>
      <c r="K2200" s="375">
        <v>2556.8412800000001</v>
      </c>
      <c r="L2200" s="375">
        <v>-31128.911980000001</v>
      </c>
      <c r="M2200" s="375">
        <v>83150.517139999996</v>
      </c>
      <c r="N2200" s="372">
        <v>1.375</v>
      </c>
      <c r="O2200" s="703">
        <v>8.2764589243098907</v>
      </c>
      <c r="P2200" s="562" t="s">
        <v>623</v>
      </c>
      <c r="Q2200" s="372" t="s">
        <v>623</v>
      </c>
      <c r="R2200" s="695">
        <v>20051227</v>
      </c>
      <c r="S2200" s="372" t="s">
        <v>14227</v>
      </c>
      <c r="T2200" s="696" t="s">
        <v>772</v>
      </c>
      <c r="U2200" s="372" t="s">
        <v>14228</v>
      </c>
      <c r="V2200" s="722">
        <v>0</v>
      </c>
      <c r="W2200" s="722">
        <v>0.48</v>
      </c>
      <c r="X2200" s="722">
        <v>0</v>
      </c>
      <c r="Y2200" s="722">
        <v>0</v>
      </c>
      <c r="Z2200" s="382" t="s">
        <v>934</v>
      </c>
      <c r="AA2200" s="372">
        <v>505.21117700000002</v>
      </c>
      <c r="AB2200" s="372">
        <v>564.85578759999999</v>
      </c>
      <c r="AC2200" s="372">
        <v>553.09108260000005</v>
      </c>
      <c r="AD2200" s="372">
        <v>634.28790860000004</v>
      </c>
      <c r="AE2200" s="372">
        <v>0</v>
      </c>
      <c r="AF2200" s="372">
        <v>0</v>
      </c>
      <c r="AG2200" s="372">
        <v>0</v>
      </c>
      <c r="AH2200" s="372">
        <v>0</v>
      </c>
    </row>
    <row r="2201" spans="1:34">
      <c r="A2201" s="372" t="s">
        <v>14229</v>
      </c>
      <c r="B2201" s="372" t="s">
        <v>14230</v>
      </c>
      <c r="C2201" s="372" t="s">
        <v>14231</v>
      </c>
      <c r="D2201" s="374">
        <v>1101115658640</v>
      </c>
      <c r="E2201" s="372" t="s">
        <v>14232</v>
      </c>
      <c r="F2201" s="372" t="s">
        <v>622</v>
      </c>
      <c r="G2201" s="375" t="s">
        <v>622</v>
      </c>
      <c r="H2201" s="375" t="s">
        <v>1388</v>
      </c>
      <c r="I2201" s="375" t="s">
        <v>869</v>
      </c>
      <c r="J2201" s="375">
        <v>43871.733220000002</v>
      </c>
      <c r="K2201" s="375">
        <v>-18881.00115</v>
      </c>
      <c r="L2201" s="375">
        <v>-17989.464260000001</v>
      </c>
      <c r="M2201" s="375">
        <v>79069.185819999999</v>
      </c>
      <c r="N2201" s="372">
        <v>0.79400000000000004</v>
      </c>
      <c r="O2201" s="703">
        <v>67.345725874378388</v>
      </c>
      <c r="P2201" s="562" t="s">
        <v>623</v>
      </c>
      <c r="Q2201" s="372" t="s">
        <v>623</v>
      </c>
      <c r="R2201" s="695">
        <v>20150508</v>
      </c>
      <c r="S2201" s="372" t="s">
        <v>14233</v>
      </c>
      <c r="T2201" s="696" t="s">
        <v>772</v>
      </c>
      <c r="U2201" s="372" t="s">
        <v>14234</v>
      </c>
      <c r="V2201" s="722" t="s">
        <v>774</v>
      </c>
      <c r="W2201" s="722">
        <v>0.57999999999999996</v>
      </c>
      <c r="X2201" s="722">
        <v>1.04</v>
      </c>
      <c r="Y2201" s="722" t="s">
        <v>774</v>
      </c>
      <c r="Z2201" s="382" t="s">
        <v>934</v>
      </c>
      <c r="AA2201" s="372">
        <v>420.38228149999998</v>
      </c>
      <c r="AB2201" s="372">
        <v>472.40740629999999</v>
      </c>
      <c r="AC2201" s="372">
        <v>498.51253109999999</v>
      </c>
      <c r="AD2201" s="372">
        <v>438.71733219999999</v>
      </c>
      <c r="AE2201" s="372">
        <v>0</v>
      </c>
      <c r="AF2201" s="372">
        <v>0</v>
      </c>
      <c r="AG2201" s="372">
        <v>0</v>
      </c>
      <c r="AH2201" s="372">
        <v>0</v>
      </c>
    </row>
    <row r="2202" spans="1:34">
      <c r="A2202" s="372" t="s">
        <v>14235</v>
      </c>
      <c r="B2202" s="372" t="s">
        <v>14236</v>
      </c>
      <c r="C2202" s="372" t="s">
        <v>14237</v>
      </c>
      <c r="D2202" s="374">
        <v>1101117032545</v>
      </c>
      <c r="E2202" s="372" t="s">
        <v>14238</v>
      </c>
      <c r="F2202" s="372" t="s">
        <v>1985</v>
      </c>
      <c r="G2202" s="375" t="s">
        <v>1985</v>
      </c>
      <c r="H2202" s="375" t="s">
        <v>868</v>
      </c>
      <c r="I2202" s="375" t="s">
        <v>869</v>
      </c>
      <c r="J2202" s="375">
        <v>15967.46848</v>
      </c>
      <c r="K2202" s="375">
        <v>392.03539000000001</v>
      </c>
      <c r="L2202" s="375">
        <v>1842.2729300000001</v>
      </c>
      <c r="M2202" s="375">
        <v>24284.43561</v>
      </c>
      <c r="N2202" s="372">
        <v>1.399</v>
      </c>
      <c r="O2202" s="703">
        <v>10.858753335836067</v>
      </c>
      <c r="P2202" s="562" t="s">
        <v>623</v>
      </c>
      <c r="Q2202" s="372" t="s">
        <v>623</v>
      </c>
      <c r="R2202" s="695">
        <v>20190918</v>
      </c>
      <c r="S2202" s="372" t="s">
        <v>14239</v>
      </c>
      <c r="T2202" s="696">
        <v>0.20900000000000002</v>
      </c>
      <c r="U2202" s="372" t="s">
        <v>14240</v>
      </c>
      <c r="V2202" s="722">
        <v>0</v>
      </c>
      <c r="W2202" s="722">
        <v>1.61</v>
      </c>
      <c r="X2202" s="722">
        <v>0</v>
      </c>
      <c r="Y2202" s="722">
        <v>0</v>
      </c>
      <c r="Z2202" s="382" t="s">
        <v>934</v>
      </c>
      <c r="AA2202" s="372">
        <v>112.394779</v>
      </c>
      <c r="AB2202" s="372">
        <v>154.05210790000001</v>
      </c>
      <c r="AC2202" s="372">
        <v>202.69062109999999</v>
      </c>
      <c r="AD2202" s="372">
        <v>159.67468479999999</v>
      </c>
      <c r="AE2202" s="372">
        <v>0</v>
      </c>
      <c r="AF2202" s="372">
        <v>0</v>
      </c>
      <c r="AG2202" s="372">
        <v>0</v>
      </c>
      <c r="AH2202" s="372">
        <v>0</v>
      </c>
    </row>
    <row r="2203" spans="1:34">
      <c r="A2203" s="372" t="s">
        <v>14241</v>
      </c>
      <c r="B2203" s="372" t="s">
        <v>14242</v>
      </c>
      <c r="C2203" s="372" t="s">
        <v>14243</v>
      </c>
      <c r="D2203" s="374">
        <v>1545110007397</v>
      </c>
      <c r="E2203" s="372" t="s">
        <v>14244</v>
      </c>
      <c r="F2203" s="372" t="s">
        <v>6635</v>
      </c>
      <c r="G2203" s="375" t="s">
        <v>14245</v>
      </c>
      <c r="H2203" s="375" t="s">
        <v>3127</v>
      </c>
      <c r="I2203" s="375" t="s">
        <v>869</v>
      </c>
      <c r="J2203" s="375">
        <v>24525.17295</v>
      </c>
      <c r="K2203" s="375">
        <v>-6793.3618699999997</v>
      </c>
      <c r="L2203" s="375">
        <v>-13856.459489999999</v>
      </c>
      <c r="M2203" s="375">
        <v>31799.36148</v>
      </c>
      <c r="N2203" s="372">
        <v>1.1539999999999999</v>
      </c>
      <c r="O2203" s="703">
        <v>9.6970884142672045</v>
      </c>
      <c r="P2203" s="562" t="s">
        <v>623</v>
      </c>
      <c r="Q2203" s="372" t="s">
        <v>623</v>
      </c>
      <c r="R2203" s="695">
        <v>20021115</v>
      </c>
      <c r="S2203" s="372" t="s">
        <v>14246</v>
      </c>
      <c r="T2203" s="696" t="s">
        <v>772</v>
      </c>
      <c r="U2203" s="372" t="s">
        <v>16116</v>
      </c>
      <c r="V2203" s="722" t="s">
        <v>774</v>
      </c>
      <c r="W2203" s="722">
        <v>1.43</v>
      </c>
      <c r="X2203" s="722">
        <v>1.83</v>
      </c>
      <c r="Y2203" s="722" t="s">
        <v>774</v>
      </c>
      <c r="Z2203" s="382" t="s">
        <v>934</v>
      </c>
      <c r="AA2203" s="372">
        <v>656.90695200000005</v>
      </c>
      <c r="AB2203" s="372">
        <v>844.39769620000004</v>
      </c>
      <c r="AC2203" s="372">
        <v>225.22930339999999</v>
      </c>
      <c r="AD2203" s="372">
        <v>245.25172950000001</v>
      </c>
      <c r="AE2203" s="372">
        <v>0</v>
      </c>
      <c r="AF2203" s="372">
        <v>0</v>
      </c>
      <c r="AG2203" s="372">
        <v>0</v>
      </c>
      <c r="AH2203" s="372">
        <v>0</v>
      </c>
    </row>
    <row r="2204" spans="1:34">
      <c r="A2204" s="372" t="s">
        <v>14247</v>
      </c>
      <c r="B2204" s="372" t="s">
        <v>14248</v>
      </c>
      <c r="C2204" s="372" t="s">
        <v>14249</v>
      </c>
      <c r="D2204" s="374">
        <v>1942110025941</v>
      </c>
      <c r="E2204" s="372" t="s">
        <v>14250</v>
      </c>
      <c r="F2204" s="372" t="s">
        <v>1286</v>
      </c>
      <c r="G2204" s="375" t="s">
        <v>1465</v>
      </c>
      <c r="H2204" s="375" t="s">
        <v>1388</v>
      </c>
      <c r="I2204" s="375" t="s">
        <v>869</v>
      </c>
      <c r="J2204" s="375">
        <v>33775.629979999998</v>
      </c>
      <c r="K2204" s="375">
        <v>-808.21168</v>
      </c>
      <c r="L2204" s="375">
        <v>-1549.26349</v>
      </c>
      <c r="M2204" s="375">
        <v>68758.953200000004</v>
      </c>
      <c r="N2204" s="372">
        <v>1.246</v>
      </c>
      <c r="O2204" s="703">
        <v>33.737818493575617</v>
      </c>
      <c r="P2204" s="562" t="s">
        <v>623</v>
      </c>
      <c r="Q2204" s="372" t="s">
        <v>623</v>
      </c>
      <c r="R2204" s="695">
        <v>20011214</v>
      </c>
      <c r="S2204" s="372" t="s">
        <v>14251</v>
      </c>
      <c r="T2204" s="696" t="s">
        <v>772</v>
      </c>
      <c r="U2204" s="372" t="s">
        <v>14252</v>
      </c>
      <c r="V2204" s="722">
        <v>48.23</v>
      </c>
      <c r="W2204" s="722">
        <v>0.59</v>
      </c>
      <c r="X2204" s="722">
        <v>1.2</v>
      </c>
      <c r="Y2204" s="722" t="s">
        <v>774</v>
      </c>
      <c r="Z2204" s="382" t="s">
        <v>934</v>
      </c>
      <c r="AA2204" s="372">
        <v>379.1561979</v>
      </c>
      <c r="AB2204" s="372">
        <v>438.97687209999998</v>
      </c>
      <c r="AC2204" s="372">
        <v>444.0994847</v>
      </c>
      <c r="AD2204" s="372">
        <v>337.75629980000002</v>
      </c>
      <c r="AE2204" s="372">
        <v>0</v>
      </c>
      <c r="AF2204" s="372">
        <v>0</v>
      </c>
      <c r="AG2204" s="372">
        <v>0</v>
      </c>
      <c r="AH2204" s="372">
        <v>0</v>
      </c>
    </row>
    <row r="2205" spans="1:34">
      <c r="A2205" s="372" t="s">
        <v>14253</v>
      </c>
      <c r="B2205" s="372" t="s">
        <v>14254</v>
      </c>
      <c r="C2205" s="372" t="s">
        <v>16215</v>
      </c>
      <c r="D2205" s="374">
        <v>1311110004554</v>
      </c>
      <c r="E2205" s="372" t="s">
        <v>16117</v>
      </c>
      <c r="F2205" s="372" t="s">
        <v>2282</v>
      </c>
      <c r="G2205" s="375" t="s">
        <v>2282</v>
      </c>
      <c r="H2205" s="375" t="s">
        <v>4894</v>
      </c>
      <c r="I2205" s="375" t="s">
        <v>869</v>
      </c>
      <c r="J2205" s="375">
        <v>173869.29014</v>
      </c>
      <c r="K2205" s="375">
        <v>32464.30935</v>
      </c>
      <c r="L2205" s="375">
        <v>41281.620239999997</v>
      </c>
      <c r="M2205" s="375">
        <v>107661.69993</v>
      </c>
      <c r="N2205" s="372">
        <v>0.83099999999999996</v>
      </c>
      <c r="O2205" s="703">
        <v>184.5003146102311</v>
      </c>
      <c r="P2205" s="562" t="s">
        <v>16142</v>
      </c>
      <c r="Q2205" s="372" t="s">
        <v>623</v>
      </c>
      <c r="R2205" s="695">
        <v>20001017</v>
      </c>
      <c r="S2205" s="372" t="s">
        <v>14255</v>
      </c>
      <c r="T2205" s="696">
        <v>0.23100000000000001</v>
      </c>
      <c r="U2205" s="372" t="s">
        <v>14256</v>
      </c>
      <c r="V2205" s="722">
        <v>2.68</v>
      </c>
      <c r="W2205" s="722">
        <v>0.39</v>
      </c>
      <c r="X2205" s="722">
        <v>0.23</v>
      </c>
      <c r="Y2205" s="722">
        <v>1.08</v>
      </c>
      <c r="Z2205" s="382" t="s">
        <v>934</v>
      </c>
      <c r="AA2205" s="372">
        <v>218.86052849999999</v>
      </c>
      <c r="AB2205" s="372">
        <v>252.52397999999999</v>
      </c>
      <c r="AC2205" s="372">
        <v>537.9440439</v>
      </c>
      <c r="AD2205" s="372">
        <v>1738.6929014</v>
      </c>
      <c r="AE2205" s="372">
        <v>0</v>
      </c>
      <c r="AF2205" s="372">
        <v>0</v>
      </c>
      <c r="AG2205" s="372">
        <v>0</v>
      </c>
      <c r="AH2205" s="372">
        <v>0</v>
      </c>
    </row>
    <row r="2206" spans="1:34">
      <c r="A2206" s="372" t="s">
        <v>14257</v>
      </c>
      <c r="B2206" s="372" t="s">
        <v>14258</v>
      </c>
      <c r="C2206" s="372" t="s">
        <v>14259</v>
      </c>
      <c r="D2206" s="374">
        <v>1101110019350</v>
      </c>
      <c r="E2206" s="372" t="s">
        <v>14260</v>
      </c>
      <c r="F2206" s="372" t="s">
        <v>10176</v>
      </c>
      <c r="G2206" s="375" t="s">
        <v>10176</v>
      </c>
      <c r="H2206" s="375" t="s">
        <v>1555</v>
      </c>
      <c r="I2206" s="375" t="s">
        <v>755</v>
      </c>
      <c r="J2206" s="375">
        <v>149403.98115000001</v>
      </c>
      <c r="K2206" s="375">
        <v>-1812.48198</v>
      </c>
      <c r="L2206" s="375">
        <v>-4668.5238300000001</v>
      </c>
      <c r="M2206" s="375">
        <v>130936.27208</v>
      </c>
      <c r="N2206" s="372">
        <v>0.66900000000000004</v>
      </c>
      <c r="O2206" s="703">
        <v>102.73017458759399</v>
      </c>
      <c r="P2206" s="562" t="s">
        <v>623</v>
      </c>
      <c r="Q2206" s="372" t="s">
        <v>623</v>
      </c>
      <c r="R2206" s="695">
        <v>19731228</v>
      </c>
      <c r="S2206" s="372" t="s">
        <v>14261</v>
      </c>
      <c r="T2206" s="696" t="s">
        <v>772</v>
      </c>
      <c r="U2206" s="372" t="s">
        <v>14262</v>
      </c>
      <c r="V2206" s="722">
        <v>113.51</v>
      </c>
      <c r="W2206" s="722">
        <v>0.26</v>
      </c>
      <c r="X2206" s="722">
        <v>0.28999999999999998</v>
      </c>
      <c r="Y2206" s="722" t="s">
        <v>774</v>
      </c>
      <c r="Z2206" s="382" t="s">
        <v>934</v>
      </c>
      <c r="AA2206" s="372">
        <v>1752.4672816</v>
      </c>
      <c r="AB2206" s="372">
        <v>2003.7290461</v>
      </c>
      <c r="AC2206" s="372">
        <v>1915.1969127</v>
      </c>
      <c r="AD2206" s="372">
        <v>1494.0398115</v>
      </c>
      <c r="AE2206" s="372">
        <v>0</v>
      </c>
      <c r="AF2206" s="372">
        <v>0</v>
      </c>
      <c r="AG2206" s="372">
        <v>0</v>
      </c>
      <c r="AH2206" s="372">
        <v>0</v>
      </c>
    </row>
    <row r="2207" spans="1:34">
      <c r="A2207" s="372" t="s">
        <v>14263</v>
      </c>
      <c r="B2207" s="372" t="s">
        <v>14264</v>
      </c>
      <c r="C2207" s="372" t="s">
        <v>14265</v>
      </c>
      <c r="D2207" s="374">
        <v>1101113602524</v>
      </c>
      <c r="E2207" s="372" t="s">
        <v>14266</v>
      </c>
      <c r="F2207" s="372" t="s">
        <v>2742</v>
      </c>
      <c r="G2207" s="375" t="s">
        <v>2742</v>
      </c>
      <c r="H2207" s="375" t="s">
        <v>1348</v>
      </c>
      <c r="I2207" s="375" t="s">
        <v>869</v>
      </c>
      <c r="J2207" s="375">
        <v>0</v>
      </c>
      <c r="K2207" s="375">
        <v>0</v>
      </c>
      <c r="L2207" s="375">
        <v>0</v>
      </c>
      <c r="M2207" s="375">
        <v>13466.2269</v>
      </c>
      <c r="N2207" s="372">
        <v>0.85699999999999998</v>
      </c>
      <c r="O2207" s="703">
        <v>5.8102899254098661</v>
      </c>
      <c r="P2207" s="562" t="s">
        <v>623</v>
      </c>
      <c r="Q2207" s="372" t="s">
        <v>623</v>
      </c>
      <c r="R2207" s="695">
        <v>20160629</v>
      </c>
      <c r="S2207" s="372" t="s">
        <v>14267</v>
      </c>
      <c r="T2207" s="696" t="s">
        <v>772</v>
      </c>
      <c r="U2207" s="372" t="s">
        <v>14268</v>
      </c>
      <c r="V2207" s="722">
        <v>0</v>
      </c>
      <c r="W2207" s="722">
        <v>2.94</v>
      </c>
      <c r="X2207" s="722">
        <v>0</v>
      </c>
      <c r="Y2207" s="722">
        <v>0</v>
      </c>
      <c r="Z2207" s="382" t="s">
        <v>934</v>
      </c>
      <c r="AA2207" s="372">
        <v>87.220385899999997</v>
      </c>
      <c r="AB2207" s="372">
        <v>82.425080100000002</v>
      </c>
      <c r="AC2207" s="372">
        <v>107.51900430000001</v>
      </c>
      <c r="AD2207" s="372">
        <v>90.233991900000007</v>
      </c>
      <c r="AE2207" s="372">
        <v>0</v>
      </c>
      <c r="AF2207" s="372">
        <v>0</v>
      </c>
      <c r="AG2207" s="372">
        <v>0</v>
      </c>
      <c r="AH2207" s="372">
        <v>0</v>
      </c>
    </row>
    <row r="2208" spans="1:34">
      <c r="A2208" s="372" t="s">
        <v>14269</v>
      </c>
      <c r="B2208" s="372" t="s">
        <v>14270</v>
      </c>
      <c r="C2208" s="372" t="s">
        <v>14271</v>
      </c>
      <c r="D2208" s="374">
        <v>1801110273986</v>
      </c>
      <c r="E2208" s="372" t="s">
        <v>14272</v>
      </c>
      <c r="F2208" s="372" t="s">
        <v>1881</v>
      </c>
      <c r="G2208" s="375" t="s">
        <v>1882</v>
      </c>
      <c r="H2208" s="375" t="s">
        <v>868</v>
      </c>
      <c r="I2208" s="375" t="s">
        <v>869</v>
      </c>
      <c r="J2208" s="375">
        <v>172901.54186</v>
      </c>
      <c r="K2208" s="375">
        <v>-9205.3895799999991</v>
      </c>
      <c r="L2208" s="375">
        <v>-9384.8657600000006</v>
      </c>
      <c r="M2208" s="375">
        <v>73938.725699999995</v>
      </c>
      <c r="N2208" s="372">
        <v>0.80300000000000005</v>
      </c>
      <c r="O2208" s="703">
        <v>233.71560563664397</v>
      </c>
      <c r="P2208" s="562" t="s">
        <v>623</v>
      </c>
      <c r="Q2208" s="372" t="s">
        <v>623</v>
      </c>
      <c r="R2208" s="695">
        <v>20140527</v>
      </c>
      <c r="S2208" s="372" t="s">
        <v>14273</v>
      </c>
      <c r="T2208" s="696" t="s">
        <v>772</v>
      </c>
      <c r="U2208" s="372" t="s">
        <v>14274</v>
      </c>
      <c r="V2208" s="722">
        <v>39.130000000000003</v>
      </c>
      <c r="W2208" s="722">
        <v>0.52</v>
      </c>
      <c r="X2208" s="722">
        <v>0.23</v>
      </c>
      <c r="Y2208" s="722" t="s">
        <v>774</v>
      </c>
      <c r="Z2208" s="382" t="s">
        <v>934</v>
      </c>
      <c r="AA2208" s="372">
        <v>1376.4874124</v>
      </c>
      <c r="AB2208" s="372">
        <v>1412.435673</v>
      </c>
      <c r="AC2208" s="372">
        <v>1820.1908008</v>
      </c>
      <c r="AD2208" s="372">
        <v>1729.0154186</v>
      </c>
      <c r="AE2208" s="372">
        <v>0</v>
      </c>
      <c r="AF2208" s="372">
        <v>0</v>
      </c>
      <c r="AG2208" s="372">
        <v>0</v>
      </c>
      <c r="AH2208" s="372">
        <v>0</v>
      </c>
    </row>
    <row r="2209" spans="1:34">
      <c r="A2209" s="372" t="s">
        <v>14275</v>
      </c>
      <c r="B2209" s="372" t="s">
        <v>14276</v>
      </c>
      <c r="C2209" s="372" t="s">
        <v>14277</v>
      </c>
      <c r="D2209" s="374">
        <v>1341110000880</v>
      </c>
      <c r="E2209" s="372" t="s">
        <v>14278</v>
      </c>
      <c r="F2209" s="372" t="s">
        <v>4682</v>
      </c>
      <c r="G2209" s="375" t="s">
        <v>4682</v>
      </c>
      <c r="H2209" s="375" t="s">
        <v>868</v>
      </c>
      <c r="I2209" s="375" t="s">
        <v>869</v>
      </c>
      <c r="J2209" s="375">
        <v>25562.323130000001</v>
      </c>
      <c r="K2209" s="375">
        <v>-689.01193000000001</v>
      </c>
      <c r="L2209" s="375">
        <v>-1081.7282700000001</v>
      </c>
      <c r="M2209" s="375">
        <v>37348.624960000001</v>
      </c>
      <c r="N2209" s="372">
        <v>0.51100000000000001</v>
      </c>
      <c r="O2209" s="703">
        <v>59.331055744996284</v>
      </c>
      <c r="P2209" s="562" t="s">
        <v>623</v>
      </c>
      <c r="Q2209" s="372" t="s">
        <v>623</v>
      </c>
      <c r="R2209" s="695">
        <v>20000331</v>
      </c>
      <c r="S2209" s="372" t="s">
        <v>14279</v>
      </c>
      <c r="T2209" s="696" t="s">
        <v>772</v>
      </c>
      <c r="U2209" s="372" t="s">
        <v>14280</v>
      </c>
      <c r="V2209" s="722">
        <v>0</v>
      </c>
      <c r="W2209" s="722">
        <v>1.1100000000000001</v>
      </c>
      <c r="X2209" s="722">
        <v>0</v>
      </c>
      <c r="Y2209" s="722">
        <v>0</v>
      </c>
      <c r="Z2209" s="382" t="s">
        <v>934</v>
      </c>
      <c r="AA2209" s="372">
        <v>248.0099036</v>
      </c>
      <c r="AB2209" s="372">
        <v>239.9725152</v>
      </c>
      <c r="AC2209" s="372">
        <v>255.00064649999999</v>
      </c>
      <c r="AD2209" s="372">
        <v>255.62323129999999</v>
      </c>
      <c r="AE2209" s="372">
        <v>0</v>
      </c>
      <c r="AF2209" s="372">
        <v>0</v>
      </c>
      <c r="AG2209" s="372">
        <v>0</v>
      </c>
      <c r="AH2209" s="372">
        <v>0</v>
      </c>
    </row>
    <row r="2210" spans="1:34">
      <c r="A2210" s="372" t="s">
        <v>14281</v>
      </c>
      <c r="B2210" s="372" t="s">
        <v>14282</v>
      </c>
      <c r="C2210" s="372" t="s">
        <v>14283</v>
      </c>
      <c r="D2210" s="374">
        <v>1101115488493</v>
      </c>
      <c r="E2210" s="372" t="s">
        <v>14284</v>
      </c>
      <c r="F2210" s="372" t="s">
        <v>11554</v>
      </c>
      <c r="G2210" s="375" t="s">
        <v>11554</v>
      </c>
      <c r="H2210" s="375" t="s">
        <v>1547</v>
      </c>
      <c r="I2210" s="375" t="s">
        <v>869</v>
      </c>
      <c r="J2210" s="375">
        <v>5702.6308499999996</v>
      </c>
      <c r="K2210" s="375">
        <v>-22246.031999999999</v>
      </c>
      <c r="L2210" s="375">
        <v>-42977.837749999999</v>
      </c>
      <c r="M2210" s="375">
        <v>50874.901830000003</v>
      </c>
      <c r="N2210" s="372">
        <v>0.75800000000000001</v>
      </c>
      <c r="O2210" s="703">
        <v>156.21888775608076</v>
      </c>
      <c r="P2210" s="562" t="s">
        <v>16142</v>
      </c>
      <c r="Q2210" s="372" t="s">
        <v>16145</v>
      </c>
      <c r="R2210" s="695">
        <v>20141229</v>
      </c>
      <c r="S2210" s="372" t="s">
        <v>11554</v>
      </c>
      <c r="T2210" s="696" t="s">
        <v>772</v>
      </c>
      <c r="U2210" s="372" t="s">
        <v>14285</v>
      </c>
      <c r="V2210" s="722" t="s">
        <v>774</v>
      </c>
      <c r="W2210" s="722">
        <v>0.85</v>
      </c>
      <c r="X2210" s="722">
        <v>6.83</v>
      </c>
      <c r="Y2210" s="722" t="s">
        <v>774</v>
      </c>
      <c r="Z2210" s="382" t="s">
        <v>934</v>
      </c>
      <c r="AA2210" s="372">
        <v>149.62003989999999</v>
      </c>
      <c r="AB2210" s="372">
        <v>345.25693059999998</v>
      </c>
      <c r="AC2210" s="372">
        <v>184.81103870000001</v>
      </c>
      <c r="AD2210" s="372">
        <v>57.026308499999999</v>
      </c>
      <c r="AE2210" s="372">
        <v>0</v>
      </c>
      <c r="AF2210" s="372">
        <v>0</v>
      </c>
      <c r="AG2210" s="372">
        <v>0</v>
      </c>
      <c r="AH2210" s="372">
        <v>0</v>
      </c>
    </row>
    <row r="2211" spans="1:34">
      <c r="A2211" s="372" t="s">
        <v>14286</v>
      </c>
      <c r="B2211" s="372" t="s">
        <v>14287</v>
      </c>
      <c r="C2211" s="372" t="s">
        <v>14288</v>
      </c>
      <c r="D2211" s="374">
        <v>1101112919938</v>
      </c>
      <c r="E2211" s="372" t="s">
        <v>14289</v>
      </c>
      <c r="F2211" s="372" t="s">
        <v>1381</v>
      </c>
      <c r="G2211" s="375" t="s">
        <v>1381</v>
      </c>
      <c r="H2211" s="375" t="s">
        <v>1693</v>
      </c>
      <c r="I2211" s="375" t="s">
        <v>869</v>
      </c>
      <c r="J2211" s="375">
        <v>36140.422010000002</v>
      </c>
      <c r="K2211" s="375">
        <v>4662.5727299999999</v>
      </c>
      <c r="L2211" s="375">
        <v>6906.1515799999997</v>
      </c>
      <c r="M2211" s="375">
        <v>42627.390959999997</v>
      </c>
      <c r="N2211" s="372">
        <v>0.89</v>
      </c>
      <c r="O2211" s="703">
        <v>0.68375340709681143</v>
      </c>
      <c r="P2211" s="562" t="s">
        <v>623</v>
      </c>
      <c r="Q2211" s="372" t="s">
        <v>623</v>
      </c>
      <c r="R2211" s="695">
        <v>20180802</v>
      </c>
      <c r="S2211" s="372" t="s">
        <v>14290</v>
      </c>
      <c r="T2211" s="696">
        <v>0.20900000000000002</v>
      </c>
      <c r="U2211" s="372" t="s">
        <v>14291</v>
      </c>
      <c r="V2211" s="722">
        <v>6.72</v>
      </c>
      <c r="W2211" s="722">
        <v>0.87</v>
      </c>
      <c r="X2211" s="722">
        <v>1.03</v>
      </c>
      <c r="Y2211" s="722">
        <v>5.53</v>
      </c>
      <c r="Z2211" s="382" t="s">
        <v>934</v>
      </c>
      <c r="AA2211" s="372">
        <v>253.922875</v>
      </c>
      <c r="AB2211" s="372">
        <v>265.4224155</v>
      </c>
      <c r="AC2211" s="372">
        <v>304.23152329999999</v>
      </c>
      <c r="AD2211" s="372">
        <v>361.40422009999997</v>
      </c>
      <c r="AE2211" s="372">
        <v>415</v>
      </c>
      <c r="AF2211" s="372">
        <v>465</v>
      </c>
      <c r="AG2211" s="372">
        <v>0</v>
      </c>
      <c r="AH2211" s="372">
        <v>0</v>
      </c>
    </row>
    <row r="2212" spans="1:34">
      <c r="A2212" s="372" t="s">
        <v>14292</v>
      </c>
      <c r="B2212" s="372" t="s">
        <v>14293</v>
      </c>
      <c r="C2212" s="372" t="s">
        <v>14294</v>
      </c>
      <c r="D2212" s="374">
        <v>1101113598616</v>
      </c>
      <c r="E2212" s="372" t="s">
        <v>14295</v>
      </c>
      <c r="F2212" s="372" t="s">
        <v>1381</v>
      </c>
      <c r="G2212" s="375" t="s">
        <v>1381</v>
      </c>
      <c r="H2212" s="375" t="s">
        <v>1693</v>
      </c>
      <c r="I2212" s="375" t="s">
        <v>869</v>
      </c>
      <c r="J2212" s="375">
        <v>15510.863450000001</v>
      </c>
      <c r="K2212" s="375">
        <v>-1240.6087600000001</v>
      </c>
      <c r="L2212" s="375">
        <v>-410.88947000000002</v>
      </c>
      <c r="M2212" s="375">
        <v>30142.173460000002</v>
      </c>
      <c r="N2212" s="372" t="s">
        <v>1033</v>
      </c>
      <c r="O2212" s="703">
        <v>1.8566134527412836</v>
      </c>
      <c r="P2212" s="562" t="s">
        <v>623</v>
      </c>
      <c r="Q2212" s="372" t="s">
        <v>623</v>
      </c>
      <c r="R2212" s="695">
        <v>20221007</v>
      </c>
      <c r="S2212" s="372" t="s">
        <v>14296</v>
      </c>
      <c r="T2212" s="696" t="s">
        <v>772</v>
      </c>
      <c r="U2212" s="372" t="s">
        <v>14297</v>
      </c>
      <c r="V2212" s="722" t="s">
        <v>774</v>
      </c>
      <c r="W2212" s="722">
        <v>1.2</v>
      </c>
      <c r="X2212" s="722">
        <v>2.38</v>
      </c>
      <c r="Y2212" s="722">
        <v>1061.58</v>
      </c>
      <c r="Z2212" s="382" t="s">
        <v>934</v>
      </c>
      <c r="AA2212" s="372">
        <v>114.05383</v>
      </c>
      <c r="AB2212" s="372">
        <v>164.0490691</v>
      </c>
      <c r="AC2212" s="372">
        <v>162.31490360000001</v>
      </c>
      <c r="AD2212" s="372">
        <v>155.10863449999999</v>
      </c>
      <c r="AE2212" s="372">
        <v>0</v>
      </c>
      <c r="AF2212" s="372">
        <v>0</v>
      </c>
      <c r="AG2212" s="372">
        <v>0</v>
      </c>
      <c r="AH2212" s="372">
        <v>0</v>
      </c>
    </row>
    <row r="2213" spans="1:34">
      <c r="A2213" s="372" t="s">
        <v>14298</v>
      </c>
      <c r="B2213" s="372" t="s">
        <v>14299</v>
      </c>
      <c r="C2213" s="372" t="s">
        <v>14300</v>
      </c>
      <c r="D2213" s="374">
        <v>1301110009274</v>
      </c>
      <c r="E2213" s="372" t="s">
        <v>14300</v>
      </c>
      <c r="F2213" s="372" t="s">
        <v>3758</v>
      </c>
      <c r="G2213" s="375" t="s">
        <v>5495</v>
      </c>
      <c r="H2213" s="375" t="s">
        <v>832</v>
      </c>
      <c r="I2213" s="375" t="s">
        <v>755</v>
      </c>
      <c r="J2213" s="375">
        <v>112319.2545</v>
      </c>
      <c r="K2213" s="375">
        <v>-2854.5358799999999</v>
      </c>
      <c r="L2213" s="375">
        <v>-488.62572</v>
      </c>
      <c r="M2213" s="375">
        <v>110912.0673</v>
      </c>
      <c r="N2213" s="372">
        <v>0.64600000000000002</v>
      </c>
      <c r="O2213" s="703">
        <v>0</v>
      </c>
      <c r="P2213" s="562" t="s">
        <v>623</v>
      </c>
      <c r="Q2213" s="372" t="s">
        <v>623</v>
      </c>
      <c r="R2213" s="695">
        <v>19961122</v>
      </c>
      <c r="S2213" s="372" t="s">
        <v>14301</v>
      </c>
      <c r="T2213" s="696" t="s">
        <v>772</v>
      </c>
      <c r="U2213" s="372" t="s">
        <v>14302</v>
      </c>
      <c r="V2213" s="722">
        <v>35.39</v>
      </c>
      <c r="W2213" s="722">
        <v>0.36</v>
      </c>
      <c r="X2213" s="722">
        <v>0.35</v>
      </c>
      <c r="Y2213" s="722" t="s">
        <v>774</v>
      </c>
      <c r="Z2213" s="382" t="s">
        <v>934</v>
      </c>
      <c r="AA2213" s="372">
        <v>1024.509186</v>
      </c>
      <c r="AB2213" s="372">
        <v>1176.0713507</v>
      </c>
      <c r="AC2213" s="372">
        <v>1256.8231264000001</v>
      </c>
      <c r="AD2213" s="372">
        <v>1123.1925450000001</v>
      </c>
      <c r="AE2213" s="372">
        <v>0</v>
      </c>
      <c r="AF2213" s="372">
        <v>0</v>
      </c>
      <c r="AG2213" s="372">
        <v>0</v>
      </c>
      <c r="AH2213" s="372">
        <v>0</v>
      </c>
    </row>
    <row r="2214" spans="1:34">
      <c r="A2214" s="372" t="s">
        <v>14303</v>
      </c>
      <c r="B2214" s="372" t="s">
        <v>14304</v>
      </c>
      <c r="C2214" s="372" t="s">
        <v>14305</v>
      </c>
      <c r="D2214" s="374">
        <v>1101110105688</v>
      </c>
      <c r="E2214" s="372" t="s">
        <v>14306</v>
      </c>
      <c r="F2214" s="372" t="s">
        <v>1854</v>
      </c>
      <c r="G2214" s="375" t="s">
        <v>1854</v>
      </c>
      <c r="H2214" s="375" t="s">
        <v>1693</v>
      </c>
      <c r="I2214" s="375" t="s">
        <v>869</v>
      </c>
      <c r="J2214" s="375">
        <v>179751.79428</v>
      </c>
      <c r="K2214" s="375">
        <v>2845.8274500000002</v>
      </c>
      <c r="L2214" s="375">
        <v>2203.1684599999999</v>
      </c>
      <c r="M2214" s="375">
        <v>43026.075550000001</v>
      </c>
      <c r="N2214" s="372">
        <v>0.86399999999999999</v>
      </c>
      <c r="O2214" s="703">
        <v>14.504620630100751</v>
      </c>
      <c r="P2214" s="562" t="s">
        <v>623</v>
      </c>
      <c r="Q2214" s="372" t="s">
        <v>623</v>
      </c>
      <c r="R2214" s="695">
        <v>20000905</v>
      </c>
      <c r="S2214" s="372" t="s">
        <v>14307</v>
      </c>
      <c r="T2214" s="696">
        <v>0.20900000000000002</v>
      </c>
      <c r="U2214" s="372" t="s">
        <v>14308</v>
      </c>
      <c r="V2214" s="722">
        <v>13.81</v>
      </c>
      <c r="W2214" s="722">
        <v>0.93</v>
      </c>
      <c r="X2214" s="722">
        <v>0.23</v>
      </c>
      <c r="Y2214" s="722">
        <v>24.43</v>
      </c>
      <c r="Z2214" s="382" t="s">
        <v>934</v>
      </c>
      <c r="AA2214" s="372">
        <v>1721.6458858000001</v>
      </c>
      <c r="AB2214" s="372">
        <v>1663.3318477</v>
      </c>
      <c r="AC2214" s="372">
        <v>1662.6665800999999</v>
      </c>
      <c r="AD2214" s="372">
        <v>1797.5179427999999</v>
      </c>
      <c r="AE2214" s="372">
        <v>0</v>
      </c>
      <c r="AF2214" s="372">
        <v>0</v>
      </c>
      <c r="AG2214" s="372">
        <v>0</v>
      </c>
      <c r="AH2214" s="372">
        <v>0</v>
      </c>
    </row>
    <row r="2215" spans="1:34">
      <c r="A2215" s="372" t="s">
        <v>14309</v>
      </c>
      <c r="B2215" s="372" t="s">
        <v>14310</v>
      </c>
      <c r="C2215" s="372" t="s">
        <v>14311</v>
      </c>
      <c r="D2215" s="374">
        <v>1301110044808</v>
      </c>
      <c r="E2215" s="372" t="s">
        <v>14312</v>
      </c>
      <c r="F2215" s="372" t="s">
        <v>2858</v>
      </c>
      <c r="G2215" s="375" t="s">
        <v>2858</v>
      </c>
      <c r="H2215" s="375" t="s">
        <v>1388</v>
      </c>
      <c r="I2215" s="375" t="s">
        <v>869</v>
      </c>
      <c r="J2215" s="375">
        <v>17449.95261</v>
      </c>
      <c r="K2215" s="375">
        <v>-8487.4046400000007</v>
      </c>
      <c r="L2215" s="375">
        <v>-13903.471799999999</v>
      </c>
      <c r="M2215" s="375">
        <v>44747.546419999999</v>
      </c>
      <c r="N2215" s="372">
        <v>0.8</v>
      </c>
      <c r="O2215" s="703">
        <v>33.857019896762225</v>
      </c>
      <c r="P2215" s="562" t="s">
        <v>16142</v>
      </c>
      <c r="Q2215" s="372" t="s">
        <v>623</v>
      </c>
      <c r="R2215" s="695">
        <v>20140814</v>
      </c>
      <c r="S2215" s="372" t="s">
        <v>14313</v>
      </c>
      <c r="T2215" s="696" t="s">
        <v>772</v>
      </c>
      <c r="U2215" s="372" t="s">
        <v>16118</v>
      </c>
      <c r="V2215" s="722" t="s">
        <v>774</v>
      </c>
      <c r="W2215" s="722">
        <v>1.05</v>
      </c>
      <c r="X2215" s="722">
        <v>2.69</v>
      </c>
      <c r="Y2215" s="722" t="s">
        <v>774</v>
      </c>
      <c r="Z2215" s="382" t="s">
        <v>934</v>
      </c>
      <c r="AA2215" s="372">
        <v>135.8942744</v>
      </c>
      <c r="AB2215" s="372">
        <v>259.84088209999999</v>
      </c>
      <c r="AC2215" s="372">
        <v>211.0009914</v>
      </c>
      <c r="AD2215" s="372">
        <v>174.4995261</v>
      </c>
      <c r="AE2215" s="372">
        <v>0</v>
      </c>
      <c r="AF2215" s="372">
        <v>0</v>
      </c>
      <c r="AG2215" s="372">
        <v>0</v>
      </c>
      <c r="AH2215" s="372">
        <v>0</v>
      </c>
    </row>
    <row r="2216" spans="1:34">
      <c r="A2216" s="372" t="s">
        <v>14314</v>
      </c>
      <c r="B2216" s="372" t="s">
        <v>14315</v>
      </c>
      <c r="C2216" s="372" t="s">
        <v>14316</v>
      </c>
      <c r="D2216" s="374">
        <v>1345110042264</v>
      </c>
      <c r="E2216" s="372" t="s">
        <v>14317</v>
      </c>
      <c r="F2216" s="372" t="s">
        <v>1985</v>
      </c>
      <c r="G2216" s="375" t="s">
        <v>1985</v>
      </c>
      <c r="H2216" s="375" t="s">
        <v>868</v>
      </c>
      <c r="I2216" s="375" t="s">
        <v>869</v>
      </c>
      <c r="J2216" s="375">
        <v>41257.657890000002</v>
      </c>
      <c r="K2216" s="375">
        <v>1267.04159</v>
      </c>
      <c r="L2216" s="375">
        <v>16923.122500000001</v>
      </c>
      <c r="M2216" s="375">
        <v>138013.71815</v>
      </c>
      <c r="N2216" s="372">
        <v>1.6890000000000001</v>
      </c>
      <c r="O2216" s="703">
        <v>208.03143637144689</v>
      </c>
      <c r="P2216" s="562" t="s">
        <v>623</v>
      </c>
      <c r="Q2216" s="372" t="s">
        <v>623</v>
      </c>
      <c r="R2216" s="695">
        <v>20061101</v>
      </c>
      <c r="S2216" s="372" t="s">
        <v>14318</v>
      </c>
      <c r="T2216" s="696">
        <v>0.20900000000000002</v>
      </c>
      <c r="U2216" s="372" t="s">
        <v>14319</v>
      </c>
      <c r="V2216" s="722">
        <v>29.4</v>
      </c>
      <c r="W2216" s="722">
        <v>0.38</v>
      </c>
      <c r="X2216" s="722">
        <v>1.25</v>
      </c>
      <c r="Y2216" s="722">
        <v>5.31</v>
      </c>
      <c r="Z2216" s="382" t="s">
        <v>934</v>
      </c>
      <c r="AA2216" s="372">
        <v>96.853636300000005</v>
      </c>
      <c r="AB2216" s="372">
        <v>169.72440209999999</v>
      </c>
      <c r="AC2216" s="372">
        <v>234.6325904</v>
      </c>
      <c r="AD2216" s="372">
        <v>412.57657890000002</v>
      </c>
      <c r="AE2216" s="372">
        <v>0</v>
      </c>
      <c r="AF2216" s="372">
        <v>0</v>
      </c>
      <c r="AG2216" s="372">
        <v>0</v>
      </c>
      <c r="AH2216" s="372">
        <v>0</v>
      </c>
    </row>
    <row r="2217" spans="1:34">
      <c r="A2217" s="372" t="s">
        <v>14320</v>
      </c>
      <c r="B2217" s="372" t="s">
        <v>14321</v>
      </c>
      <c r="C2217" s="372" t="s">
        <v>14322</v>
      </c>
      <c r="D2217" s="374">
        <v>1101115248376</v>
      </c>
      <c r="E2217" s="372" t="s">
        <v>14323</v>
      </c>
      <c r="F2217" s="372" t="s">
        <v>1614</v>
      </c>
      <c r="G2217" s="375" t="s">
        <v>1615</v>
      </c>
      <c r="H2217" s="375" t="s">
        <v>868</v>
      </c>
      <c r="I2217" s="375" t="s">
        <v>869</v>
      </c>
      <c r="J2217" s="375">
        <v>88076.437789999996</v>
      </c>
      <c r="K2217" s="375">
        <v>1622.7784899999999</v>
      </c>
      <c r="L2217" s="375">
        <v>-5300.2475800000002</v>
      </c>
      <c r="M2217" s="375">
        <v>8337.7592399999994</v>
      </c>
      <c r="N2217" s="372">
        <v>0.78400000000000003</v>
      </c>
      <c r="O2217" s="703">
        <v>60.908172479886183</v>
      </c>
      <c r="P2217" s="562" t="s">
        <v>16142</v>
      </c>
      <c r="Q2217" s="372" t="s">
        <v>623</v>
      </c>
      <c r="R2217" s="695">
        <v>20140508</v>
      </c>
      <c r="S2217" s="372" t="s">
        <v>14324</v>
      </c>
      <c r="T2217" s="696" t="s">
        <v>772</v>
      </c>
      <c r="U2217" s="372" t="s">
        <v>14325</v>
      </c>
      <c r="V2217" s="722">
        <v>12.38</v>
      </c>
      <c r="W2217" s="722">
        <v>4.83</v>
      </c>
      <c r="X2217" s="722">
        <v>0.48</v>
      </c>
      <c r="Y2217" s="722" t="s">
        <v>774</v>
      </c>
      <c r="Z2217" s="382" t="s">
        <v>934</v>
      </c>
      <c r="AA2217" s="372">
        <v>473.75057509999999</v>
      </c>
      <c r="AB2217" s="372">
        <v>512.70341350000001</v>
      </c>
      <c r="AC2217" s="372">
        <v>668.04959540000004</v>
      </c>
      <c r="AD2217" s="372">
        <v>880.7643779</v>
      </c>
      <c r="AE2217" s="372">
        <v>0</v>
      </c>
      <c r="AF2217" s="372">
        <v>0</v>
      </c>
      <c r="AG2217" s="372">
        <v>0</v>
      </c>
      <c r="AH2217" s="372">
        <v>0</v>
      </c>
    </row>
    <row r="2218" spans="1:34">
      <c r="A2218" s="372" t="s">
        <v>14326</v>
      </c>
      <c r="B2218" s="372" t="s">
        <v>14327</v>
      </c>
      <c r="C2218" s="372" t="s">
        <v>14328</v>
      </c>
      <c r="D2218" s="374">
        <v>1101111985914</v>
      </c>
      <c r="E2218" s="372" t="s">
        <v>14329</v>
      </c>
      <c r="F2218" s="372" t="s">
        <v>5824</v>
      </c>
      <c r="G2218" s="375" t="s">
        <v>5824</v>
      </c>
      <c r="H2218" s="375" t="s">
        <v>1693</v>
      </c>
      <c r="I2218" s="375" t="s">
        <v>869</v>
      </c>
      <c r="J2218" s="375">
        <v>33066.45162</v>
      </c>
      <c r="K2218" s="375">
        <v>1271.3121599999999</v>
      </c>
      <c r="L2218" s="375">
        <v>4388.6685600000001</v>
      </c>
      <c r="M2218" s="375">
        <v>78309.478829999993</v>
      </c>
      <c r="N2218" s="372">
        <v>0.99399999999999999</v>
      </c>
      <c r="O2218" s="703">
        <v>11.49617850657598</v>
      </c>
      <c r="P2218" s="562" t="s">
        <v>623</v>
      </c>
      <c r="Q2218" s="372" t="s">
        <v>623</v>
      </c>
      <c r="R2218" s="695">
        <v>20050610</v>
      </c>
      <c r="S2218" s="372" t="s">
        <v>14330</v>
      </c>
      <c r="T2218" s="696">
        <v>0.20900000000000002</v>
      </c>
      <c r="U2218" s="372" t="s">
        <v>14331</v>
      </c>
      <c r="V2218" s="722">
        <v>15.33</v>
      </c>
      <c r="W2218" s="722">
        <v>0.52</v>
      </c>
      <c r="X2218" s="722">
        <v>1.2</v>
      </c>
      <c r="Y2218" s="722">
        <v>25.8</v>
      </c>
      <c r="Z2218" s="382" t="s">
        <v>934</v>
      </c>
      <c r="AA2218" s="372">
        <v>240.15715779999999</v>
      </c>
      <c r="AB2218" s="372">
        <v>285.56417800000003</v>
      </c>
      <c r="AC2218" s="372">
        <v>313.85362359999999</v>
      </c>
      <c r="AD2218" s="372">
        <v>330.66451619999998</v>
      </c>
      <c r="AE2218" s="372">
        <v>0</v>
      </c>
      <c r="AF2218" s="372">
        <v>0</v>
      </c>
      <c r="AG2218" s="372">
        <v>0</v>
      </c>
      <c r="AH2218" s="372">
        <v>0</v>
      </c>
    </row>
    <row r="2219" spans="1:34">
      <c r="A2219" s="372" t="s">
        <v>14332</v>
      </c>
      <c r="B2219" s="372" t="s">
        <v>14333</v>
      </c>
      <c r="C2219" s="372" t="s">
        <v>14334</v>
      </c>
      <c r="D2219" s="374">
        <v>1101110018138</v>
      </c>
      <c r="E2219" s="372" t="s">
        <v>14335</v>
      </c>
      <c r="F2219" s="372" t="s">
        <v>5755</v>
      </c>
      <c r="G2219" s="375" t="s">
        <v>14336</v>
      </c>
      <c r="H2219" s="375" t="s">
        <v>853</v>
      </c>
      <c r="I2219" s="375" t="s">
        <v>755</v>
      </c>
      <c r="J2219" s="375">
        <v>47187.842380000002</v>
      </c>
      <c r="K2219" s="375">
        <v>-1813.61654</v>
      </c>
      <c r="L2219" s="375">
        <v>-2190.1222699999998</v>
      </c>
      <c r="M2219" s="375">
        <v>207278.13198000001</v>
      </c>
      <c r="N2219" s="372">
        <v>0.67400000000000004</v>
      </c>
      <c r="O2219" s="703">
        <v>49.596251619978062</v>
      </c>
      <c r="P2219" s="562" t="s">
        <v>623</v>
      </c>
      <c r="Q2219" s="372" t="s">
        <v>623</v>
      </c>
      <c r="R2219" s="695">
        <v>19940429</v>
      </c>
      <c r="S2219" s="372" t="s">
        <v>14337</v>
      </c>
      <c r="T2219" s="696" t="s">
        <v>772</v>
      </c>
      <c r="U2219" s="372" t="s">
        <v>14338</v>
      </c>
      <c r="V2219" s="722" t="s">
        <v>774</v>
      </c>
      <c r="W2219" s="722">
        <v>0.31</v>
      </c>
      <c r="X2219" s="722">
        <v>0.9</v>
      </c>
      <c r="Y2219" s="722" t="s">
        <v>774</v>
      </c>
      <c r="Z2219" s="382" t="s">
        <v>934</v>
      </c>
      <c r="AA2219" s="372">
        <v>511.25793850000002</v>
      </c>
      <c r="AB2219" s="372">
        <v>577.75111890000005</v>
      </c>
      <c r="AC2219" s="372">
        <v>586.33950909999999</v>
      </c>
      <c r="AD2219" s="372">
        <v>471.87842380000001</v>
      </c>
      <c r="AE2219" s="372">
        <v>0</v>
      </c>
      <c r="AF2219" s="372">
        <v>0</v>
      </c>
      <c r="AG2219" s="372">
        <v>0</v>
      </c>
      <c r="AH2219" s="372">
        <v>0</v>
      </c>
    </row>
    <row r="2220" spans="1:34">
      <c r="A2220" s="372" t="s">
        <v>14339</v>
      </c>
      <c r="B2220" s="372" t="s">
        <v>14340</v>
      </c>
      <c r="C2220" s="372" t="s">
        <v>14341</v>
      </c>
      <c r="D2220" s="374">
        <v>1101110032005</v>
      </c>
      <c r="E2220" s="372" t="s">
        <v>14342</v>
      </c>
      <c r="F2220" s="372" t="s">
        <v>2771</v>
      </c>
      <c r="G2220" s="375" t="s">
        <v>2772</v>
      </c>
      <c r="H2220" s="375" t="s">
        <v>817</v>
      </c>
      <c r="I2220" s="375" t="s">
        <v>755</v>
      </c>
      <c r="J2220" s="375">
        <v>180812.60444</v>
      </c>
      <c r="K2220" s="375">
        <v>-2912.55861</v>
      </c>
      <c r="L2220" s="375">
        <v>-2861.3381300000001</v>
      </c>
      <c r="M2220" s="375">
        <v>153236.01433000001</v>
      </c>
      <c r="N2220" s="372">
        <v>1.105</v>
      </c>
      <c r="O2220" s="703">
        <v>0.37245259699074873</v>
      </c>
      <c r="P2220" s="562" t="s">
        <v>623</v>
      </c>
      <c r="Q2220" s="372" t="s">
        <v>623</v>
      </c>
      <c r="R2220" s="695">
        <v>20150924</v>
      </c>
      <c r="S2220" s="372" t="s">
        <v>14343</v>
      </c>
      <c r="T2220" s="696" t="s">
        <v>772</v>
      </c>
      <c r="U2220" s="372" t="s">
        <v>14344</v>
      </c>
      <c r="V2220" s="722">
        <v>0</v>
      </c>
      <c r="W2220" s="722">
        <v>0.24</v>
      </c>
      <c r="X2220" s="722">
        <v>0</v>
      </c>
      <c r="Y2220" s="722">
        <v>0</v>
      </c>
      <c r="Z2220" s="382" t="s">
        <v>934</v>
      </c>
      <c r="AA2220" s="372">
        <v>1229.1262021</v>
      </c>
      <c r="AB2220" s="372">
        <v>1822.3577387</v>
      </c>
      <c r="AC2220" s="372">
        <v>1967.5761537999999</v>
      </c>
      <c r="AD2220" s="372">
        <v>1808.1260444</v>
      </c>
      <c r="AE2220" s="372">
        <v>0</v>
      </c>
      <c r="AF2220" s="372">
        <v>0</v>
      </c>
      <c r="AG2220" s="372">
        <v>0</v>
      </c>
      <c r="AH2220" s="372">
        <v>0</v>
      </c>
    </row>
    <row r="2221" spans="1:34">
      <c r="A2221" s="372" t="s">
        <v>14345</v>
      </c>
      <c r="B2221" s="372" t="s">
        <v>14346</v>
      </c>
      <c r="C2221" s="372" t="s">
        <v>14347</v>
      </c>
      <c r="D2221" s="374">
        <v>1801110414837</v>
      </c>
      <c r="E2221" s="372" t="s">
        <v>14348</v>
      </c>
      <c r="F2221" s="372" t="s">
        <v>3584</v>
      </c>
      <c r="G2221" s="375" t="s">
        <v>3584</v>
      </c>
      <c r="H2221" s="375" t="s">
        <v>1693</v>
      </c>
      <c r="I2221" s="375" t="s">
        <v>869</v>
      </c>
      <c r="J2221" s="375">
        <v>31702.03325</v>
      </c>
      <c r="K2221" s="375">
        <v>-7717.7943299999997</v>
      </c>
      <c r="L2221" s="375">
        <v>-31334.036059999999</v>
      </c>
      <c r="M2221" s="375">
        <v>29194.588599999999</v>
      </c>
      <c r="N2221" s="372">
        <v>0.95499999999999996</v>
      </c>
      <c r="O2221" s="703">
        <v>104.47414236056201</v>
      </c>
      <c r="P2221" s="562" t="s">
        <v>623</v>
      </c>
      <c r="Q2221" s="372" t="s">
        <v>623</v>
      </c>
      <c r="R2221" s="695">
        <v>20061010</v>
      </c>
      <c r="S2221" s="372" t="s">
        <v>14349</v>
      </c>
      <c r="T2221" s="696" t="s">
        <v>772</v>
      </c>
      <c r="U2221" s="372" t="s">
        <v>14350</v>
      </c>
      <c r="V2221" s="722" t="s">
        <v>774</v>
      </c>
      <c r="W2221" s="722">
        <v>1.28</v>
      </c>
      <c r="X2221" s="722">
        <v>1.18</v>
      </c>
      <c r="Y2221" s="722" t="s">
        <v>774</v>
      </c>
      <c r="Z2221" s="382" t="s">
        <v>934</v>
      </c>
      <c r="AA2221" s="372">
        <v>586.20210110000005</v>
      </c>
      <c r="AB2221" s="372">
        <v>538.83827810000003</v>
      </c>
      <c r="AC2221" s="372">
        <v>466.01511929999998</v>
      </c>
      <c r="AD2221" s="372">
        <v>317.02033249999999</v>
      </c>
      <c r="AE2221" s="372">
        <v>0</v>
      </c>
      <c r="AF2221" s="372">
        <v>0</v>
      </c>
      <c r="AG2221" s="372">
        <v>0</v>
      </c>
      <c r="AH2221" s="372">
        <v>0</v>
      </c>
    </row>
    <row r="2222" spans="1:34">
      <c r="A2222" s="372" t="s">
        <v>14351</v>
      </c>
      <c r="B2222" s="372" t="s">
        <v>14352</v>
      </c>
      <c r="C2222" s="372" t="s">
        <v>14353</v>
      </c>
      <c r="D2222" s="374">
        <v>1101110296073</v>
      </c>
      <c r="E2222" s="372" t="s">
        <v>14354</v>
      </c>
      <c r="F2222" s="372" t="s">
        <v>1472</v>
      </c>
      <c r="G2222" s="375" t="s">
        <v>5698</v>
      </c>
      <c r="H2222" s="375" t="s">
        <v>916</v>
      </c>
      <c r="I2222" s="375" t="s">
        <v>755</v>
      </c>
      <c r="J2222" s="375">
        <v>47384.48545</v>
      </c>
      <c r="K2222" s="375">
        <v>-12080.295469999999</v>
      </c>
      <c r="L2222" s="375">
        <v>-33593.745929999997</v>
      </c>
      <c r="M2222" s="375">
        <v>29370.803680000001</v>
      </c>
      <c r="N2222" s="372">
        <v>0.35199999999999998</v>
      </c>
      <c r="O2222" s="703">
        <v>126.12335332376135</v>
      </c>
      <c r="P2222" s="562" t="s">
        <v>16142</v>
      </c>
      <c r="Q2222" s="372" t="s">
        <v>16145</v>
      </c>
      <c r="R2222" s="695">
        <v>19891202</v>
      </c>
      <c r="S2222" s="372" t="s">
        <v>14355</v>
      </c>
      <c r="T2222" s="696" t="s">
        <v>772</v>
      </c>
      <c r="U2222" s="372" t="s">
        <v>14356</v>
      </c>
      <c r="V2222" s="722" t="s">
        <v>774</v>
      </c>
      <c r="W2222" s="722">
        <v>0.85</v>
      </c>
      <c r="X2222" s="722">
        <v>0.53</v>
      </c>
      <c r="Y2222" s="722" t="s">
        <v>774</v>
      </c>
      <c r="Z2222" s="382" t="s">
        <v>934</v>
      </c>
      <c r="AA2222" s="372">
        <v>1099.2874065999999</v>
      </c>
      <c r="AB2222" s="372">
        <v>968.49603239999999</v>
      </c>
      <c r="AC2222" s="372">
        <v>588.34597889999998</v>
      </c>
      <c r="AD2222" s="372">
        <v>473.8448545</v>
      </c>
      <c r="AE2222" s="372">
        <v>0</v>
      </c>
      <c r="AF2222" s="372">
        <v>0</v>
      </c>
      <c r="AG2222" s="372">
        <v>0</v>
      </c>
      <c r="AH2222" s="372">
        <v>0</v>
      </c>
    </row>
    <row r="2223" spans="1:34">
      <c r="A2223" s="372" t="s">
        <v>14357</v>
      </c>
      <c r="B2223" s="372" t="s">
        <v>14358</v>
      </c>
      <c r="C2223" s="372" t="s">
        <v>14359</v>
      </c>
      <c r="D2223" s="374">
        <v>1101110175467</v>
      </c>
      <c r="E2223" s="372" t="s">
        <v>14360</v>
      </c>
      <c r="F2223" s="372" t="s">
        <v>5169</v>
      </c>
      <c r="G2223" s="375" t="s">
        <v>5169</v>
      </c>
      <c r="H2223" s="375" t="s">
        <v>1397</v>
      </c>
      <c r="I2223" s="375" t="s">
        <v>755</v>
      </c>
      <c r="J2223" s="375">
        <v>100168.75631</v>
      </c>
      <c r="K2223" s="375">
        <v>-3316.4888900000001</v>
      </c>
      <c r="L2223" s="375">
        <v>3144.6727000000001</v>
      </c>
      <c r="M2223" s="375">
        <v>95625.892819999994</v>
      </c>
      <c r="N2223" s="372">
        <v>0.81599999999999995</v>
      </c>
      <c r="O2223" s="703">
        <v>4.3174917410710858</v>
      </c>
      <c r="P2223" s="562" t="s">
        <v>623</v>
      </c>
      <c r="Q2223" s="372" t="s">
        <v>623</v>
      </c>
      <c r="R2223" s="695">
        <v>20180914</v>
      </c>
      <c r="S2223" s="372" t="s">
        <v>14361</v>
      </c>
      <c r="T2223" s="696">
        <v>0.20900000000000002</v>
      </c>
      <c r="U2223" s="372" t="s">
        <v>14362</v>
      </c>
      <c r="V2223" s="722" t="s">
        <v>774</v>
      </c>
      <c r="W2223" s="722">
        <v>0.38</v>
      </c>
      <c r="X2223" s="722">
        <v>0.39</v>
      </c>
      <c r="Y2223" s="722">
        <v>20.16</v>
      </c>
      <c r="Z2223" s="382" t="s">
        <v>934</v>
      </c>
      <c r="AA2223" s="372">
        <v>1404.3120105999999</v>
      </c>
      <c r="AB2223" s="372">
        <v>894.74130709999997</v>
      </c>
      <c r="AC2223" s="372">
        <v>840.45560460000002</v>
      </c>
      <c r="AD2223" s="372">
        <v>1001.6875631</v>
      </c>
      <c r="AE2223" s="372">
        <v>0</v>
      </c>
      <c r="AF2223" s="372">
        <v>0</v>
      </c>
      <c r="AG2223" s="372">
        <v>0</v>
      </c>
      <c r="AH2223" s="372">
        <v>0</v>
      </c>
    </row>
    <row r="2224" spans="1:34">
      <c r="A2224" s="372" t="s">
        <v>14363</v>
      </c>
      <c r="B2224" s="372" t="s">
        <v>14364</v>
      </c>
      <c r="C2224" s="372" t="s">
        <v>14365</v>
      </c>
      <c r="D2224" s="374">
        <v>1115110005269</v>
      </c>
      <c r="E2224" s="372" t="s">
        <v>14366</v>
      </c>
      <c r="F2224" s="372" t="s">
        <v>1854</v>
      </c>
      <c r="G2224" s="375" t="s">
        <v>1854</v>
      </c>
      <c r="H2224" s="375" t="s">
        <v>3127</v>
      </c>
      <c r="I2224" s="375" t="s">
        <v>869</v>
      </c>
      <c r="J2224" s="375">
        <v>156031.55598999999</v>
      </c>
      <c r="K2224" s="375">
        <v>4957.74046</v>
      </c>
      <c r="L2224" s="375">
        <v>2015.0505499999999</v>
      </c>
      <c r="M2224" s="375">
        <v>64557.281710000003</v>
      </c>
      <c r="N2224" s="372">
        <v>0.92100000000000004</v>
      </c>
      <c r="O2224" s="703">
        <v>157.94901685146374</v>
      </c>
      <c r="P2224" s="562" t="s">
        <v>623</v>
      </c>
      <c r="Q2224" s="372" t="s">
        <v>623</v>
      </c>
      <c r="R2224" s="695">
        <v>19891228</v>
      </c>
      <c r="S2224" s="372" t="s">
        <v>14367</v>
      </c>
      <c r="T2224" s="696">
        <v>0.20900000000000002</v>
      </c>
      <c r="U2224" s="372" t="s">
        <v>14368</v>
      </c>
      <c r="V2224" s="722">
        <v>10.33</v>
      </c>
      <c r="W2224" s="722">
        <v>0.59</v>
      </c>
      <c r="X2224" s="722">
        <v>0.26</v>
      </c>
      <c r="Y2224" s="722">
        <v>22.97</v>
      </c>
      <c r="Z2224" s="382" t="s">
        <v>934</v>
      </c>
      <c r="AA2224" s="372">
        <v>1393.6083947</v>
      </c>
      <c r="AB2224" s="372">
        <v>1605.5072927000001</v>
      </c>
      <c r="AC2224" s="372">
        <v>1683.6279821000001</v>
      </c>
      <c r="AD2224" s="372">
        <v>1560.3155598999999</v>
      </c>
      <c r="AE2224" s="372">
        <v>0</v>
      </c>
      <c r="AF2224" s="372">
        <v>0</v>
      </c>
      <c r="AG2224" s="372">
        <v>0</v>
      </c>
      <c r="AH2224" s="372">
        <v>0</v>
      </c>
    </row>
    <row r="2225" spans="1:34">
      <c r="A2225" s="372" t="s">
        <v>14369</v>
      </c>
      <c r="B2225" s="372" t="s">
        <v>14370</v>
      </c>
      <c r="C2225" s="372" t="s">
        <v>14371</v>
      </c>
      <c r="D2225" s="374">
        <v>1348110069163</v>
      </c>
      <c r="E2225" s="372" t="s">
        <v>14372</v>
      </c>
      <c r="F2225" s="372" t="s">
        <v>4918</v>
      </c>
      <c r="G2225" s="375" t="s">
        <v>4918</v>
      </c>
      <c r="H2225" s="375" t="s">
        <v>1388</v>
      </c>
      <c r="I2225" s="375" t="s">
        <v>869</v>
      </c>
      <c r="J2225" s="375">
        <v>121168.83722</v>
      </c>
      <c r="K2225" s="375">
        <v>3992.3413700000001</v>
      </c>
      <c r="L2225" s="375">
        <v>-2213.9386800000002</v>
      </c>
      <c r="M2225" s="375">
        <v>43421.08208</v>
      </c>
      <c r="N2225" s="372">
        <v>0.76300000000000001</v>
      </c>
      <c r="O2225" s="703">
        <v>107.13159640413703</v>
      </c>
      <c r="P2225" s="562" t="s">
        <v>623</v>
      </c>
      <c r="Q2225" s="372" t="s">
        <v>623</v>
      </c>
      <c r="R2225" s="695">
        <v>20131106</v>
      </c>
      <c r="S2225" s="372" t="s">
        <v>14373</v>
      </c>
      <c r="T2225" s="696" t="s">
        <v>772</v>
      </c>
      <c r="U2225" s="372" t="s">
        <v>14374</v>
      </c>
      <c r="V2225" s="722">
        <v>7.31</v>
      </c>
      <c r="W2225" s="722">
        <v>0.2</v>
      </c>
      <c r="X2225" s="722">
        <v>7.0000000000000007E-2</v>
      </c>
      <c r="Y2225" s="722" t="s">
        <v>774</v>
      </c>
      <c r="Z2225" s="382" t="s">
        <v>934</v>
      </c>
      <c r="AA2225" s="372">
        <v>1619.3426755</v>
      </c>
      <c r="AB2225" s="372">
        <v>1408.4499530999999</v>
      </c>
      <c r="AC2225" s="372">
        <v>1638.0622023999999</v>
      </c>
      <c r="AD2225" s="372">
        <v>1211.6883722</v>
      </c>
      <c r="AE2225" s="372">
        <v>0</v>
      </c>
      <c r="AF2225" s="372">
        <v>0</v>
      </c>
      <c r="AG2225" s="372">
        <v>0</v>
      </c>
      <c r="AH2225" s="372">
        <v>0</v>
      </c>
    </row>
    <row r="2226" spans="1:34">
      <c r="A2226" s="372" t="s">
        <v>14375</v>
      </c>
      <c r="B2226" s="372" t="s">
        <v>14376</v>
      </c>
      <c r="C2226" s="372" t="s">
        <v>14377</v>
      </c>
      <c r="D2226" s="374">
        <v>1243110002628</v>
      </c>
      <c r="E2226" s="372" t="s">
        <v>14378</v>
      </c>
      <c r="F2226" s="372" t="s">
        <v>4377</v>
      </c>
      <c r="G2226" s="375" t="s">
        <v>4378</v>
      </c>
      <c r="H2226" s="375" t="s">
        <v>868</v>
      </c>
      <c r="I2226" s="375" t="s">
        <v>869</v>
      </c>
      <c r="J2226" s="375">
        <v>101060.22835999999</v>
      </c>
      <c r="K2226" s="375">
        <v>1540.0889999999999</v>
      </c>
      <c r="L2226" s="375">
        <v>1800.0746300000001</v>
      </c>
      <c r="M2226" s="375">
        <v>77355.521569999997</v>
      </c>
      <c r="N2226" s="372">
        <v>0.57899999999999996</v>
      </c>
      <c r="O2226" s="703">
        <v>3.9514985132593909</v>
      </c>
      <c r="P2226" s="562" t="s">
        <v>623</v>
      </c>
      <c r="Q2226" s="372" t="s">
        <v>623</v>
      </c>
      <c r="R2226" s="695">
        <v>20110223</v>
      </c>
      <c r="S2226" s="372" t="s">
        <v>14379</v>
      </c>
      <c r="T2226" s="696">
        <v>0.20900000000000002</v>
      </c>
      <c r="U2226" s="372" t="s">
        <v>14380</v>
      </c>
      <c r="V2226" s="722">
        <v>13.63</v>
      </c>
      <c r="W2226" s="722">
        <v>0.51</v>
      </c>
      <c r="X2226" s="722">
        <v>0.39</v>
      </c>
      <c r="Y2226" s="722">
        <v>27.44</v>
      </c>
      <c r="Z2226" s="382" t="s">
        <v>934</v>
      </c>
      <c r="AA2226" s="372">
        <v>1005.9649117</v>
      </c>
      <c r="AB2226" s="372">
        <v>982.27065030000006</v>
      </c>
      <c r="AC2226" s="372">
        <v>918.69520490000002</v>
      </c>
      <c r="AD2226" s="372">
        <v>1010.6022836</v>
      </c>
      <c r="AE2226" s="372">
        <v>0</v>
      </c>
      <c r="AF2226" s="372">
        <v>0</v>
      </c>
      <c r="AG2226" s="372">
        <v>0</v>
      </c>
      <c r="AH2226" s="372">
        <v>0</v>
      </c>
    </row>
    <row r="2227" spans="1:34">
      <c r="A2227" s="372" t="s">
        <v>14381</v>
      </c>
      <c r="B2227" s="372" t="s">
        <v>14382</v>
      </c>
      <c r="C2227" s="372" t="s">
        <v>14383</v>
      </c>
      <c r="D2227" s="374">
        <v>1801110085076</v>
      </c>
      <c r="E2227" s="372" t="s">
        <v>14384</v>
      </c>
      <c r="F2227" s="372" t="s">
        <v>1814</v>
      </c>
      <c r="G2227" s="375" t="s">
        <v>2821</v>
      </c>
      <c r="H2227" s="375" t="s">
        <v>1693</v>
      </c>
      <c r="I2227" s="375" t="s">
        <v>869</v>
      </c>
      <c r="J2227" s="375">
        <v>16054.188969999999</v>
      </c>
      <c r="K2227" s="375">
        <v>3606.0028699999998</v>
      </c>
      <c r="L2227" s="375">
        <v>4298.7254700000003</v>
      </c>
      <c r="M2227" s="375">
        <v>21851.05473</v>
      </c>
      <c r="N2227" s="372">
        <v>0.871</v>
      </c>
      <c r="O2227" s="703">
        <v>1.667775273310244</v>
      </c>
      <c r="P2227" s="562" t="s">
        <v>623</v>
      </c>
      <c r="Q2227" s="372" t="s">
        <v>623</v>
      </c>
      <c r="R2227" s="695">
        <v>20020716</v>
      </c>
      <c r="S2227" s="372" t="s">
        <v>14385</v>
      </c>
      <c r="T2227" s="696">
        <v>0.20900000000000002</v>
      </c>
      <c r="U2227" s="372" t="s">
        <v>14386</v>
      </c>
      <c r="V2227" s="722">
        <v>0</v>
      </c>
      <c r="W2227" s="722">
        <v>1.73</v>
      </c>
      <c r="X2227" s="722">
        <v>0</v>
      </c>
      <c r="Y2227" s="722">
        <v>0</v>
      </c>
      <c r="Z2227" s="382" t="s">
        <v>934</v>
      </c>
      <c r="AA2227" s="372">
        <v>121.4340389</v>
      </c>
      <c r="AB2227" s="372">
        <v>140.91536410000001</v>
      </c>
      <c r="AC2227" s="372">
        <v>138.77625990000001</v>
      </c>
      <c r="AD2227" s="372">
        <v>160.54188970000001</v>
      </c>
      <c r="AE2227" s="372">
        <v>0</v>
      </c>
      <c r="AF2227" s="372">
        <v>0</v>
      </c>
      <c r="AG2227" s="372">
        <v>0</v>
      </c>
      <c r="AH2227" s="372">
        <v>0</v>
      </c>
    </row>
    <row r="2228" spans="1:34">
      <c r="A2228" s="372" t="s">
        <v>14387</v>
      </c>
      <c r="B2228" s="372" t="s">
        <v>14388</v>
      </c>
      <c r="C2228" s="372" t="s">
        <v>14389</v>
      </c>
      <c r="D2228" s="374">
        <v>1412110022619</v>
      </c>
      <c r="E2228" s="372" t="s">
        <v>14390</v>
      </c>
      <c r="F2228" s="372" t="s">
        <v>2077</v>
      </c>
      <c r="G2228" s="375" t="s">
        <v>2078</v>
      </c>
      <c r="H2228" s="375" t="s">
        <v>868</v>
      </c>
      <c r="I2228" s="375" t="s">
        <v>869</v>
      </c>
      <c r="J2228" s="375">
        <v>41803.05214</v>
      </c>
      <c r="K2228" s="375">
        <v>4940.5324300000002</v>
      </c>
      <c r="L2228" s="375">
        <v>-7443.1550500000003</v>
      </c>
      <c r="M2228" s="375">
        <v>54221.024250000002</v>
      </c>
      <c r="N2228" s="372">
        <v>0.96899999999999997</v>
      </c>
      <c r="O2228" s="703">
        <v>67.833367455474217</v>
      </c>
      <c r="P2228" s="562" t="s">
        <v>623</v>
      </c>
      <c r="Q2228" s="372" t="s">
        <v>623</v>
      </c>
      <c r="R2228" s="695">
        <v>20111215</v>
      </c>
      <c r="S2228" s="372" t="s">
        <v>14391</v>
      </c>
      <c r="T2228" s="696" t="s">
        <v>772</v>
      </c>
      <c r="U2228" s="372" t="s">
        <v>14392</v>
      </c>
      <c r="V2228" s="722">
        <v>8.0299999999999994</v>
      </c>
      <c r="W2228" s="722">
        <v>0.75</v>
      </c>
      <c r="X2228" s="722">
        <v>0.98</v>
      </c>
      <c r="Y2228" s="722" t="s">
        <v>774</v>
      </c>
      <c r="Z2228" s="382" t="s">
        <v>934</v>
      </c>
      <c r="AA2228" s="372">
        <v>283.18709009999998</v>
      </c>
      <c r="AB2228" s="372">
        <v>354.02267060000003</v>
      </c>
      <c r="AC2228" s="372">
        <v>469.57359250000002</v>
      </c>
      <c r="AD2228" s="372">
        <v>418.0305214</v>
      </c>
      <c r="AE2228" s="372">
        <v>0</v>
      </c>
      <c r="AF2228" s="372">
        <v>0</v>
      </c>
      <c r="AG2228" s="372">
        <v>0</v>
      </c>
      <c r="AH2228" s="372">
        <v>0</v>
      </c>
    </row>
    <row r="2229" spans="1:34">
      <c r="A2229" s="372" t="s">
        <v>14393</v>
      </c>
      <c r="B2229" s="372" t="s">
        <v>14394</v>
      </c>
      <c r="C2229" s="372" t="s">
        <v>14395</v>
      </c>
      <c r="D2229" s="374">
        <v>1801110172667</v>
      </c>
      <c r="E2229" s="372" t="s">
        <v>14396</v>
      </c>
      <c r="F2229" s="372" t="s">
        <v>2858</v>
      </c>
      <c r="G2229" s="375" t="s">
        <v>2859</v>
      </c>
      <c r="H2229" s="375" t="s">
        <v>1388</v>
      </c>
      <c r="I2229" s="375" t="s">
        <v>869</v>
      </c>
      <c r="J2229" s="375">
        <v>33338.252939999998</v>
      </c>
      <c r="K2229" s="375">
        <v>-6125.6144100000001</v>
      </c>
      <c r="L2229" s="375">
        <v>-15553.48897</v>
      </c>
      <c r="M2229" s="375">
        <v>33744.180800000002</v>
      </c>
      <c r="N2229" s="372">
        <v>0.439</v>
      </c>
      <c r="O2229" s="703">
        <v>58.461439357419195</v>
      </c>
      <c r="P2229" s="562" t="s">
        <v>623</v>
      </c>
      <c r="Q2229" s="372" t="s">
        <v>623</v>
      </c>
      <c r="R2229" s="695">
        <v>20030117</v>
      </c>
      <c r="S2229" s="372" t="s">
        <v>14397</v>
      </c>
      <c r="T2229" s="696" t="s">
        <v>772</v>
      </c>
      <c r="U2229" s="372" t="s">
        <v>14398</v>
      </c>
      <c r="V2229" s="722">
        <v>0</v>
      </c>
      <c r="W2229" s="722">
        <v>1.08</v>
      </c>
      <c r="X2229" s="722">
        <v>0</v>
      </c>
      <c r="Y2229" s="722">
        <v>0</v>
      </c>
      <c r="Z2229" s="382" t="s">
        <v>934</v>
      </c>
      <c r="AA2229" s="372">
        <v>352.90263729999998</v>
      </c>
      <c r="AB2229" s="372">
        <v>401.13737839999999</v>
      </c>
      <c r="AC2229" s="372">
        <v>319.01368189999999</v>
      </c>
      <c r="AD2229" s="372">
        <v>333.38252940000001</v>
      </c>
      <c r="AE2229" s="372">
        <v>0</v>
      </c>
      <c r="AF2229" s="372">
        <v>0</v>
      </c>
      <c r="AG2229" s="372">
        <v>0</v>
      </c>
      <c r="AH2229" s="372">
        <v>0</v>
      </c>
    </row>
    <row r="2230" spans="1:34">
      <c r="A2230" s="372" t="s">
        <v>14399</v>
      </c>
      <c r="B2230" s="372" t="s">
        <v>14400</v>
      </c>
      <c r="C2230" s="372" t="s">
        <v>14401</v>
      </c>
      <c r="D2230" s="374">
        <v>1601110004426</v>
      </c>
      <c r="E2230" s="372" t="s">
        <v>14402</v>
      </c>
      <c r="F2230" s="372" t="s">
        <v>2771</v>
      </c>
      <c r="G2230" s="375" t="s">
        <v>9480</v>
      </c>
      <c r="H2230" s="375" t="s">
        <v>868</v>
      </c>
      <c r="I2230" s="375" t="s">
        <v>869</v>
      </c>
      <c r="J2230" s="375">
        <v>210467.13204999999</v>
      </c>
      <c r="K2230" s="375">
        <v>5986.3093099999996</v>
      </c>
      <c r="L2230" s="375">
        <v>6611.7802600000005</v>
      </c>
      <c r="M2230" s="375">
        <v>85475.062579999998</v>
      </c>
      <c r="N2230" s="372">
        <v>1.1459999999999999</v>
      </c>
      <c r="O2230" s="703">
        <v>113.83563877196306</v>
      </c>
      <c r="P2230" s="562" t="s">
        <v>623</v>
      </c>
      <c r="Q2230" s="372" t="s">
        <v>623</v>
      </c>
      <c r="R2230" s="695">
        <v>20020201</v>
      </c>
      <c r="S2230" s="372" t="s">
        <v>14403</v>
      </c>
      <c r="T2230" s="696">
        <v>0.20900000000000002</v>
      </c>
      <c r="U2230" s="372" t="s">
        <v>14404</v>
      </c>
      <c r="V2230" s="722">
        <v>8.0399999999999991</v>
      </c>
      <c r="W2230" s="722">
        <v>0.51</v>
      </c>
      <c r="X2230" s="722">
        <v>0.19</v>
      </c>
      <c r="Y2230" s="722">
        <v>9.59</v>
      </c>
      <c r="Z2230" s="382" t="s">
        <v>934</v>
      </c>
      <c r="AA2230" s="372">
        <v>1868.0966085</v>
      </c>
      <c r="AB2230" s="372">
        <v>2424.4836217000002</v>
      </c>
      <c r="AC2230" s="372">
        <v>2324.5887674999999</v>
      </c>
      <c r="AD2230" s="372">
        <v>2104.6713205000001</v>
      </c>
      <c r="AE2230" s="372">
        <v>0</v>
      </c>
      <c r="AF2230" s="372">
        <v>0</v>
      </c>
      <c r="AG2230" s="372">
        <v>0</v>
      </c>
      <c r="AH2230" s="372">
        <v>0</v>
      </c>
    </row>
    <row r="2231" spans="1:34">
      <c r="A2231" s="372" t="s">
        <v>14405</v>
      </c>
      <c r="B2231" s="372" t="s">
        <v>14406</v>
      </c>
      <c r="C2231" s="372" t="s">
        <v>14407</v>
      </c>
      <c r="D2231" s="374">
        <v>1101110227177</v>
      </c>
      <c r="E2231" s="372" t="s">
        <v>14408</v>
      </c>
      <c r="F2231" s="372" t="s">
        <v>852</v>
      </c>
      <c r="G2231" s="375" t="s">
        <v>852</v>
      </c>
      <c r="H2231" s="375" t="s">
        <v>853</v>
      </c>
      <c r="I2231" s="375" t="s">
        <v>755</v>
      </c>
      <c r="J2231" s="375">
        <v>36127.556600000004</v>
      </c>
      <c r="K2231" s="375">
        <v>2368.6149599999999</v>
      </c>
      <c r="L2231" s="375">
        <v>3183.1932900000002</v>
      </c>
      <c r="M2231" s="375">
        <v>48451.992720000002</v>
      </c>
      <c r="N2231" s="372">
        <v>1.4450000000000001</v>
      </c>
      <c r="O2231" s="703">
        <v>6.6740947148696314E-2</v>
      </c>
      <c r="P2231" s="562" t="s">
        <v>623</v>
      </c>
      <c r="Q2231" s="372" t="s">
        <v>623</v>
      </c>
      <c r="R2231" s="695">
        <v>19890905</v>
      </c>
      <c r="S2231" s="372" t="s">
        <v>14409</v>
      </c>
      <c r="T2231" s="696">
        <v>0.20900000000000002</v>
      </c>
      <c r="U2231" s="372" t="s">
        <v>14410</v>
      </c>
      <c r="V2231" s="722">
        <v>15.67</v>
      </c>
      <c r="W2231" s="722">
        <v>0.8</v>
      </c>
      <c r="X2231" s="722">
        <v>1.07</v>
      </c>
      <c r="Y2231" s="722">
        <v>15.15</v>
      </c>
      <c r="Z2231" s="382" t="s">
        <v>934</v>
      </c>
      <c r="AA2231" s="372">
        <v>274.52348119999999</v>
      </c>
      <c r="AB2231" s="372">
        <v>323.94255909999998</v>
      </c>
      <c r="AC2231" s="372">
        <v>280.6582722</v>
      </c>
      <c r="AD2231" s="372">
        <v>361.27556600000003</v>
      </c>
      <c r="AE2231" s="372">
        <v>0</v>
      </c>
      <c r="AF2231" s="372">
        <v>0</v>
      </c>
      <c r="AG2231" s="372">
        <v>0</v>
      </c>
      <c r="AH2231" s="372">
        <v>0</v>
      </c>
    </row>
    <row r="2232" spans="1:34">
      <c r="A2232" s="372" t="s">
        <v>14411</v>
      </c>
      <c r="B2232" s="372" t="s">
        <v>14412</v>
      </c>
      <c r="C2232" s="372" t="s">
        <v>14413</v>
      </c>
      <c r="D2232" s="374">
        <v>1955110052004</v>
      </c>
      <c r="E2232" s="372" t="s">
        <v>14414</v>
      </c>
      <c r="F2232" s="372" t="s">
        <v>14415</v>
      </c>
      <c r="G2232" s="375" t="s">
        <v>14416</v>
      </c>
      <c r="H2232" s="375" t="s">
        <v>868</v>
      </c>
      <c r="I2232" s="375" t="s">
        <v>869</v>
      </c>
      <c r="J2232" s="375">
        <v>88767.723389999999</v>
      </c>
      <c r="K2232" s="375">
        <v>4696.5173299999997</v>
      </c>
      <c r="L2232" s="375">
        <v>3306.10556</v>
      </c>
      <c r="M2232" s="375">
        <v>88404.625709999993</v>
      </c>
      <c r="N2232" s="372">
        <v>0.96099999999999997</v>
      </c>
      <c r="O2232" s="703">
        <v>164.2966279773205</v>
      </c>
      <c r="P2232" s="562" t="s">
        <v>623</v>
      </c>
      <c r="Q2232" s="372" t="s">
        <v>623</v>
      </c>
      <c r="R2232" s="695">
        <v>20130802</v>
      </c>
      <c r="S2232" s="372" t="s">
        <v>14417</v>
      </c>
      <c r="T2232" s="696">
        <v>0.20900000000000002</v>
      </c>
      <c r="U2232" s="372" t="s">
        <v>14418</v>
      </c>
      <c r="V2232" s="722">
        <v>13.3</v>
      </c>
      <c r="W2232" s="722">
        <v>0.54</v>
      </c>
      <c r="X2232" s="722">
        <v>0.48</v>
      </c>
      <c r="Y2232" s="722">
        <v>19.739999999999998</v>
      </c>
      <c r="Z2232" s="382" t="s">
        <v>934</v>
      </c>
      <c r="AA2232" s="372">
        <v>595.17977229999997</v>
      </c>
      <c r="AB2232" s="372">
        <v>667.01916600000004</v>
      </c>
      <c r="AC2232" s="372">
        <v>868.52635789999999</v>
      </c>
      <c r="AD2232" s="372">
        <v>887.67723390000003</v>
      </c>
      <c r="AE2232" s="372">
        <v>0</v>
      </c>
      <c r="AF2232" s="372">
        <v>0</v>
      </c>
      <c r="AG2232" s="372">
        <v>0</v>
      </c>
      <c r="AH2232" s="372">
        <v>0</v>
      </c>
    </row>
    <row r="2233" spans="1:34">
      <c r="A2233" s="372" t="s">
        <v>14419</v>
      </c>
      <c r="B2233" s="372" t="s">
        <v>14420</v>
      </c>
      <c r="C2233" s="372" t="s">
        <v>14421</v>
      </c>
      <c r="D2233" s="374">
        <v>1101110150691</v>
      </c>
      <c r="E2233" s="372" t="s">
        <v>14422</v>
      </c>
      <c r="F2233" s="372" t="s">
        <v>852</v>
      </c>
      <c r="G2233" s="375" t="s">
        <v>852</v>
      </c>
      <c r="H2233" s="375" t="s">
        <v>3127</v>
      </c>
      <c r="I2233" s="375" t="s">
        <v>869</v>
      </c>
      <c r="J2233" s="375">
        <v>137634.68015</v>
      </c>
      <c r="K2233" s="375">
        <v>-2423.8601399999998</v>
      </c>
      <c r="L2233" s="375">
        <v>-613.69754</v>
      </c>
      <c r="M2233" s="375">
        <v>71553.688429999995</v>
      </c>
      <c r="N2233" s="372">
        <v>1.3129999999999999</v>
      </c>
      <c r="O2233" s="703">
        <v>12.8420937973876</v>
      </c>
      <c r="P2233" s="562" t="s">
        <v>623</v>
      </c>
      <c r="Q2233" s="372" t="s">
        <v>623</v>
      </c>
      <c r="R2233" s="695">
        <v>20020108</v>
      </c>
      <c r="S2233" s="372" t="s">
        <v>14423</v>
      </c>
      <c r="T2233" s="696" t="s">
        <v>772</v>
      </c>
      <c r="U2233" s="372" t="s">
        <v>14424</v>
      </c>
      <c r="V2233" s="722">
        <v>0</v>
      </c>
      <c r="W2233" s="722">
        <v>0.56000000000000005</v>
      </c>
      <c r="X2233" s="722">
        <v>0</v>
      </c>
      <c r="Y2233" s="722">
        <v>0</v>
      </c>
      <c r="Z2233" s="382" t="s">
        <v>934</v>
      </c>
      <c r="AA2233" s="372">
        <v>1063.5781622</v>
      </c>
      <c r="AB2233" s="372">
        <v>1654.1592857999999</v>
      </c>
      <c r="AC2233" s="372">
        <v>1824.5264853000001</v>
      </c>
      <c r="AD2233" s="372">
        <v>1376.3468015000001</v>
      </c>
      <c r="AE2233" s="372">
        <v>0</v>
      </c>
      <c r="AF2233" s="372">
        <v>0</v>
      </c>
      <c r="AG2233" s="372">
        <v>0</v>
      </c>
      <c r="AH2233" s="372">
        <v>0</v>
      </c>
    </row>
    <row r="2234" spans="1:34">
      <c r="A2234" s="372" t="s">
        <v>14425</v>
      </c>
      <c r="B2234" s="372" t="s">
        <v>14426</v>
      </c>
      <c r="C2234" s="372" t="s">
        <v>14427</v>
      </c>
      <c r="D2234" s="374">
        <v>2850110151881</v>
      </c>
      <c r="E2234" s="372" t="s">
        <v>14428</v>
      </c>
      <c r="F2234" s="372" t="s">
        <v>1985</v>
      </c>
      <c r="G2234" s="375" t="s">
        <v>1985</v>
      </c>
      <c r="H2234" s="375" t="s">
        <v>1388</v>
      </c>
      <c r="I2234" s="375" t="s">
        <v>869</v>
      </c>
      <c r="J2234" s="375">
        <v>44755.330650000004</v>
      </c>
      <c r="K2234" s="375">
        <v>-4227.09602</v>
      </c>
      <c r="L2234" s="375">
        <v>-6519.0608199999997</v>
      </c>
      <c r="M2234" s="375">
        <v>30651.36361</v>
      </c>
      <c r="N2234" s="372">
        <v>0.99199999999999999</v>
      </c>
      <c r="O2234" s="703">
        <v>74.713254080719594</v>
      </c>
      <c r="P2234" s="562" t="s">
        <v>623</v>
      </c>
      <c r="Q2234" s="372" t="s">
        <v>623</v>
      </c>
      <c r="R2234" s="695">
        <v>20150817</v>
      </c>
      <c r="S2234" s="372" t="s">
        <v>14429</v>
      </c>
      <c r="T2234" s="696" t="s">
        <v>772</v>
      </c>
      <c r="U2234" s="372" t="s">
        <v>14430</v>
      </c>
      <c r="V2234" s="722">
        <v>45.33</v>
      </c>
      <c r="W2234" s="722">
        <v>1.29</v>
      </c>
      <c r="X2234" s="722">
        <v>0.89</v>
      </c>
      <c r="Y2234" s="722" t="s">
        <v>774</v>
      </c>
      <c r="Z2234" s="382" t="s">
        <v>934</v>
      </c>
      <c r="AA2234" s="372">
        <v>812.5446293</v>
      </c>
      <c r="AB2234" s="372">
        <v>665.70972749999999</v>
      </c>
      <c r="AC2234" s="372">
        <v>814.11384320000002</v>
      </c>
      <c r="AD2234" s="372">
        <v>447.55330650000002</v>
      </c>
      <c r="AE2234" s="372">
        <v>0</v>
      </c>
      <c r="AF2234" s="372">
        <v>0</v>
      </c>
      <c r="AG2234" s="372">
        <v>0</v>
      </c>
      <c r="AH2234" s="372">
        <v>0</v>
      </c>
    </row>
    <row r="2235" spans="1:34">
      <c r="A2235" s="372" t="s">
        <v>14431</v>
      </c>
      <c r="B2235" s="372" t="s">
        <v>14432</v>
      </c>
      <c r="C2235" s="372" t="s">
        <v>14433</v>
      </c>
      <c r="D2235" s="374">
        <v>1101115703594</v>
      </c>
      <c r="E2235" s="372" t="s">
        <v>14434</v>
      </c>
      <c r="F2235" s="372" t="s">
        <v>1585</v>
      </c>
      <c r="G2235" s="375" t="s">
        <v>1585</v>
      </c>
      <c r="H2235" s="375" t="s">
        <v>3127</v>
      </c>
      <c r="I2235" s="375" t="s">
        <v>869</v>
      </c>
      <c r="J2235" s="375">
        <v>28464.604759999998</v>
      </c>
      <c r="K2235" s="375">
        <v>-3321.1926100000001</v>
      </c>
      <c r="L2235" s="375">
        <v>-19074.76569</v>
      </c>
      <c r="M2235" s="375">
        <v>39024.595789999999</v>
      </c>
      <c r="N2235" s="372">
        <v>0.96199999999999997</v>
      </c>
      <c r="O2235" s="703">
        <v>67.100988629980037</v>
      </c>
      <c r="P2235" s="562" t="s">
        <v>623</v>
      </c>
      <c r="Q2235" s="372" t="s">
        <v>623</v>
      </c>
      <c r="R2235" s="695">
        <v>20150722</v>
      </c>
      <c r="S2235" s="372" t="s">
        <v>3591</v>
      </c>
      <c r="T2235" s="696" t="s">
        <v>772</v>
      </c>
      <c r="U2235" s="372" t="s">
        <v>14435</v>
      </c>
      <c r="V2235" s="722">
        <v>0</v>
      </c>
      <c r="W2235" s="722">
        <v>1.1299999999999999</v>
      </c>
      <c r="X2235" s="722">
        <v>0</v>
      </c>
      <c r="Y2235" s="722">
        <v>0</v>
      </c>
      <c r="Z2235" s="382" t="s">
        <v>934</v>
      </c>
      <c r="AA2235" s="372">
        <v>303.88158479999998</v>
      </c>
      <c r="AB2235" s="372">
        <v>140.484238</v>
      </c>
      <c r="AC2235" s="372">
        <v>208.3879489</v>
      </c>
      <c r="AD2235" s="372">
        <v>284.64604759999997</v>
      </c>
      <c r="AE2235" s="372">
        <v>0</v>
      </c>
      <c r="AF2235" s="372">
        <v>0</v>
      </c>
      <c r="AG2235" s="372">
        <v>0</v>
      </c>
      <c r="AH2235" s="372">
        <v>0</v>
      </c>
    </row>
    <row r="2236" spans="1:34">
      <c r="A2236" s="372" t="s">
        <v>14436</v>
      </c>
      <c r="B2236" s="372" t="s">
        <v>14437</v>
      </c>
      <c r="C2236" s="372" t="s">
        <v>14438</v>
      </c>
      <c r="D2236" s="374">
        <v>1801110005834</v>
      </c>
      <c r="E2236" s="372" t="s">
        <v>14439</v>
      </c>
      <c r="F2236" s="372" t="s">
        <v>6106</v>
      </c>
      <c r="G2236" s="375" t="s">
        <v>6107</v>
      </c>
      <c r="H2236" s="375" t="s">
        <v>868</v>
      </c>
      <c r="I2236" s="375" t="s">
        <v>869</v>
      </c>
      <c r="J2236" s="375">
        <v>94845.849579999995</v>
      </c>
      <c r="K2236" s="375">
        <v>911.74623999999994</v>
      </c>
      <c r="L2236" s="375">
        <v>-10240.29868</v>
      </c>
      <c r="M2236" s="375">
        <v>47998.965109999997</v>
      </c>
      <c r="N2236" s="372">
        <v>1.095</v>
      </c>
      <c r="O2236" s="703">
        <v>253.01873086561605</v>
      </c>
      <c r="P2236" s="562" t="s">
        <v>623</v>
      </c>
      <c r="Q2236" s="372" t="s">
        <v>623</v>
      </c>
      <c r="R2236" s="695">
        <v>19950630</v>
      </c>
      <c r="S2236" s="372" t="s">
        <v>14440</v>
      </c>
      <c r="T2236" s="696" t="s">
        <v>772</v>
      </c>
      <c r="U2236" s="372" t="s">
        <v>14441</v>
      </c>
      <c r="V2236" s="722">
        <v>43.79</v>
      </c>
      <c r="W2236" s="722">
        <v>0.75</v>
      </c>
      <c r="X2236" s="722">
        <v>0.39</v>
      </c>
      <c r="Y2236" s="722" t="s">
        <v>774</v>
      </c>
      <c r="Z2236" s="382" t="s">
        <v>934</v>
      </c>
      <c r="AA2236" s="372">
        <v>773.24076560000003</v>
      </c>
      <c r="AB2236" s="372">
        <v>788.92137319999995</v>
      </c>
      <c r="AC2236" s="372">
        <v>991.24024120000001</v>
      </c>
      <c r="AD2236" s="372">
        <v>948.45849580000004</v>
      </c>
      <c r="AE2236" s="372">
        <v>0</v>
      </c>
      <c r="AF2236" s="372">
        <v>0</v>
      </c>
      <c r="AG2236" s="372">
        <v>0</v>
      </c>
      <c r="AH2236" s="372">
        <v>0</v>
      </c>
    </row>
    <row r="2237" spans="1:34">
      <c r="A2237" s="372" t="s">
        <v>14442</v>
      </c>
      <c r="B2237" s="372" t="s">
        <v>14443</v>
      </c>
      <c r="C2237" s="372" t="s">
        <v>14444</v>
      </c>
      <c r="D2237" s="374">
        <v>1801110031516</v>
      </c>
      <c r="E2237" s="372" t="s">
        <v>14445</v>
      </c>
      <c r="F2237" s="372" t="s">
        <v>7050</v>
      </c>
      <c r="G2237" s="375" t="s">
        <v>14446</v>
      </c>
      <c r="H2237" s="375" t="s">
        <v>3127</v>
      </c>
      <c r="I2237" s="375" t="s">
        <v>869</v>
      </c>
      <c r="J2237" s="375">
        <v>63333.992890000001</v>
      </c>
      <c r="K2237" s="375">
        <v>10789.653340000001</v>
      </c>
      <c r="L2237" s="375">
        <v>-28282.788430000001</v>
      </c>
      <c r="M2237" s="375">
        <v>82525.973840000006</v>
      </c>
      <c r="N2237" s="372">
        <v>0.73099999999999998</v>
      </c>
      <c r="O2237" s="703">
        <v>6.2442743111481462</v>
      </c>
      <c r="P2237" s="562" t="s">
        <v>623</v>
      </c>
      <c r="Q2237" s="372" t="s">
        <v>623</v>
      </c>
      <c r="R2237" s="695">
        <v>20020423</v>
      </c>
      <c r="S2237" s="372" t="s">
        <v>14447</v>
      </c>
      <c r="T2237" s="696" t="s">
        <v>772</v>
      </c>
      <c r="U2237" s="372" t="s">
        <v>14448</v>
      </c>
      <c r="V2237" s="722">
        <v>3.4</v>
      </c>
      <c r="W2237" s="722">
        <v>0.48</v>
      </c>
      <c r="X2237" s="722">
        <v>0.64</v>
      </c>
      <c r="Y2237" s="722" t="s">
        <v>774</v>
      </c>
      <c r="Z2237" s="382" t="s">
        <v>934</v>
      </c>
      <c r="AA2237" s="372">
        <v>806.72424999999998</v>
      </c>
      <c r="AB2237" s="372">
        <v>517.01347369999996</v>
      </c>
      <c r="AC2237" s="372">
        <v>752.13651990000005</v>
      </c>
      <c r="AD2237" s="372">
        <v>633.33992890000002</v>
      </c>
      <c r="AE2237" s="372">
        <v>0</v>
      </c>
      <c r="AF2237" s="372">
        <v>0</v>
      </c>
      <c r="AG2237" s="372">
        <v>0</v>
      </c>
      <c r="AH2237" s="372">
        <v>0</v>
      </c>
    </row>
    <row r="2238" spans="1:34">
      <c r="A2238" s="372" t="s">
        <v>14449</v>
      </c>
      <c r="B2238" s="372" t="s">
        <v>14450</v>
      </c>
      <c r="C2238" s="372" t="s">
        <v>14451</v>
      </c>
      <c r="D2238" s="374">
        <v>1801110007062</v>
      </c>
      <c r="E2238" s="372" t="s">
        <v>14452</v>
      </c>
      <c r="F2238" s="372" t="s">
        <v>1334</v>
      </c>
      <c r="G2238" s="375" t="s">
        <v>1334</v>
      </c>
      <c r="H2238" s="375" t="s">
        <v>868</v>
      </c>
      <c r="I2238" s="375" t="s">
        <v>869</v>
      </c>
      <c r="J2238" s="375">
        <v>63169.009709999998</v>
      </c>
      <c r="K2238" s="375">
        <v>-5232.9812700000002</v>
      </c>
      <c r="L2238" s="375">
        <v>-14403.64021</v>
      </c>
      <c r="M2238" s="375">
        <v>30323.978630000001</v>
      </c>
      <c r="N2238" s="372">
        <v>0.875</v>
      </c>
      <c r="O2238" s="703">
        <v>89.411406772938747</v>
      </c>
      <c r="P2238" s="562" t="s">
        <v>623</v>
      </c>
      <c r="Q2238" s="372" t="s">
        <v>623</v>
      </c>
      <c r="R2238" s="695">
        <v>20180726</v>
      </c>
      <c r="S2238" s="372" t="s">
        <v>14453</v>
      </c>
      <c r="T2238" s="696" t="s">
        <v>772</v>
      </c>
      <c r="U2238" s="372" t="s">
        <v>14454</v>
      </c>
      <c r="V2238" s="722" t="s">
        <v>774</v>
      </c>
      <c r="W2238" s="722">
        <v>1.04</v>
      </c>
      <c r="X2238" s="722">
        <v>0.62</v>
      </c>
      <c r="Y2238" s="722" t="s">
        <v>774</v>
      </c>
      <c r="Z2238" s="382" t="s">
        <v>934</v>
      </c>
      <c r="AA2238" s="372">
        <v>503.79268990000003</v>
      </c>
      <c r="AB2238" s="372">
        <v>483.03582540000002</v>
      </c>
      <c r="AC2238" s="372">
        <v>612.93490380000003</v>
      </c>
      <c r="AD2238" s="372">
        <v>631.6900971</v>
      </c>
      <c r="AE2238" s="372">
        <v>0</v>
      </c>
      <c r="AF2238" s="372">
        <v>0</v>
      </c>
      <c r="AG2238" s="372">
        <v>0</v>
      </c>
      <c r="AH2238" s="372">
        <v>0</v>
      </c>
    </row>
    <row r="2239" spans="1:34">
      <c r="A2239" s="372" t="s">
        <v>14455</v>
      </c>
      <c r="B2239" s="372" t="s">
        <v>14456</v>
      </c>
      <c r="C2239" s="372" t="s">
        <v>14457</v>
      </c>
      <c r="D2239" s="374">
        <v>1801110002682</v>
      </c>
      <c r="E2239" s="372" t="s">
        <v>14458</v>
      </c>
      <c r="F2239" s="372" t="s">
        <v>2030</v>
      </c>
      <c r="G2239" s="375" t="s">
        <v>2030</v>
      </c>
      <c r="H2239" s="375" t="s">
        <v>797</v>
      </c>
      <c r="I2239" s="375" t="s">
        <v>755</v>
      </c>
      <c r="J2239" s="375">
        <v>241720.62911000001</v>
      </c>
      <c r="K2239" s="375">
        <v>364.36914000000002</v>
      </c>
      <c r="L2239" s="375">
        <v>-5899.6887999999999</v>
      </c>
      <c r="M2239" s="375">
        <v>19943.525030000001</v>
      </c>
      <c r="N2239" s="372">
        <v>0.59299999999999997</v>
      </c>
      <c r="O2239" s="703">
        <v>311.56966103208913</v>
      </c>
      <c r="P2239" s="562" t="s">
        <v>16142</v>
      </c>
      <c r="Q2239" s="372" t="s">
        <v>623</v>
      </c>
      <c r="R2239" s="695">
        <v>19751226</v>
      </c>
      <c r="S2239" s="372" t="s">
        <v>14459</v>
      </c>
      <c r="T2239" s="696" t="s">
        <v>772</v>
      </c>
      <c r="U2239" s="372" t="s">
        <v>14460</v>
      </c>
      <c r="V2239" s="722">
        <v>0</v>
      </c>
      <c r="W2239" s="722">
        <v>1.92</v>
      </c>
      <c r="X2239" s="722">
        <v>0</v>
      </c>
      <c r="Y2239" s="722">
        <v>0</v>
      </c>
      <c r="Z2239" s="382" t="s">
        <v>934</v>
      </c>
      <c r="AA2239" s="372">
        <v>1527.2465889</v>
      </c>
      <c r="AB2239" s="372">
        <v>1868.268157</v>
      </c>
      <c r="AC2239" s="372">
        <v>2305.4945575000002</v>
      </c>
      <c r="AD2239" s="372">
        <v>2417.2062910999998</v>
      </c>
      <c r="AE2239" s="372">
        <v>0</v>
      </c>
      <c r="AF2239" s="372">
        <v>0</v>
      </c>
      <c r="AG2239" s="372">
        <v>0</v>
      </c>
      <c r="AH2239" s="372">
        <v>0</v>
      </c>
    </row>
    <row r="2240" spans="1:34">
      <c r="A2240" s="372" t="s">
        <v>14461</v>
      </c>
      <c r="B2240" s="372" t="s">
        <v>14462</v>
      </c>
      <c r="C2240" s="372" t="s">
        <v>14463</v>
      </c>
      <c r="D2240" s="374">
        <v>1801110000230</v>
      </c>
      <c r="E2240" s="372" t="s">
        <v>14464</v>
      </c>
      <c r="F2240" s="372" t="s">
        <v>4847</v>
      </c>
      <c r="G2240" s="375" t="s">
        <v>4848</v>
      </c>
      <c r="H2240" s="375" t="s">
        <v>1327</v>
      </c>
      <c r="I2240" s="375" t="s">
        <v>755</v>
      </c>
      <c r="J2240" s="375">
        <v>320600.47117999999</v>
      </c>
      <c r="K2240" s="375">
        <v>8069.2344700000003</v>
      </c>
      <c r="L2240" s="375">
        <v>2057.30278</v>
      </c>
      <c r="M2240" s="375">
        <v>51403.931420000001</v>
      </c>
      <c r="N2240" s="372">
        <v>1.0529999999999999</v>
      </c>
      <c r="O2240" s="703">
        <v>406.27632356560355</v>
      </c>
      <c r="P2240" s="562" t="s">
        <v>623</v>
      </c>
      <c r="Q2240" s="372" t="s">
        <v>623</v>
      </c>
      <c r="R2240" s="695">
        <v>19890126</v>
      </c>
      <c r="S2240" s="372" t="s">
        <v>14465</v>
      </c>
      <c r="T2240" s="696">
        <v>0.20900000000000002</v>
      </c>
      <c r="U2240" s="372" t="s">
        <v>14466</v>
      </c>
      <c r="V2240" s="722">
        <v>0</v>
      </c>
      <c r="W2240" s="722">
        <v>0.64</v>
      </c>
      <c r="X2240" s="722">
        <v>0</v>
      </c>
      <c r="Y2240" s="722">
        <v>0</v>
      </c>
      <c r="Z2240" s="382" t="s">
        <v>934</v>
      </c>
      <c r="AA2240" s="372">
        <v>2661.4798148</v>
      </c>
      <c r="AB2240" s="372">
        <v>2515.2927338999998</v>
      </c>
      <c r="AC2240" s="372">
        <v>2921.5098131</v>
      </c>
      <c r="AD2240" s="372">
        <v>3206.0047118000002</v>
      </c>
      <c r="AE2240" s="372">
        <v>0</v>
      </c>
      <c r="AF2240" s="372">
        <v>0</v>
      </c>
      <c r="AG2240" s="372">
        <v>0</v>
      </c>
      <c r="AH2240" s="372">
        <v>0</v>
      </c>
    </row>
    <row r="2241" spans="1:34">
      <c r="A2241" s="372" t="s">
        <v>14467</v>
      </c>
      <c r="B2241" s="372" t="s">
        <v>14468</v>
      </c>
      <c r="C2241" s="372" t="s">
        <v>14469</v>
      </c>
      <c r="D2241" s="374">
        <v>1101110220288</v>
      </c>
      <c r="E2241" s="372" t="s">
        <v>14470</v>
      </c>
      <c r="F2241" s="372" t="s">
        <v>2771</v>
      </c>
      <c r="G2241" s="375" t="s">
        <v>6574</v>
      </c>
      <c r="H2241" s="375" t="s">
        <v>868</v>
      </c>
      <c r="I2241" s="375" t="s">
        <v>869</v>
      </c>
      <c r="J2241" s="375">
        <v>379986.38605999999</v>
      </c>
      <c r="K2241" s="375">
        <v>13440.57321</v>
      </c>
      <c r="L2241" s="375">
        <v>8683.7255999999998</v>
      </c>
      <c r="M2241" s="375">
        <v>154712.21596999999</v>
      </c>
      <c r="N2241" s="372">
        <v>1.004</v>
      </c>
      <c r="O2241" s="703">
        <v>224.7397220089922</v>
      </c>
      <c r="P2241" s="562" t="s">
        <v>623</v>
      </c>
      <c r="Q2241" s="372" t="s">
        <v>623</v>
      </c>
      <c r="R2241" s="695">
        <v>19940621</v>
      </c>
      <c r="S2241" s="372" t="s">
        <v>14471</v>
      </c>
      <c r="T2241" s="696">
        <v>0.20900000000000002</v>
      </c>
      <c r="U2241" s="372" t="s">
        <v>14472</v>
      </c>
      <c r="V2241" s="722">
        <v>6.4</v>
      </c>
      <c r="W2241" s="722">
        <v>0.25</v>
      </c>
      <c r="X2241" s="722">
        <v>0.1</v>
      </c>
      <c r="Y2241" s="722">
        <v>4.83</v>
      </c>
      <c r="Z2241" s="382" t="s">
        <v>934</v>
      </c>
      <c r="AA2241" s="372">
        <v>2450.7886309999999</v>
      </c>
      <c r="AB2241" s="372">
        <v>3278.9360643999999</v>
      </c>
      <c r="AC2241" s="372">
        <v>3850.9717956</v>
      </c>
      <c r="AD2241" s="372">
        <v>3799.8638606</v>
      </c>
      <c r="AE2241" s="372">
        <v>0</v>
      </c>
      <c r="AF2241" s="372">
        <v>0</v>
      </c>
      <c r="AG2241" s="372">
        <v>0</v>
      </c>
      <c r="AH2241" s="372">
        <v>0</v>
      </c>
    </row>
    <row r="2242" spans="1:34">
      <c r="A2242" s="372" t="s">
        <v>14473</v>
      </c>
      <c r="B2242" s="372" t="s">
        <v>14474</v>
      </c>
      <c r="C2242" s="372" t="s">
        <v>14475</v>
      </c>
      <c r="D2242" s="374">
        <v>1101111384075</v>
      </c>
      <c r="E2242" s="372" t="s">
        <v>14476</v>
      </c>
      <c r="F2242" s="372" t="s">
        <v>4328</v>
      </c>
      <c r="G2242" s="375" t="s">
        <v>4328</v>
      </c>
      <c r="H2242" s="375">
        <v>0</v>
      </c>
      <c r="I2242" s="375" t="s">
        <v>869</v>
      </c>
      <c r="J2242" s="375">
        <v>18200.387989999999</v>
      </c>
      <c r="K2242" s="375">
        <v>-4755.1929200000004</v>
      </c>
      <c r="L2242" s="375">
        <v>-7442.05944</v>
      </c>
      <c r="M2242" s="375">
        <v>54571.090810000002</v>
      </c>
      <c r="N2242" s="372">
        <v>1.022</v>
      </c>
      <c r="O2242" s="703">
        <v>36.223770368782816</v>
      </c>
      <c r="P2242" s="562" t="s">
        <v>623</v>
      </c>
      <c r="Q2242" s="372" t="s">
        <v>623</v>
      </c>
      <c r="R2242" s="695">
        <v>20020913</v>
      </c>
      <c r="S2242" s="372" t="s">
        <v>14477</v>
      </c>
      <c r="T2242" s="696" t="s">
        <v>772</v>
      </c>
      <c r="U2242" s="372" t="s">
        <v>14478</v>
      </c>
      <c r="V2242" s="722" t="s">
        <v>774</v>
      </c>
      <c r="W2242" s="722">
        <v>0.75</v>
      </c>
      <c r="X2242" s="722">
        <v>2.2200000000000002</v>
      </c>
      <c r="Y2242" s="722" t="s">
        <v>774</v>
      </c>
      <c r="Z2242" s="382" t="s">
        <v>934</v>
      </c>
      <c r="AA2242" s="372">
        <v>49.783369800000003</v>
      </c>
      <c r="AB2242" s="372">
        <v>218.00883519999999</v>
      </c>
      <c r="AC2242" s="372">
        <v>335.3655991</v>
      </c>
      <c r="AD2242" s="372">
        <v>182.00387989999999</v>
      </c>
      <c r="AE2242" s="372">
        <v>0</v>
      </c>
      <c r="AF2242" s="372">
        <v>0</v>
      </c>
      <c r="AG2242" s="372">
        <v>0</v>
      </c>
      <c r="AH2242" s="372">
        <v>0</v>
      </c>
    </row>
    <row r="2243" spans="1:34">
      <c r="A2243" s="372" t="s">
        <v>14479</v>
      </c>
      <c r="B2243" s="372" t="s">
        <v>14480</v>
      </c>
      <c r="C2243" s="372" t="s">
        <v>14481</v>
      </c>
      <c r="D2243" s="374">
        <v>1101110150229</v>
      </c>
      <c r="E2243" s="372" t="s">
        <v>14482</v>
      </c>
      <c r="F2243" s="372" t="s">
        <v>1286</v>
      </c>
      <c r="G2243" s="375" t="s">
        <v>1465</v>
      </c>
      <c r="H2243" s="375" t="s">
        <v>754</v>
      </c>
      <c r="I2243" s="375" t="s">
        <v>755</v>
      </c>
      <c r="J2243" s="375">
        <v>21136.261740000002</v>
      </c>
      <c r="K2243" s="375">
        <v>215.54804999999999</v>
      </c>
      <c r="L2243" s="375">
        <v>6451.5047800000002</v>
      </c>
      <c r="M2243" s="375">
        <v>70583.523300000001</v>
      </c>
      <c r="N2243" s="372">
        <v>0.499</v>
      </c>
      <c r="O2243" s="703">
        <v>0.52334208462717469</v>
      </c>
      <c r="P2243" s="562" t="s">
        <v>623</v>
      </c>
      <c r="Q2243" s="372" t="s">
        <v>623</v>
      </c>
      <c r="R2243" s="695">
        <v>19890620</v>
      </c>
      <c r="S2243" s="372" t="s">
        <v>14483</v>
      </c>
      <c r="T2243" s="696">
        <v>0.20900000000000002</v>
      </c>
      <c r="U2243" s="372" t="s">
        <v>14484</v>
      </c>
      <c r="V2243" s="722">
        <v>38.96</v>
      </c>
      <c r="W2243" s="722">
        <v>0.45</v>
      </c>
      <c r="X2243" s="722">
        <v>1.58</v>
      </c>
      <c r="Y2243" s="722">
        <v>5.78</v>
      </c>
      <c r="Z2243" s="382" t="s">
        <v>934</v>
      </c>
      <c r="AA2243" s="372">
        <v>207.95738470000001</v>
      </c>
      <c r="AB2243" s="372">
        <v>273.90668640000001</v>
      </c>
      <c r="AC2243" s="372">
        <v>200.57915790000001</v>
      </c>
      <c r="AD2243" s="372">
        <v>211.3626174</v>
      </c>
      <c r="AE2243" s="372">
        <v>0</v>
      </c>
      <c r="AF2243" s="372">
        <v>0</v>
      </c>
      <c r="AG2243" s="372">
        <v>0</v>
      </c>
      <c r="AH2243" s="372">
        <v>0</v>
      </c>
    </row>
    <row r="2244" spans="1:34">
      <c r="A2244" s="372" t="s">
        <v>14485</v>
      </c>
      <c r="B2244" s="372" t="s">
        <v>14486</v>
      </c>
      <c r="C2244" s="372" t="s">
        <v>14487</v>
      </c>
      <c r="D2244" s="374">
        <v>1701110014522</v>
      </c>
      <c r="E2244" s="372" t="s">
        <v>14488</v>
      </c>
      <c r="F2244" s="372" t="s">
        <v>6902</v>
      </c>
      <c r="G2244" s="375" t="s">
        <v>6902</v>
      </c>
      <c r="H2244" s="375" t="s">
        <v>1348</v>
      </c>
      <c r="I2244" s="375" t="s">
        <v>869</v>
      </c>
      <c r="J2244" s="375">
        <v>3777.5305899999998</v>
      </c>
      <c r="K2244" s="375">
        <v>391.54379999999998</v>
      </c>
      <c r="L2244" s="375">
        <v>-378.69319999999999</v>
      </c>
      <c r="M2244" s="375">
        <v>14732.763929999999</v>
      </c>
      <c r="N2244" s="372">
        <v>0.79</v>
      </c>
      <c r="O2244" s="703">
        <v>45.148565138646504</v>
      </c>
      <c r="P2244" s="562" t="s">
        <v>623</v>
      </c>
      <c r="Q2244" s="372" t="s">
        <v>623</v>
      </c>
      <c r="R2244" s="695">
        <v>19940621</v>
      </c>
      <c r="S2244" s="372" t="s">
        <v>14489</v>
      </c>
      <c r="T2244" s="696" t="s">
        <v>772</v>
      </c>
      <c r="U2244" s="372" t="s">
        <v>14490</v>
      </c>
      <c r="V2244" s="722">
        <v>0</v>
      </c>
      <c r="W2244" s="722">
        <v>2.7</v>
      </c>
      <c r="X2244" s="722">
        <v>0</v>
      </c>
      <c r="Y2244" s="722">
        <v>0</v>
      </c>
      <c r="Z2244" s="382" t="s">
        <v>934</v>
      </c>
      <c r="AA2244" s="372">
        <v>41.790728100000003</v>
      </c>
      <c r="AB2244" s="372">
        <v>43.507235299999998</v>
      </c>
      <c r="AC2244" s="372">
        <v>44.296249699999997</v>
      </c>
      <c r="AD2244" s="372">
        <v>37.775305899999999</v>
      </c>
      <c r="AE2244" s="372">
        <v>0</v>
      </c>
      <c r="AF2244" s="372">
        <v>0</v>
      </c>
      <c r="AG2244" s="372">
        <v>0</v>
      </c>
      <c r="AH2244" s="372">
        <v>0</v>
      </c>
    </row>
    <row r="2245" spans="1:34">
      <c r="A2245" s="372" t="s">
        <v>14491</v>
      </c>
      <c r="B2245" s="372" t="s">
        <v>14492</v>
      </c>
      <c r="C2245" s="372" t="s">
        <v>14493</v>
      </c>
      <c r="D2245" s="374">
        <v>1101110172447</v>
      </c>
      <c r="E2245" s="372" t="s">
        <v>14494</v>
      </c>
      <c r="F2245" s="372" t="s">
        <v>7050</v>
      </c>
      <c r="G2245" s="375" t="s">
        <v>13893</v>
      </c>
      <c r="H2245" s="375" t="s">
        <v>853</v>
      </c>
      <c r="I2245" s="375" t="s">
        <v>755</v>
      </c>
      <c r="J2245" s="375">
        <v>216118.59898000001</v>
      </c>
      <c r="K2245" s="375">
        <v>-4182.7835599999999</v>
      </c>
      <c r="L2245" s="375">
        <v>-17082.806939999999</v>
      </c>
      <c r="M2245" s="375">
        <v>107345.72512</v>
      </c>
      <c r="N2245" s="372">
        <v>0.94699999999999995</v>
      </c>
      <c r="O2245" s="703">
        <v>499.24965134875725</v>
      </c>
      <c r="P2245" s="562" t="s">
        <v>623</v>
      </c>
      <c r="Q2245" s="372" t="s">
        <v>623</v>
      </c>
      <c r="R2245" s="695">
        <v>19890728</v>
      </c>
      <c r="S2245" s="372" t="s">
        <v>14495</v>
      </c>
      <c r="T2245" s="696" t="s">
        <v>772</v>
      </c>
      <c r="U2245" s="372" t="s">
        <v>14496</v>
      </c>
      <c r="V2245" s="722">
        <v>16.149999999999999</v>
      </c>
      <c r="W2245" s="722">
        <v>0.39</v>
      </c>
      <c r="X2245" s="722">
        <v>0.2</v>
      </c>
      <c r="Y2245" s="722" t="s">
        <v>774</v>
      </c>
      <c r="Z2245" s="382" t="s">
        <v>934</v>
      </c>
      <c r="AA2245" s="372">
        <v>2396.1206566000001</v>
      </c>
      <c r="AB2245" s="372">
        <v>2764.8306087999999</v>
      </c>
      <c r="AC2245" s="372">
        <v>2548.5807844999999</v>
      </c>
      <c r="AD2245" s="372">
        <v>2161.1859897999998</v>
      </c>
      <c r="AE2245" s="372">
        <v>0</v>
      </c>
      <c r="AF2245" s="372">
        <v>0</v>
      </c>
      <c r="AG2245" s="372">
        <v>0</v>
      </c>
      <c r="AH2245" s="372">
        <v>0</v>
      </c>
    </row>
    <row r="2246" spans="1:34">
      <c r="A2246" s="372" t="s">
        <v>14497</v>
      </c>
      <c r="B2246" s="372" t="s">
        <v>14498</v>
      </c>
      <c r="C2246" s="372" t="s">
        <v>14499</v>
      </c>
      <c r="D2246" s="374">
        <v>1501110000765</v>
      </c>
      <c r="E2246" s="372" t="s">
        <v>14500</v>
      </c>
      <c r="F2246" s="372" t="s">
        <v>8893</v>
      </c>
      <c r="G2246" s="375" t="s">
        <v>14501</v>
      </c>
      <c r="H2246" s="375" t="s">
        <v>868</v>
      </c>
      <c r="I2246" s="375" t="s">
        <v>869</v>
      </c>
      <c r="J2246" s="375">
        <v>96991.027119999999</v>
      </c>
      <c r="K2246" s="375">
        <v>-7494.5245100000002</v>
      </c>
      <c r="L2246" s="375">
        <v>-20046.5101</v>
      </c>
      <c r="M2246" s="375">
        <v>92465.165429999994</v>
      </c>
      <c r="N2246" s="372">
        <v>0.98699999999999999</v>
      </c>
      <c r="O2246" s="703">
        <v>204.05032725161308</v>
      </c>
      <c r="P2246" s="562" t="s">
        <v>623</v>
      </c>
      <c r="Q2246" s="372" t="s">
        <v>623</v>
      </c>
      <c r="R2246" s="695">
        <v>20010109</v>
      </c>
      <c r="S2246" s="372" t="s">
        <v>14502</v>
      </c>
      <c r="T2246" s="696" t="s">
        <v>772</v>
      </c>
      <c r="U2246" s="372" t="s">
        <v>16119</v>
      </c>
      <c r="V2246" s="722" t="s">
        <v>774</v>
      </c>
      <c r="W2246" s="722">
        <v>2.21</v>
      </c>
      <c r="X2246" s="722">
        <v>0.39</v>
      </c>
      <c r="Y2246" s="722" t="s">
        <v>774</v>
      </c>
      <c r="Z2246" s="382" t="s">
        <v>934</v>
      </c>
      <c r="AA2246" s="372">
        <v>130.49479930000001</v>
      </c>
      <c r="AB2246" s="372">
        <v>257.63954039999999</v>
      </c>
      <c r="AC2246" s="372">
        <v>706.48737310000001</v>
      </c>
      <c r="AD2246" s="372">
        <v>969.91027120000001</v>
      </c>
      <c r="AE2246" s="372">
        <v>0</v>
      </c>
      <c r="AF2246" s="372">
        <v>0</v>
      </c>
      <c r="AG2246" s="372">
        <v>0</v>
      </c>
      <c r="AH2246" s="372">
        <v>0</v>
      </c>
    </row>
    <row r="2247" spans="1:34">
      <c r="A2247" s="372" t="s">
        <v>14503</v>
      </c>
      <c r="B2247" s="372" t="s">
        <v>14504</v>
      </c>
      <c r="C2247" s="372" t="s">
        <v>14505</v>
      </c>
      <c r="D2247" s="374">
        <v>1101111915094</v>
      </c>
      <c r="E2247" s="372" t="s">
        <v>14506</v>
      </c>
      <c r="F2247" s="372" t="s">
        <v>1768</v>
      </c>
      <c r="G2247" s="375" t="s">
        <v>1768</v>
      </c>
      <c r="H2247" s="375" t="s">
        <v>868</v>
      </c>
      <c r="I2247" s="375" t="s">
        <v>869</v>
      </c>
      <c r="J2247" s="375">
        <v>0</v>
      </c>
      <c r="K2247" s="375">
        <v>0</v>
      </c>
      <c r="L2247" s="375">
        <v>0</v>
      </c>
      <c r="M2247" s="375">
        <v>23527.247070000001</v>
      </c>
      <c r="N2247" s="372">
        <v>0.69699999999999995</v>
      </c>
      <c r="O2247" s="703">
        <v>0.43980765116598947</v>
      </c>
      <c r="P2247" s="562" t="s">
        <v>623</v>
      </c>
      <c r="Q2247" s="372" t="s">
        <v>623</v>
      </c>
      <c r="R2247" s="695">
        <v>20181219</v>
      </c>
      <c r="S2247" s="372" t="s">
        <v>14507</v>
      </c>
      <c r="T2247" s="696" t="s">
        <v>772</v>
      </c>
      <c r="U2247" s="372" t="s">
        <v>14508</v>
      </c>
      <c r="V2247" s="722">
        <v>0</v>
      </c>
      <c r="W2247" s="722">
        <v>1.79</v>
      </c>
      <c r="X2247" s="722">
        <v>0</v>
      </c>
      <c r="Y2247" s="722">
        <v>0</v>
      </c>
      <c r="Z2247" s="382" t="s">
        <v>934</v>
      </c>
      <c r="AA2247" s="372">
        <v>49.064847100000001</v>
      </c>
      <c r="AB2247" s="372">
        <v>59.344462499999999</v>
      </c>
      <c r="AC2247" s="372">
        <v>76.440003000000004</v>
      </c>
      <c r="AD2247" s="372">
        <v>82.278473199999993</v>
      </c>
      <c r="AE2247" s="372">
        <v>0</v>
      </c>
      <c r="AF2247" s="372">
        <v>0</v>
      </c>
      <c r="AG2247" s="372">
        <v>0</v>
      </c>
      <c r="AH2247" s="372">
        <v>0</v>
      </c>
    </row>
    <row r="2248" spans="1:34">
      <c r="A2248" s="372" t="s">
        <v>14509</v>
      </c>
      <c r="B2248" s="372" t="s">
        <v>14510</v>
      </c>
      <c r="C2248" s="372" t="s">
        <v>14511</v>
      </c>
      <c r="D2248" s="374">
        <v>1341110002141</v>
      </c>
      <c r="E2248" s="372" t="s">
        <v>14512</v>
      </c>
      <c r="F2248" s="372" t="s">
        <v>10129</v>
      </c>
      <c r="G2248" s="375" t="s">
        <v>10130</v>
      </c>
      <c r="H2248" s="375" t="s">
        <v>868</v>
      </c>
      <c r="I2248" s="375" t="s">
        <v>869</v>
      </c>
      <c r="J2248" s="375">
        <v>97322.976980000007</v>
      </c>
      <c r="K2248" s="375">
        <v>5238.4901</v>
      </c>
      <c r="L2248" s="375">
        <v>7024.3794200000002</v>
      </c>
      <c r="M2248" s="375">
        <v>73368.268370000005</v>
      </c>
      <c r="N2248" s="372">
        <v>0.86699999999999999</v>
      </c>
      <c r="O2248" s="703">
        <v>9.7858301089046051</v>
      </c>
      <c r="P2248" s="562" t="s">
        <v>623</v>
      </c>
      <c r="Q2248" s="372" t="s">
        <v>623</v>
      </c>
      <c r="R2248" s="695">
        <v>20070601</v>
      </c>
      <c r="S2248" s="372" t="s">
        <v>14513</v>
      </c>
      <c r="T2248" s="696">
        <v>0.20900000000000002</v>
      </c>
      <c r="U2248" s="372" t="s">
        <v>14514</v>
      </c>
      <c r="V2248" s="722">
        <v>4.88</v>
      </c>
      <c r="W2248" s="722">
        <v>0.54</v>
      </c>
      <c r="X2248" s="722">
        <v>0.41</v>
      </c>
      <c r="Y2248" s="722">
        <v>7.17</v>
      </c>
      <c r="Z2248" s="382" t="s">
        <v>934</v>
      </c>
      <c r="AA2248" s="372">
        <v>639.12779990000001</v>
      </c>
      <c r="AB2248" s="372">
        <v>768.05148959999997</v>
      </c>
      <c r="AC2248" s="372">
        <v>834.22538829999996</v>
      </c>
      <c r="AD2248" s="372">
        <v>973.22976979999999</v>
      </c>
      <c r="AE2248" s="372">
        <v>0</v>
      </c>
      <c r="AF2248" s="372">
        <v>0</v>
      </c>
      <c r="AG2248" s="372">
        <v>0</v>
      </c>
      <c r="AH2248" s="372">
        <v>0</v>
      </c>
    </row>
    <row r="2249" spans="1:34">
      <c r="A2249" s="372" t="s">
        <v>14515</v>
      </c>
      <c r="B2249" s="372" t="s">
        <v>14516</v>
      </c>
      <c r="C2249" s="372" t="s">
        <v>14517</v>
      </c>
      <c r="D2249" s="374">
        <v>1101116153095</v>
      </c>
      <c r="E2249" s="372" t="s">
        <v>14518</v>
      </c>
      <c r="F2249" s="372" t="s">
        <v>1368</v>
      </c>
      <c r="G2249" s="375" t="s">
        <v>1368</v>
      </c>
      <c r="H2249" s="375" t="s">
        <v>868</v>
      </c>
      <c r="I2249" s="375" t="s">
        <v>869</v>
      </c>
      <c r="J2249" s="375">
        <v>41216.885869999998</v>
      </c>
      <c r="K2249" s="375">
        <v>1957.6874700000001</v>
      </c>
      <c r="L2249" s="375">
        <v>2868.9331000000002</v>
      </c>
      <c r="M2249" s="375">
        <v>39266.404269999999</v>
      </c>
      <c r="N2249" s="372">
        <v>0.82199999999999995</v>
      </c>
      <c r="O2249" s="703">
        <v>0</v>
      </c>
      <c r="P2249" s="562" t="s">
        <v>623</v>
      </c>
      <c r="Q2249" s="372" t="s">
        <v>623</v>
      </c>
      <c r="R2249" s="695">
        <v>20161102</v>
      </c>
      <c r="S2249" s="372" t="s">
        <v>14519</v>
      </c>
      <c r="T2249" s="696">
        <v>0.20900000000000002</v>
      </c>
      <c r="U2249" s="372" t="s">
        <v>14520</v>
      </c>
      <c r="V2249" s="722">
        <v>0</v>
      </c>
      <c r="W2249" s="722">
        <v>0.97</v>
      </c>
      <c r="X2249" s="722">
        <v>0</v>
      </c>
      <c r="Y2249" s="722">
        <v>0</v>
      </c>
      <c r="Z2249" s="382" t="s">
        <v>934</v>
      </c>
      <c r="AA2249" s="372">
        <v>365.98989829999999</v>
      </c>
      <c r="AB2249" s="372">
        <v>396.60421020000001</v>
      </c>
      <c r="AC2249" s="372">
        <v>379.18740279999997</v>
      </c>
      <c r="AD2249" s="372">
        <v>412.16885869999999</v>
      </c>
      <c r="AE2249" s="372">
        <v>0</v>
      </c>
      <c r="AF2249" s="372">
        <v>0</v>
      </c>
      <c r="AG2249" s="372">
        <v>0</v>
      </c>
      <c r="AH2249" s="372">
        <v>0</v>
      </c>
    </row>
    <row r="2250" spans="1:34">
      <c r="A2250" s="372" t="s">
        <v>14521</v>
      </c>
      <c r="B2250" s="372" t="s">
        <v>14522</v>
      </c>
      <c r="C2250" s="372" t="s">
        <v>14523</v>
      </c>
      <c r="D2250" s="374">
        <v>1101115648518</v>
      </c>
      <c r="E2250" s="372" t="s">
        <v>14524</v>
      </c>
      <c r="F2250" s="372" t="s">
        <v>3487</v>
      </c>
      <c r="G2250" s="375" t="s">
        <v>3487</v>
      </c>
      <c r="H2250" s="375" t="s">
        <v>3127</v>
      </c>
      <c r="I2250" s="375" t="s">
        <v>869</v>
      </c>
      <c r="J2250" s="375">
        <v>48648.552360000001</v>
      </c>
      <c r="K2250" s="375">
        <v>2947.16014</v>
      </c>
      <c r="L2250" s="375">
        <v>3051.7348999999999</v>
      </c>
      <c r="M2250" s="375">
        <v>33376.599520000003</v>
      </c>
      <c r="N2250" s="372">
        <v>0.94699999999999995</v>
      </c>
      <c r="O2250" s="703">
        <v>11.127948729861959</v>
      </c>
      <c r="P2250" s="562" t="s">
        <v>623</v>
      </c>
      <c r="Q2250" s="372" t="s">
        <v>623</v>
      </c>
      <c r="R2250" s="695">
        <v>20150513</v>
      </c>
      <c r="S2250" s="372" t="s">
        <v>14525</v>
      </c>
      <c r="T2250" s="696">
        <v>0.20900000000000002</v>
      </c>
      <c r="U2250" s="372" t="s">
        <v>14526</v>
      </c>
      <c r="V2250" s="722">
        <v>8.4499999999999993</v>
      </c>
      <c r="W2250" s="722">
        <v>1.03</v>
      </c>
      <c r="X2250" s="722">
        <v>0.77</v>
      </c>
      <c r="Y2250" s="722">
        <v>15.5</v>
      </c>
      <c r="Z2250" s="382" t="s">
        <v>934</v>
      </c>
      <c r="AA2250" s="372">
        <v>253.2084199</v>
      </c>
      <c r="AB2250" s="372">
        <v>361.31560949999999</v>
      </c>
      <c r="AC2250" s="372">
        <v>512.32869319999998</v>
      </c>
      <c r="AD2250" s="372">
        <v>486.48552360000002</v>
      </c>
      <c r="AE2250" s="372">
        <v>0</v>
      </c>
      <c r="AF2250" s="372">
        <v>0</v>
      </c>
      <c r="AG2250" s="372">
        <v>0</v>
      </c>
      <c r="AH2250" s="372">
        <v>0</v>
      </c>
    </row>
    <row r="2251" spans="1:34">
      <c r="A2251" s="372" t="s">
        <v>14527</v>
      </c>
      <c r="B2251" s="372" t="s">
        <v>14528</v>
      </c>
      <c r="C2251" s="372" t="s">
        <v>14529</v>
      </c>
      <c r="D2251" s="374">
        <v>1101110252471</v>
      </c>
      <c r="E2251" s="372" t="s">
        <v>14530</v>
      </c>
      <c r="F2251" s="372" t="s">
        <v>1761</v>
      </c>
      <c r="G2251" s="375" t="s">
        <v>1761</v>
      </c>
      <c r="H2251" s="375" t="s">
        <v>3127</v>
      </c>
      <c r="I2251" s="375" t="s">
        <v>869</v>
      </c>
      <c r="J2251" s="375">
        <v>66023.045989999999</v>
      </c>
      <c r="K2251" s="375">
        <v>-1292.81971</v>
      </c>
      <c r="L2251" s="375">
        <v>7801.02315</v>
      </c>
      <c r="M2251" s="375">
        <v>87017.104309999995</v>
      </c>
      <c r="N2251" s="372">
        <v>0.83499999999999996</v>
      </c>
      <c r="O2251" s="703">
        <v>39.43580694324946</v>
      </c>
      <c r="P2251" s="562" t="s">
        <v>623</v>
      </c>
      <c r="Q2251" s="372" t="s">
        <v>623</v>
      </c>
      <c r="R2251" s="695">
        <v>19941222</v>
      </c>
      <c r="S2251" s="372" t="s">
        <v>14531</v>
      </c>
      <c r="T2251" s="696">
        <v>0.20900000000000002</v>
      </c>
      <c r="U2251" s="372" t="s">
        <v>14532</v>
      </c>
      <c r="V2251" s="722">
        <v>283.08</v>
      </c>
      <c r="W2251" s="722">
        <v>0.42</v>
      </c>
      <c r="X2251" s="722">
        <v>0.57999999999999996</v>
      </c>
      <c r="Y2251" s="722">
        <v>5.47</v>
      </c>
      <c r="Z2251" s="382" t="s">
        <v>934</v>
      </c>
      <c r="AA2251" s="372">
        <v>745.33095249999997</v>
      </c>
      <c r="AB2251" s="372">
        <v>715.24701879999998</v>
      </c>
      <c r="AC2251" s="372">
        <v>714.22007540000004</v>
      </c>
      <c r="AD2251" s="372">
        <v>660.23045990000003</v>
      </c>
      <c r="AE2251" s="372">
        <v>0</v>
      </c>
      <c r="AF2251" s="372">
        <v>0</v>
      </c>
      <c r="AG2251" s="372">
        <v>0</v>
      </c>
      <c r="AH2251" s="372">
        <v>0</v>
      </c>
    </row>
    <row r="2252" spans="1:34">
      <c r="A2252" s="372" t="s">
        <v>14533</v>
      </c>
      <c r="B2252" s="372" t="s">
        <v>14534</v>
      </c>
      <c r="C2252" s="372" t="s">
        <v>14535</v>
      </c>
      <c r="D2252" s="374">
        <v>1101115868041</v>
      </c>
      <c r="E2252" s="372" t="s">
        <v>14536</v>
      </c>
      <c r="F2252" s="372" t="s">
        <v>1381</v>
      </c>
      <c r="G2252" s="375" t="s">
        <v>1381</v>
      </c>
      <c r="H2252" s="375" t="s">
        <v>868</v>
      </c>
      <c r="I2252" s="375" t="s">
        <v>869</v>
      </c>
      <c r="J2252" s="375">
        <v>13685.6209</v>
      </c>
      <c r="K2252" s="375">
        <v>-14007.987139999999</v>
      </c>
      <c r="L2252" s="375">
        <v>-20986.741480000001</v>
      </c>
      <c r="M2252" s="375">
        <v>15494.57977</v>
      </c>
      <c r="N2252" s="372">
        <v>0.84599999999999997</v>
      </c>
      <c r="O2252" s="703">
        <v>72.615262024486498</v>
      </c>
      <c r="P2252" s="562" t="s">
        <v>16142</v>
      </c>
      <c r="Q2252" s="372" t="s">
        <v>16145</v>
      </c>
      <c r="R2252" s="695">
        <v>20160302</v>
      </c>
      <c r="S2252" s="372" t="s">
        <v>14537</v>
      </c>
      <c r="T2252" s="696" t="s">
        <v>772</v>
      </c>
      <c r="U2252" s="372" t="s">
        <v>14538</v>
      </c>
      <c r="V2252" s="722" t="s">
        <v>774</v>
      </c>
      <c r="W2252" s="722">
        <v>2.71</v>
      </c>
      <c r="X2252" s="722">
        <v>2.89</v>
      </c>
      <c r="Y2252" s="722" t="s">
        <v>774</v>
      </c>
      <c r="Z2252" s="382" t="s">
        <v>934</v>
      </c>
      <c r="AA2252" s="372">
        <v>105.5936909</v>
      </c>
      <c r="AB2252" s="372">
        <v>93.285954000000004</v>
      </c>
      <c r="AC2252" s="372">
        <v>147.10415710000001</v>
      </c>
      <c r="AD2252" s="372">
        <v>136.85620900000001</v>
      </c>
      <c r="AE2252" s="372">
        <v>0</v>
      </c>
      <c r="AF2252" s="372">
        <v>0</v>
      </c>
      <c r="AG2252" s="372">
        <v>0</v>
      </c>
      <c r="AH2252" s="372">
        <v>0</v>
      </c>
    </row>
    <row r="2253" spans="1:34">
      <c r="A2253" s="372" t="s">
        <v>14539</v>
      </c>
      <c r="B2253" s="372" t="s">
        <v>14540</v>
      </c>
      <c r="C2253" s="372" t="s">
        <v>14541</v>
      </c>
      <c r="D2253" s="374">
        <v>1101115527019</v>
      </c>
      <c r="E2253" s="372" t="s">
        <v>14542</v>
      </c>
      <c r="F2253" s="372" t="s">
        <v>1381</v>
      </c>
      <c r="G2253" s="375" t="s">
        <v>1381</v>
      </c>
      <c r="H2253" s="375" t="s">
        <v>868</v>
      </c>
      <c r="I2253" s="375" t="s">
        <v>869</v>
      </c>
      <c r="J2253" s="375">
        <v>35281.556810000002</v>
      </c>
      <c r="K2253" s="375">
        <v>1836.73839</v>
      </c>
      <c r="L2253" s="375">
        <v>13696.961730000001</v>
      </c>
      <c r="M2253" s="375">
        <v>69668.688899999994</v>
      </c>
      <c r="N2253" s="372">
        <v>0.82199999999999995</v>
      </c>
      <c r="O2253" s="703">
        <v>41.839284118823848</v>
      </c>
      <c r="P2253" s="562" t="s">
        <v>623</v>
      </c>
      <c r="Q2253" s="372" t="s">
        <v>623</v>
      </c>
      <c r="R2253" s="695">
        <v>20141224</v>
      </c>
      <c r="S2253" s="372" t="s">
        <v>14543</v>
      </c>
      <c r="T2253" s="696">
        <v>0.20900000000000002</v>
      </c>
      <c r="U2253" s="372" t="s">
        <v>14544</v>
      </c>
      <c r="V2253" s="722">
        <v>9.49</v>
      </c>
      <c r="W2253" s="722">
        <v>0.69</v>
      </c>
      <c r="X2253" s="722">
        <v>1.06</v>
      </c>
      <c r="Y2253" s="722">
        <v>3.18</v>
      </c>
      <c r="Z2253" s="382" t="s">
        <v>934</v>
      </c>
      <c r="AA2253" s="372">
        <v>581.59653779999996</v>
      </c>
      <c r="AB2253" s="372">
        <v>573.32148370000004</v>
      </c>
      <c r="AC2253" s="372">
        <v>322.2088832</v>
      </c>
      <c r="AD2253" s="372">
        <v>352.81556810000001</v>
      </c>
      <c r="AE2253" s="372">
        <v>0</v>
      </c>
      <c r="AF2253" s="372">
        <v>0</v>
      </c>
      <c r="AG2253" s="372">
        <v>0</v>
      </c>
      <c r="AH2253" s="372">
        <v>0</v>
      </c>
    </row>
    <row r="2254" spans="1:34">
      <c r="A2254" s="372" t="s">
        <v>14545</v>
      </c>
      <c r="B2254" s="372" t="s">
        <v>14546</v>
      </c>
      <c r="C2254" s="372" t="s">
        <v>14547</v>
      </c>
      <c r="D2254" s="374">
        <v>1101112149890</v>
      </c>
      <c r="E2254" s="372" t="s">
        <v>14548</v>
      </c>
      <c r="F2254" s="372" t="s">
        <v>2098</v>
      </c>
      <c r="G2254" s="375" t="s">
        <v>3436</v>
      </c>
      <c r="H2254" s="375" t="s">
        <v>1388</v>
      </c>
      <c r="I2254" s="375" t="s">
        <v>869</v>
      </c>
      <c r="J2254" s="375">
        <v>169855.95340999999</v>
      </c>
      <c r="K2254" s="375">
        <v>3138.3427700000002</v>
      </c>
      <c r="L2254" s="375">
        <v>-8081.8895400000001</v>
      </c>
      <c r="M2254" s="375">
        <v>109148.34753</v>
      </c>
      <c r="N2254" s="372">
        <v>1.107</v>
      </c>
      <c r="O2254" s="703">
        <v>377.38736101489866</v>
      </c>
      <c r="P2254" s="562" t="s">
        <v>623</v>
      </c>
      <c r="Q2254" s="372" t="s">
        <v>623</v>
      </c>
      <c r="R2254" s="695">
        <v>20071016</v>
      </c>
      <c r="S2254" s="372" t="s">
        <v>14549</v>
      </c>
      <c r="T2254" s="696" t="s">
        <v>772</v>
      </c>
      <c r="U2254" s="372" t="s">
        <v>14550</v>
      </c>
      <c r="V2254" s="722">
        <v>9.69</v>
      </c>
      <c r="W2254" s="722">
        <v>0.56999999999999995</v>
      </c>
      <c r="X2254" s="722">
        <v>0.23</v>
      </c>
      <c r="Y2254" s="722" t="s">
        <v>774</v>
      </c>
      <c r="Z2254" s="382" t="s">
        <v>934</v>
      </c>
      <c r="AA2254" s="372">
        <v>2548.0007974999999</v>
      </c>
      <c r="AB2254" s="372">
        <v>2461.2589459000001</v>
      </c>
      <c r="AC2254" s="372">
        <v>2087.4489503</v>
      </c>
      <c r="AD2254" s="372">
        <v>1698.5595341000001</v>
      </c>
      <c r="AE2254" s="372">
        <v>0</v>
      </c>
      <c r="AF2254" s="372">
        <v>0</v>
      </c>
      <c r="AG2254" s="372">
        <v>0</v>
      </c>
      <c r="AH2254" s="372">
        <v>0</v>
      </c>
    </row>
    <row r="2255" spans="1:34">
      <c r="A2255" s="372" t="s">
        <v>14551</v>
      </c>
      <c r="B2255" s="372" t="s">
        <v>14552</v>
      </c>
      <c r="C2255" s="372" t="s">
        <v>14553</v>
      </c>
      <c r="D2255" s="374">
        <v>1101111073454</v>
      </c>
      <c r="E2255" s="372" t="s">
        <v>14554</v>
      </c>
      <c r="F2255" s="372" t="s">
        <v>2858</v>
      </c>
      <c r="G2255" s="375" t="s">
        <v>2858</v>
      </c>
      <c r="H2255" s="375" t="s">
        <v>1388</v>
      </c>
      <c r="I2255" s="375" t="s">
        <v>869</v>
      </c>
      <c r="J2255" s="375">
        <v>73884.674499999994</v>
      </c>
      <c r="K2255" s="375">
        <v>4410.2012000000004</v>
      </c>
      <c r="L2255" s="375">
        <v>3944.1570999999999</v>
      </c>
      <c r="M2255" s="375">
        <v>43558.676299999999</v>
      </c>
      <c r="N2255" s="372">
        <v>1.177</v>
      </c>
      <c r="O2255" s="703">
        <v>77.577547260809254</v>
      </c>
      <c r="P2255" s="562" t="s">
        <v>623</v>
      </c>
      <c r="Q2255" s="372" t="s">
        <v>623</v>
      </c>
      <c r="R2255" s="695">
        <v>19991116</v>
      </c>
      <c r="S2255" s="372" t="s">
        <v>14555</v>
      </c>
      <c r="T2255" s="696">
        <v>0.20900000000000002</v>
      </c>
      <c r="U2255" s="372" t="s">
        <v>14556</v>
      </c>
      <c r="V2255" s="722">
        <v>8.25</v>
      </c>
      <c r="W2255" s="722">
        <v>0.96</v>
      </c>
      <c r="X2255" s="722">
        <v>0.5</v>
      </c>
      <c r="Y2255" s="722">
        <v>11.39</v>
      </c>
      <c r="Z2255" s="382" t="s">
        <v>934</v>
      </c>
      <c r="AA2255" s="372">
        <v>688.1244964</v>
      </c>
      <c r="AB2255" s="372">
        <v>618.75159629999996</v>
      </c>
      <c r="AC2255" s="372">
        <v>678.02637790000006</v>
      </c>
      <c r="AD2255" s="372">
        <v>738.84674500000006</v>
      </c>
      <c r="AE2255" s="372">
        <v>0</v>
      </c>
      <c r="AF2255" s="372">
        <v>0</v>
      </c>
      <c r="AG2255" s="372">
        <v>0</v>
      </c>
      <c r="AH2255" s="372">
        <v>0</v>
      </c>
    </row>
    <row r="2256" spans="1:34">
      <c r="A2256" s="372" t="s">
        <v>14557</v>
      </c>
      <c r="B2256" s="372" t="s">
        <v>14558</v>
      </c>
      <c r="C2256" s="372" t="s">
        <v>16216</v>
      </c>
      <c r="D2256" s="374">
        <v>1243110021149</v>
      </c>
      <c r="E2256" s="372" t="s">
        <v>16217</v>
      </c>
      <c r="F2256" s="372" t="s">
        <v>5680</v>
      </c>
      <c r="G2256" s="375" t="s">
        <v>5680</v>
      </c>
      <c r="H2256" s="375" t="s">
        <v>868</v>
      </c>
      <c r="I2256" s="375" t="s">
        <v>869</v>
      </c>
      <c r="J2256" s="375">
        <v>7890.8931599999996</v>
      </c>
      <c r="K2256" s="375">
        <v>-8858.6728800000001</v>
      </c>
      <c r="L2256" s="375">
        <v>109072.88691</v>
      </c>
      <c r="M2256" s="375">
        <v>135670.48027999999</v>
      </c>
      <c r="N2256" s="372">
        <v>0.77200000000000002</v>
      </c>
      <c r="O2256" s="703">
        <v>28.71067653858664</v>
      </c>
      <c r="P2256" s="562" t="s">
        <v>16142</v>
      </c>
      <c r="Q2256" s="372" t="s">
        <v>16145</v>
      </c>
      <c r="R2256" s="695">
        <v>20101105</v>
      </c>
      <c r="S2256" s="372" t="s">
        <v>14559</v>
      </c>
      <c r="T2256" s="696">
        <v>0.23100000000000001</v>
      </c>
      <c r="U2256" s="372" t="s">
        <v>16120</v>
      </c>
      <c r="V2256" s="722" t="s">
        <v>774</v>
      </c>
      <c r="W2256" s="722">
        <v>0.38</v>
      </c>
      <c r="X2256" s="722">
        <v>4.62</v>
      </c>
      <c r="Y2256" s="722">
        <v>2.04</v>
      </c>
      <c r="Z2256" s="382" t="s">
        <v>934</v>
      </c>
      <c r="AA2256" s="372">
        <v>175.13830780000001</v>
      </c>
      <c r="AB2256" s="372">
        <v>200.17205200000001</v>
      </c>
      <c r="AC2256" s="372">
        <v>125.15813970000001</v>
      </c>
      <c r="AD2256" s="372">
        <v>78.908931600000003</v>
      </c>
      <c r="AE2256" s="372">
        <v>0</v>
      </c>
      <c r="AF2256" s="372">
        <v>0</v>
      </c>
      <c r="AG2256" s="372">
        <v>0</v>
      </c>
      <c r="AH2256" s="372">
        <v>0</v>
      </c>
    </row>
    <row r="2257" spans="1:34">
      <c r="A2257" s="372" t="s">
        <v>14560</v>
      </c>
      <c r="B2257" s="372" t="s">
        <v>14561</v>
      </c>
      <c r="C2257" s="372" t="s">
        <v>14562</v>
      </c>
      <c r="D2257" s="374">
        <v>1612110007815</v>
      </c>
      <c r="E2257" s="372" t="s">
        <v>14563</v>
      </c>
      <c r="F2257" s="372" t="s">
        <v>10965</v>
      </c>
      <c r="G2257" s="375" t="s">
        <v>10965</v>
      </c>
      <c r="H2257" s="375" t="s">
        <v>3127</v>
      </c>
      <c r="I2257" s="375" t="s">
        <v>869</v>
      </c>
      <c r="J2257" s="375">
        <v>79476.916079999995</v>
      </c>
      <c r="K2257" s="375">
        <v>3952.5054700000001</v>
      </c>
      <c r="L2257" s="375">
        <v>3374.0918299999998</v>
      </c>
      <c r="M2257" s="375">
        <v>48304.747589999999</v>
      </c>
      <c r="N2257" s="372">
        <v>0.67400000000000004</v>
      </c>
      <c r="O2257" s="703">
        <v>37.420551278459186</v>
      </c>
      <c r="P2257" s="562" t="s">
        <v>623</v>
      </c>
      <c r="Q2257" s="372" t="s">
        <v>623</v>
      </c>
      <c r="R2257" s="695">
        <v>20060428</v>
      </c>
      <c r="S2257" s="372" t="s">
        <v>14564</v>
      </c>
      <c r="T2257" s="696">
        <v>0.20900000000000002</v>
      </c>
      <c r="U2257" s="372" t="s">
        <v>14565</v>
      </c>
      <c r="V2257" s="722">
        <v>7.1</v>
      </c>
      <c r="W2257" s="722">
        <v>0.78</v>
      </c>
      <c r="X2257" s="722">
        <v>0.47</v>
      </c>
      <c r="Y2257" s="722">
        <v>14.49</v>
      </c>
      <c r="Z2257" s="382" t="s">
        <v>934</v>
      </c>
      <c r="AA2257" s="372">
        <v>591.19190249999997</v>
      </c>
      <c r="AB2257" s="372">
        <v>628.13558550000005</v>
      </c>
      <c r="AC2257" s="372">
        <v>827.585061</v>
      </c>
      <c r="AD2257" s="372">
        <v>794.76916080000001</v>
      </c>
      <c r="AE2257" s="372">
        <v>0</v>
      </c>
      <c r="AF2257" s="372">
        <v>0</v>
      </c>
      <c r="AG2257" s="372">
        <v>0</v>
      </c>
      <c r="AH2257" s="372">
        <v>0</v>
      </c>
    </row>
    <row r="2258" spans="1:34">
      <c r="A2258" s="372" t="s">
        <v>14566</v>
      </c>
      <c r="B2258" s="372" t="s">
        <v>14567</v>
      </c>
      <c r="C2258" s="372" t="s">
        <v>14568</v>
      </c>
      <c r="D2258" s="374">
        <v>1101111413361</v>
      </c>
      <c r="E2258" s="372" t="s">
        <v>14569</v>
      </c>
      <c r="F2258" s="372" t="s">
        <v>1673</v>
      </c>
      <c r="G2258" s="375" t="s">
        <v>1673</v>
      </c>
      <c r="H2258" s="375" t="s">
        <v>1388</v>
      </c>
      <c r="I2258" s="375" t="s">
        <v>869</v>
      </c>
      <c r="J2258" s="375">
        <v>61682.037940000002</v>
      </c>
      <c r="K2258" s="375">
        <v>-35722.413240000002</v>
      </c>
      <c r="L2258" s="375">
        <v>-35631.972950000003</v>
      </c>
      <c r="M2258" s="375">
        <v>55058.047630000001</v>
      </c>
      <c r="N2258" s="372">
        <v>0.95599999999999996</v>
      </c>
      <c r="O2258" s="703">
        <v>119.11089563547128</v>
      </c>
      <c r="P2258" s="562" t="s">
        <v>623</v>
      </c>
      <c r="Q2258" s="372" t="s">
        <v>623</v>
      </c>
      <c r="R2258" s="695">
        <v>20070626</v>
      </c>
      <c r="S2258" s="372" t="s">
        <v>14570</v>
      </c>
      <c r="T2258" s="696" t="s">
        <v>772</v>
      </c>
      <c r="U2258" s="372" t="s">
        <v>5770</v>
      </c>
      <c r="V2258" s="722" t="s">
        <v>774</v>
      </c>
      <c r="W2258" s="722">
        <v>1.08</v>
      </c>
      <c r="X2258" s="722">
        <v>0.68</v>
      </c>
      <c r="Y2258" s="722" t="s">
        <v>774</v>
      </c>
      <c r="Z2258" s="382" t="s">
        <v>934</v>
      </c>
      <c r="AA2258" s="372">
        <v>877.96151320000001</v>
      </c>
      <c r="AB2258" s="372">
        <v>1146.8013120000001</v>
      </c>
      <c r="AC2258" s="372">
        <v>925.93551500000001</v>
      </c>
      <c r="AD2258" s="372">
        <v>616.82037939999998</v>
      </c>
      <c r="AE2258" s="372">
        <v>0</v>
      </c>
      <c r="AF2258" s="372">
        <v>0</v>
      </c>
      <c r="AG2258" s="372">
        <v>0</v>
      </c>
      <c r="AH2258" s="372">
        <v>0</v>
      </c>
    </row>
    <row r="2259" spans="1:34">
      <c r="A2259" s="372" t="s">
        <v>14571</v>
      </c>
      <c r="B2259" s="372" t="s">
        <v>14572</v>
      </c>
      <c r="C2259" s="372" t="s">
        <v>14573</v>
      </c>
      <c r="D2259" s="374">
        <v>1341110064711</v>
      </c>
      <c r="E2259" s="372" t="s">
        <v>14574</v>
      </c>
      <c r="F2259" s="372" t="s">
        <v>1774</v>
      </c>
      <c r="G2259" s="375" t="s">
        <v>6561</v>
      </c>
      <c r="H2259" s="375" t="s">
        <v>868</v>
      </c>
      <c r="I2259" s="375" t="s">
        <v>869</v>
      </c>
      <c r="J2259" s="375">
        <v>20683.260999999999</v>
      </c>
      <c r="K2259" s="375">
        <v>2716.1808999999998</v>
      </c>
      <c r="L2259" s="375">
        <v>4321.90373</v>
      </c>
      <c r="M2259" s="375">
        <v>71803.217619999996</v>
      </c>
      <c r="N2259" s="372">
        <v>1.0680000000000001</v>
      </c>
      <c r="O2259" s="703">
        <v>36.464857057760334</v>
      </c>
      <c r="P2259" s="562" t="s">
        <v>623</v>
      </c>
      <c r="Q2259" s="372" t="s">
        <v>623</v>
      </c>
      <c r="R2259" s="695">
        <v>20160704</v>
      </c>
      <c r="S2259" s="372" t="s">
        <v>14575</v>
      </c>
      <c r="T2259" s="696">
        <v>0.20900000000000002</v>
      </c>
      <c r="U2259" s="372" t="s">
        <v>14576</v>
      </c>
      <c r="V2259" s="722">
        <v>0</v>
      </c>
      <c r="W2259" s="722">
        <v>0.51</v>
      </c>
      <c r="X2259" s="722">
        <v>0</v>
      </c>
      <c r="Y2259" s="722">
        <v>0</v>
      </c>
      <c r="Z2259" s="382" t="s">
        <v>934</v>
      </c>
      <c r="AA2259" s="372">
        <v>196.4145316</v>
      </c>
      <c r="AB2259" s="372">
        <v>217.08529849999999</v>
      </c>
      <c r="AC2259" s="372">
        <v>219.9792885</v>
      </c>
      <c r="AD2259" s="372">
        <v>206.83260999999999</v>
      </c>
      <c r="AE2259" s="372">
        <v>0</v>
      </c>
      <c r="AF2259" s="372">
        <v>0</v>
      </c>
      <c r="AG2259" s="372">
        <v>0</v>
      </c>
      <c r="AH2259" s="372">
        <v>0</v>
      </c>
    </row>
    <row r="2260" spans="1:34">
      <c r="A2260" s="372" t="s">
        <v>14577</v>
      </c>
      <c r="B2260" s="372" t="s">
        <v>14578</v>
      </c>
      <c r="C2260" s="372" t="s">
        <v>14579</v>
      </c>
      <c r="D2260" s="374">
        <v>1156110036979</v>
      </c>
      <c r="E2260" s="372" t="s">
        <v>14580</v>
      </c>
      <c r="F2260" s="372" t="s">
        <v>1285</v>
      </c>
      <c r="G2260" s="375" t="s">
        <v>1285</v>
      </c>
      <c r="H2260" s="375" t="s">
        <v>1388</v>
      </c>
      <c r="I2260" s="375" t="s">
        <v>869</v>
      </c>
      <c r="J2260" s="375">
        <v>14686.648660000001</v>
      </c>
      <c r="K2260" s="375">
        <v>-1449.8199199999999</v>
      </c>
      <c r="L2260" s="375">
        <v>-968.75009</v>
      </c>
      <c r="M2260" s="375">
        <v>38876.631580000001</v>
      </c>
      <c r="N2260" s="372">
        <v>0.76400000000000001</v>
      </c>
      <c r="O2260" s="703">
        <v>30.715005943683028</v>
      </c>
      <c r="P2260" s="562" t="s">
        <v>623</v>
      </c>
      <c r="Q2260" s="372" t="s">
        <v>623</v>
      </c>
      <c r="R2260" s="695">
        <v>20131224</v>
      </c>
      <c r="S2260" s="372" t="s">
        <v>14581</v>
      </c>
      <c r="T2260" s="696" t="s">
        <v>772</v>
      </c>
      <c r="U2260" s="372" t="s">
        <v>14582</v>
      </c>
      <c r="V2260" s="722">
        <v>14.47</v>
      </c>
      <c r="W2260" s="722">
        <v>0.93</v>
      </c>
      <c r="X2260" s="722">
        <v>2.4700000000000002</v>
      </c>
      <c r="Y2260" s="722" t="s">
        <v>774</v>
      </c>
      <c r="Z2260" s="382" t="s">
        <v>934</v>
      </c>
      <c r="AA2260" s="372">
        <v>238.4914618</v>
      </c>
      <c r="AB2260" s="372">
        <v>252.14601469999999</v>
      </c>
      <c r="AC2260" s="372">
        <v>232.8061452</v>
      </c>
      <c r="AD2260" s="372">
        <v>146.8664866</v>
      </c>
      <c r="AE2260" s="372">
        <v>0</v>
      </c>
      <c r="AF2260" s="372">
        <v>0</v>
      </c>
      <c r="AG2260" s="372">
        <v>0</v>
      </c>
      <c r="AH2260" s="372">
        <v>0</v>
      </c>
    </row>
    <row r="2261" spans="1:34">
      <c r="A2261" s="372" t="s">
        <v>14583</v>
      </c>
      <c r="B2261" s="372" t="s">
        <v>14584</v>
      </c>
      <c r="C2261" s="372" t="s">
        <v>14585</v>
      </c>
      <c r="D2261" s="374">
        <v>1101110086771</v>
      </c>
      <c r="E2261" s="372" t="s">
        <v>14586</v>
      </c>
      <c r="F2261" s="372" t="s">
        <v>1881</v>
      </c>
      <c r="G2261" s="375" t="s">
        <v>1882</v>
      </c>
      <c r="H2261" s="375" t="s">
        <v>797</v>
      </c>
      <c r="I2261" s="375" t="s">
        <v>755</v>
      </c>
      <c r="J2261" s="375">
        <v>9212.3144100000009</v>
      </c>
      <c r="K2261" s="375">
        <v>-810.95982000000004</v>
      </c>
      <c r="L2261" s="375">
        <v>-56.09451</v>
      </c>
      <c r="M2261" s="375">
        <v>28960.558400000002</v>
      </c>
      <c r="N2261" s="372">
        <v>0.74</v>
      </c>
      <c r="O2261" s="703">
        <v>3.3335605017657857</v>
      </c>
      <c r="P2261" s="562" t="s">
        <v>623</v>
      </c>
      <c r="Q2261" s="372" t="s">
        <v>623</v>
      </c>
      <c r="R2261" s="695">
        <v>19750624</v>
      </c>
      <c r="S2261" s="372" t="s">
        <v>14587</v>
      </c>
      <c r="T2261" s="696" t="s">
        <v>772</v>
      </c>
      <c r="U2261" s="372" t="s">
        <v>14588</v>
      </c>
      <c r="V2261" s="722">
        <v>0</v>
      </c>
      <c r="W2261" s="722">
        <v>1.26</v>
      </c>
      <c r="X2261" s="722">
        <v>0</v>
      </c>
      <c r="Y2261" s="722">
        <v>0</v>
      </c>
      <c r="Z2261" s="382" t="s">
        <v>934</v>
      </c>
      <c r="AA2261" s="372">
        <v>163.3889269</v>
      </c>
      <c r="AB2261" s="372">
        <v>98.276041699999993</v>
      </c>
      <c r="AC2261" s="372">
        <v>109.5465104</v>
      </c>
      <c r="AD2261" s="372">
        <v>92.123144100000005</v>
      </c>
      <c r="AE2261" s="372">
        <v>0</v>
      </c>
      <c r="AF2261" s="372">
        <v>0</v>
      </c>
      <c r="AG2261" s="372">
        <v>0</v>
      </c>
      <c r="AH2261" s="372">
        <v>0</v>
      </c>
    </row>
    <row r="2262" spans="1:34">
      <c r="A2262" s="372" t="s">
        <v>14589</v>
      </c>
      <c r="B2262" s="372" t="s">
        <v>14590</v>
      </c>
      <c r="C2262" s="372" t="s">
        <v>14591</v>
      </c>
      <c r="D2262" s="374">
        <v>1748110017627</v>
      </c>
      <c r="E2262" s="372" t="s">
        <v>14592</v>
      </c>
      <c r="F2262" s="372" t="s">
        <v>1881</v>
      </c>
      <c r="G2262" s="375" t="s">
        <v>1882</v>
      </c>
      <c r="H2262" s="375" t="s">
        <v>868</v>
      </c>
      <c r="I2262" s="375" t="s">
        <v>869</v>
      </c>
      <c r="J2262" s="375">
        <v>79495.864090000003</v>
      </c>
      <c r="K2262" s="375">
        <v>-2818.72219</v>
      </c>
      <c r="L2262" s="375">
        <v>-6304.2484700000005</v>
      </c>
      <c r="M2262" s="375">
        <v>79071.575509999995</v>
      </c>
      <c r="N2262" s="372">
        <v>0.96699999999999997</v>
      </c>
      <c r="O2262" s="703">
        <v>67.783017065681719</v>
      </c>
      <c r="P2262" s="562" t="s">
        <v>623</v>
      </c>
      <c r="Q2262" s="372" t="s">
        <v>623</v>
      </c>
      <c r="R2262" s="695">
        <v>20110208</v>
      </c>
      <c r="S2262" s="372" t="s">
        <v>14593</v>
      </c>
      <c r="T2262" s="696" t="s">
        <v>772</v>
      </c>
      <c r="U2262" s="372" t="s">
        <v>14594</v>
      </c>
      <c r="V2262" s="722">
        <v>51.13</v>
      </c>
      <c r="W2262" s="722">
        <v>0.55000000000000004</v>
      </c>
      <c r="X2262" s="722">
        <v>0.41</v>
      </c>
      <c r="Y2262" s="722" t="s">
        <v>774</v>
      </c>
      <c r="Z2262" s="382" t="s">
        <v>934</v>
      </c>
      <c r="AA2262" s="372">
        <v>793.47760989999995</v>
      </c>
      <c r="AB2262" s="372">
        <v>803.94390810000004</v>
      </c>
      <c r="AC2262" s="372">
        <v>813.44275879999998</v>
      </c>
      <c r="AD2262" s="372">
        <v>794.95864089999998</v>
      </c>
      <c r="AE2262" s="372">
        <v>0</v>
      </c>
      <c r="AF2262" s="372">
        <v>0</v>
      </c>
      <c r="AG2262" s="372">
        <v>0</v>
      </c>
      <c r="AH2262" s="372">
        <v>0</v>
      </c>
    </row>
    <row r="2263" spans="1:34">
      <c r="A2263" s="372" t="s">
        <v>14595</v>
      </c>
      <c r="B2263" s="372" t="s">
        <v>14596</v>
      </c>
      <c r="C2263" s="372" t="s">
        <v>14597</v>
      </c>
      <c r="D2263" s="374">
        <v>1101118546719</v>
      </c>
      <c r="E2263" s="372" t="s">
        <v>14598</v>
      </c>
      <c r="F2263" s="372" t="s">
        <v>1151</v>
      </c>
      <c r="G2263" s="375" t="s">
        <v>1152</v>
      </c>
      <c r="H2263" s="375" t="s">
        <v>902</v>
      </c>
      <c r="I2263" s="375" t="s">
        <v>869</v>
      </c>
      <c r="J2263" s="375">
        <v>0</v>
      </c>
      <c r="K2263" s="375">
        <v>0</v>
      </c>
      <c r="L2263" s="375">
        <v>0</v>
      </c>
      <c r="M2263" s="375">
        <v>37169.502439999997</v>
      </c>
      <c r="N2263" s="372" t="s">
        <v>1033</v>
      </c>
      <c r="O2263" s="703">
        <v>11.391379281484037</v>
      </c>
      <c r="P2263" s="562" t="s">
        <v>623</v>
      </c>
      <c r="Q2263" s="372" t="s">
        <v>623</v>
      </c>
      <c r="R2263" s="695">
        <v>20231004</v>
      </c>
      <c r="S2263" s="372" t="s">
        <v>14599</v>
      </c>
      <c r="T2263" s="696" t="s">
        <v>772</v>
      </c>
      <c r="U2263" s="372">
        <v>0</v>
      </c>
      <c r="V2263" s="722">
        <v>0</v>
      </c>
      <c r="W2263" s="722">
        <v>0.95</v>
      </c>
      <c r="X2263" s="722">
        <v>0</v>
      </c>
      <c r="Y2263" s="722">
        <v>0</v>
      </c>
      <c r="Z2263" s="382" t="s">
        <v>774</v>
      </c>
      <c r="AA2263" s="372">
        <v>0</v>
      </c>
      <c r="AB2263" s="372">
        <v>0</v>
      </c>
      <c r="AC2263" s="372">
        <v>0</v>
      </c>
      <c r="AD2263" s="372">
        <v>0</v>
      </c>
      <c r="AE2263" s="372">
        <v>0</v>
      </c>
      <c r="AF2263" s="372">
        <v>0</v>
      </c>
      <c r="AG2263" s="372">
        <v>0</v>
      </c>
      <c r="AH2263" s="372">
        <v>0</v>
      </c>
    </row>
    <row r="2264" spans="1:34">
      <c r="A2264" s="372" t="s">
        <v>14600</v>
      </c>
      <c r="B2264" s="372" t="s">
        <v>14601</v>
      </c>
      <c r="C2264" s="372" t="s">
        <v>14602</v>
      </c>
      <c r="D2264" s="374">
        <v>1101110027593</v>
      </c>
      <c r="E2264" s="372" t="s">
        <v>14602</v>
      </c>
      <c r="F2264" s="372" t="s">
        <v>2268</v>
      </c>
      <c r="G2264" s="375" t="s">
        <v>11993</v>
      </c>
      <c r="H2264" s="375" t="s">
        <v>3998</v>
      </c>
      <c r="I2264" s="375" t="s">
        <v>755</v>
      </c>
      <c r="J2264" s="375">
        <v>441061.87673999998</v>
      </c>
      <c r="K2264" s="375">
        <v>-30185.39486</v>
      </c>
      <c r="L2264" s="375">
        <v>-203285.46001000001</v>
      </c>
      <c r="M2264" s="375">
        <v>231388.94122000001</v>
      </c>
      <c r="N2264" s="372">
        <v>0.85599999999999998</v>
      </c>
      <c r="O2264" s="703">
        <v>879.63808144936502</v>
      </c>
      <c r="P2264" s="562" t="s">
        <v>623</v>
      </c>
      <c r="Q2264" s="372" t="s">
        <v>623</v>
      </c>
      <c r="R2264" s="695">
        <v>19760522</v>
      </c>
      <c r="S2264" s="372" t="s">
        <v>14603</v>
      </c>
      <c r="T2264" s="696" t="s">
        <v>772</v>
      </c>
      <c r="U2264" s="372" t="s">
        <v>14604</v>
      </c>
      <c r="V2264" s="722" t="s">
        <v>774</v>
      </c>
      <c r="W2264" s="722">
        <v>0.13</v>
      </c>
      <c r="X2264" s="722">
        <v>7.0000000000000007E-2</v>
      </c>
      <c r="Y2264" s="722" t="s">
        <v>774</v>
      </c>
      <c r="Z2264" s="382" t="s">
        <v>934</v>
      </c>
      <c r="AA2264" s="372">
        <v>4125.3021478000001</v>
      </c>
      <c r="AB2264" s="372">
        <v>4653.1834995999998</v>
      </c>
      <c r="AC2264" s="372">
        <v>5066.9121435999996</v>
      </c>
      <c r="AD2264" s="372">
        <v>4410.6187674000003</v>
      </c>
      <c r="AE2264" s="372">
        <v>0</v>
      </c>
      <c r="AF2264" s="372">
        <v>0</v>
      </c>
      <c r="AG2264" s="372">
        <v>0</v>
      </c>
      <c r="AH2264" s="372">
        <v>0</v>
      </c>
    </row>
    <row r="2265" spans="1:34">
      <c r="A2265" s="372" t="s">
        <v>14605</v>
      </c>
      <c r="B2265" s="372" t="s">
        <v>14606</v>
      </c>
      <c r="C2265" s="372" t="s">
        <v>14607</v>
      </c>
      <c r="D2265" s="374">
        <v>1701110150847</v>
      </c>
      <c r="E2265" s="372" t="s">
        <v>14608</v>
      </c>
      <c r="F2265" s="372" t="s">
        <v>1585</v>
      </c>
      <c r="G2265" s="375" t="s">
        <v>1585</v>
      </c>
      <c r="H2265" s="375" t="s">
        <v>3127</v>
      </c>
      <c r="I2265" s="375" t="s">
        <v>869</v>
      </c>
      <c r="J2265" s="375">
        <v>5288.6983</v>
      </c>
      <c r="K2265" s="375">
        <v>-16534.287950000002</v>
      </c>
      <c r="L2265" s="375">
        <v>-16100.94371</v>
      </c>
      <c r="M2265" s="375">
        <v>71630.327669999999</v>
      </c>
      <c r="N2265" s="372">
        <v>0.94699999999999995</v>
      </c>
      <c r="O2265" s="703">
        <v>102.83033601548981</v>
      </c>
      <c r="P2265" s="562" t="s">
        <v>16142</v>
      </c>
      <c r="Q2265" s="372" t="s">
        <v>16145</v>
      </c>
      <c r="R2265" s="695">
        <v>20041027</v>
      </c>
      <c r="S2265" s="372" t="s">
        <v>14609</v>
      </c>
      <c r="T2265" s="696" t="s">
        <v>772</v>
      </c>
      <c r="U2265" s="372" t="s">
        <v>14610</v>
      </c>
      <c r="V2265" s="722" t="s">
        <v>774</v>
      </c>
      <c r="W2265" s="722">
        <v>0.39</v>
      </c>
      <c r="X2265" s="722">
        <v>5.41</v>
      </c>
      <c r="Y2265" s="722" t="s">
        <v>774</v>
      </c>
      <c r="Z2265" s="382" t="s">
        <v>934</v>
      </c>
      <c r="AA2265" s="372">
        <v>118.4568465</v>
      </c>
      <c r="AB2265" s="372">
        <v>83.135865199999998</v>
      </c>
      <c r="AC2265" s="372">
        <v>93.726882399999994</v>
      </c>
      <c r="AD2265" s="372">
        <v>52.886983000000001</v>
      </c>
      <c r="AE2265" s="372">
        <v>0</v>
      </c>
      <c r="AF2265" s="372">
        <v>0</v>
      </c>
      <c r="AG2265" s="372">
        <v>0</v>
      </c>
      <c r="AH2265" s="372">
        <v>0</v>
      </c>
    </row>
    <row r="2266" spans="1:34">
      <c r="A2266" s="372" t="s">
        <v>14611</v>
      </c>
      <c r="B2266" s="372" t="s">
        <v>14612</v>
      </c>
      <c r="C2266" s="372" t="s">
        <v>14613</v>
      </c>
      <c r="D2266" s="374">
        <v>1101116982139</v>
      </c>
      <c r="E2266" s="372" t="s">
        <v>14614</v>
      </c>
      <c r="F2266" s="372" t="s">
        <v>1368</v>
      </c>
      <c r="G2266" s="375" t="s">
        <v>1368</v>
      </c>
      <c r="H2266" s="375" t="s">
        <v>868</v>
      </c>
      <c r="I2266" s="375" t="s">
        <v>869</v>
      </c>
      <c r="J2266" s="375">
        <v>39984.44889</v>
      </c>
      <c r="K2266" s="375">
        <v>1226.03144</v>
      </c>
      <c r="L2266" s="375">
        <v>-1466.4912899999999</v>
      </c>
      <c r="M2266" s="375">
        <v>26597.405030000002</v>
      </c>
      <c r="N2266" s="372">
        <v>0.376</v>
      </c>
      <c r="O2266" s="703">
        <v>139.22375632450107</v>
      </c>
      <c r="P2266" s="562" t="s">
        <v>623</v>
      </c>
      <c r="Q2266" s="372" t="s">
        <v>623</v>
      </c>
      <c r="R2266" s="695">
        <v>20190429</v>
      </c>
      <c r="S2266" s="372" t="s">
        <v>9098</v>
      </c>
      <c r="T2266" s="696" t="s">
        <v>772</v>
      </c>
      <c r="U2266" s="372" t="s">
        <v>14615</v>
      </c>
      <c r="V2266" s="722">
        <v>43.95</v>
      </c>
      <c r="W2266" s="722">
        <v>1.82</v>
      </c>
      <c r="X2266" s="722">
        <v>1.2</v>
      </c>
      <c r="Y2266" s="722" t="s">
        <v>774</v>
      </c>
      <c r="Z2266" s="382" t="s">
        <v>934</v>
      </c>
      <c r="AA2266" s="372">
        <v>616.46874769999999</v>
      </c>
      <c r="AB2266" s="372">
        <v>498.70571649999999</v>
      </c>
      <c r="AC2266" s="372">
        <v>629.25391609999997</v>
      </c>
      <c r="AD2266" s="372">
        <v>399.84448889999999</v>
      </c>
      <c r="AE2266" s="372">
        <v>0</v>
      </c>
      <c r="AF2266" s="372">
        <v>0</v>
      </c>
      <c r="AG2266" s="372">
        <v>0</v>
      </c>
      <c r="AH2266" s="372">
        <v>0</v>
      </c>
    </row>
    <row r="2267" spans="1:34">
      <c r="A2267" s="372" t="s">
        <v>14616</v>
      </c>
      <c r="B2267" s="372" t="s">
        <v>14617</v>
      </c>
      <c r="C2267" s="372" t="s">
        <v>14618</v>
      </c>
      <c r="D2267" s="374">
        <v>1101111930787</v>
      </c>
      <c r="E2267" s="372" t="s">
        <v>14619</v>
      </c>
      <c r="F2267" s="372" t="s">
        <v>1673</v>
      </c>
      <c r="G2267" s="375" t="s">
        <v>1673</v>
      </c>
      <c r="H2267" s="375" t="s">
        <v>1388</v>
      </c>
      <c r="I2267" s="375" t="s">
        <v>869</v>
      </c>
      <c r="J2267" s="375">
        <v>35869.230490000002</v>
      </c>
      <c r="K2267" s="375">
        <v>420.78377999999998</v>
      </c>
      <c r="L2267" s="375">
        <v>1056.30169</v>
      </c>
      <c r="M2267" s="375">
        <v>37474.809970000002</v>
      </c>
      <c r="N2267" s="372">
        <v>0.89100000000000001</v>
      </c>
      <c r="O2267" s="703">
        <v>16.40569717599983</v>
      </c>
      <c r="P2267" s="562" t="s">
        <v>623</v>
      </c>
      <c r="Q2267" s="372" t="s">
        <v>623</v>
      </c>
      <c r="R2267" s="695">
        <v>20090331</v>
      </c>
      <c r="S2267" s="372" t="s">
        <v>14620</v>
      </c>
      <c r="T2267" s="696">
        <v>0.20900000000000002</v>
      </c>
      <c r="U2267" s="372" t="s">
        <v>14621</v>
      </c>
      <c r="V2267" s="722">
        <v>38.28</v>
      </c>
      <c r="W2267" s="722">
        <v>0.98</v>
      </c>
      <c r="X2267" s="722">
        <v>0.99</v>
      </c>
      <c r="Y2267" s="722">
        <v>32.82</v>
      </c>
      <c r="Z2267" s="382" t="s">
        <v>934</v>
      </c>
      <c r="AA2267" s="372">
        <v>107.6031144</v>
      </c>
      <c r="AB2267" s="372">
        <v>157.94482669999999</v>
      </c>
      <c r="AC2267" s="372">
        <v>248.46936260000001</v>
      </c>
      <c r="AD2267" s="372">
        <v>358.69230490000001</v>
      </c>
      <c r="AE2267" s="372">
        <v>0</v>
      </c>
      <c r="AF2267" s="372">
        <v>0</v>
      </c>
      <c r="AG2267" s="372">
        <v>0</v>
      </c>
      <c r="AH2267" s="372">
        <v>0</v>
      </c>
    </row>
    <row r="2268" spans="1:34">
      <c r="A2268" s="372" t="s">
        <v>14622</v>
      </c>
      <c r="B2268" s="372" t="s">
        <v>14623</v>
      </c>
      <c r="C2268" s="372" t="s">
        <v>14624</v>
      </c>
      <c r="D2268" s="374">
        <v>1101111716898</v>
      </c>
      <c r="E2268" s="372" t="s">
        <v>14625</v>
      </c>
      <c r="F2268" s="372" t="s">
        <v>2535</v>
      </c>
      <c r="G2268" s="375" t="s">
        <v>2535</v>
      </c>
      <c r="H2268" s="375" t="s">
        <v>868</v>
      </c>
      <c r="I2268" s="375" t="s">
        <v>869</v>
      </c>
      <c r="J2268" s="375">
        <v>73218.466050000003</v>
      </c>
      <c r="K2268" s="375">
        <v>-2588.2769600000001</v>
      </c>
      <c r="L2268" s="375">
        <v>-7181.8677100000004</v>
      </c>
      <c r="M2268" s="375">
        <v>59997.095710000001</v>
      </c>
      <c r="N2268" s="372">
        <v>1.129</v>
      </c>
      <c r="O2268" s="703">
        <v>141.75669072852631</v>
      </c>
      <c r="P2268" s="562" t="s">
        <v>623</v>
      </c>
      <c r="Q2268" s="372" t="s">
        <v>623</v>
      </c>
      <c r="R2268" s="695">
        <v>20020514</v>
      </c>
      <c r="S2268" s="372" t="s">
        <v>14626</v>
      </c>
      <c r="T2268" s="696" t="s">
        <v>772</v>
      </c>
      <c r="U2268" s="372" t="s">
        <v>14627</v>
      </c>
      <c r="V2268" s="722">
        <v>25.25</v>
      </c>
      <c r="W2268" s="722">
        <v>0.56999999999999995</v>
      </c>
      <c r="X2268" s="722">
        <v>0.49</v>
      </c>
      <c r="Y2268" s="722" t="s">
        <v>774</v>
      </c>
      <c r="Z2268" s="382" t="s">
        <v>934</v>
      </c>
      <c r="AA2268" s="372">
        <v>1352.4334297</v>
      </c>
      <c r="AB2268" s="372">
        <v>1097.6434426000001</v>
      </c>
      <c r="AC2268" s="372">
        <v>824.59528150000006</v>
      </c>
      <c r="AD2268" s="372">
        <v>732.18466049999995</v>
      </c>
      <c r="AE2268" s="372">
        <v>0</v>
      </c>
      <c r="AF2268" s="372">
        <v>0</v>
      </c>
      <c r="AG2268" s="372">
        <v>0</v>
      </c>
      <c r="AH2268" s="372">
        <v>0</v>
      </c>
    </row>
    <row r="2269" spans="1:34">
      <c r="A2269" s="372" t="s">
        <v>14628</v>
      </c>
      <c r="B2269" s="372" t="s">
        <v>14629</v>
      </c>
      <c r="C2269" s="372" t="s">
        <v>14630</v>
      </c>
      <c r="D2269" s="374">
        <v>1345110066131</v>
      </c>
      <c r="E2269" s="372" t="s">
        <v>14631</v>
      </c>
      <c r="F2269" s="372" t="s">
        <v>1673</v>
      </c>
      <c r="G2269" s="375" t="s">
        <v>1673</v>
      </c>
      <c r="H2269" s="375" t="s">
        <v>1388</v>
      </c>
      <c r="I2269" s="375" t="s">
        <v>869</v>
      </c>
      <c r="J2269" s="375">
        <v>79873.110310000004</v>
      </c>
      <c r="K2269" s="375">
        <v>-2778.1513799999998</v>
      </c>
      <c r="L2269" s="375">
        <v>-22979.704890000001</v>
      </c>
      <c r="M2269" s="375">
        <v>34716.692219999997</v>
      </c>
      <c r="N2269" s="372">
        <v>0.77800000000000002</v>
      </c>
      <c r="O2269" s="703">
        <v>19.194261657430975</v>
      </c>
      <c r="P2269" s="562" t="s">
        <v>16142</v>
      </c>
      <c r="Q2269" s="372" t="s">
        <v>16145</v>
      </c>
      <c r="R2269" s="695">
        <v>20100917</v>
      </c>
      <c r="S2269" s="372" t="s">
        <v>14632</v>
      </c>
      <c r="T2269" s="696" t="s">
        <v>772</v>
      </c>
      <c r="U2269" s="372" t="s">
        <v>14633</v>
      </c>
      <c r="V2269" s="722" t="s">
        <v>774</v>
      </c>
      <c r="W2269" s="722">
        <v>1.03</v>
      </c>
      <c r="X2269" s="722">
        <v>0.45</v>
      </c>
      <c r="Y2269" s="722" t="s">
        <v>774</v>
      </c>
      <c r="Z2269" s="382" t="s">
        <v>934</v>
      </c>
      <c r="AA2269" s="372">
        <v>643.01401039999996</v>
      </c>
      <c r="AB2269" s="372">
        <v>744.48361720000003</v>
      </c>
      <c r="AC2269" s="372">
        <v>898.24586669999997</v>
      </c>
      <c r="AD2269" s="372">
        <v>798.73110310000004</v>
      </c>
      <c r="AE2269" s="372">
        <v>0</v>
      </c>
      <c r="AF2269" s="372">
        <v>0</v>
      </c>
      <c r="AG2269" s="372">
        <v>0</v>
      </c>
      <c r="AH2269" s="372">
        <v>0</v>
      </c>
    </row>
    <row r="2270" spans="1:34">
      <c r="A2270" s="372" t="s">
        <v>14634</v>
      </c>
      <c r="B2270" s="372" t="s">
        <v>14635</v>
      </c>
      <c r="C2270" s="372" t="s">
        <v>14636</v>
      </c>
      <c r="D2270" s="374">
        <v>0</v>
      </c>
      <c r="E2270" s="372" t="s">
        <v>14637</v>
      </c>
      <c r="F2270" s="372" t="s">
        <v>900</v>
      </c>
      <c r="G2270" s="375" t="s">
        <v>901</v>
      </c>
      <c r="H2270" s="375">
        <v>0</v>
      </c>
      <c r="I2270" s="375" t="s">
        <v>869</v>
      </c>
      <c r="J2270" s="375">
        <v>174884.92800000001</v>
      </c>
      <c r="K2270" s="375">
        <v>24278.017</v>
      </c>
      <c r="L2270" s="375">
        <v>20716.307000000001</v>
      </c>
      <c r="M2270" s="375">
        <v>182899.10399999999</v>
      </c>
      <c r="N2270" s="372">
        <v>0.98699999999999999</v>
      </c>
      <c r="O2270" s="703">
        <v>37.589859670221337</v>
      </c>
      <c r="P2270" s="562" t="s">
        <v>623</v>
      </c>
      <c r="Q2270" s="372" t="s">
        <v>623</v>
      </c>
      <c r="R2270" s="695">
        <v>20181130</v>
      </c>
      <c r="S2270" s="372" t="s">
        <v>14638</v>
      </c>
      <c r="T2270" s="696">
        <v>0.23100000000000001</v>
      </c>
      <c r="U2270" s="372" t="s">
        <v>14639</v>
      </c>
      <c r="V2270" s="722">
        <v>1.23</v>
      </c>
      <c r="W2270" s="722">
        <v>0.21</v>
      </c>
      <c r="X2270" s="722">
        <v>0.21</v>
      </c>
      <c r="Y2270" s="722">
        <v>2.4</v>
      </c>
      <c r="Z2270" s="382" t="s">
        <v>934</v>
      </c>
      <c r="AA2270" s="372">
        <v>1304.5319999999999</v>
      </c>
      <c r="AB2270" s="372">
        <v>1534.4224400000001</v>
      </c>
      <c r="AC2270" s="372">
        <v>1685.97291</v>
      </c>
      <c r="AD2270" s="372">
        <v>1748.8492799999999</v>
      </c>
      <c r="AE2270" s="372">
        <v>0</v>
      </c>
      <c r="AF2270" s="372">
        <v>0</v>
      </c>
      <c r="AG2270" s="372">
        <v>0</v>
      </c>
      <c r="AH2270" s="372">
        <v>0</v>
      </c>
    </row>
    <row r="2271" spans="1:34">
      <c r="A2271" s="372" t="s">
        <v>14640</v>
      </c>
      <c r="B2271" s="372" t="s">
        <v>14641</v>
      </c>
      <c r="C2271" s="372" t="s">
        <v>14642</v>
      </c>
      <c r="D2271" s="374">
        <v>1101110030934</v>
      </c>
      <c r="E2271" s="372" t="s">
        <v>14643</v>
      </c>
      <c r="F2271" s="372" t="s">
        <v>5328</v>
      </c>
      <c r="G2271" s="375" t="s">
        <v>5328</v>
      </c>
      <c r="H2271" s="375" t="s">
        <v>1555</v>
      </c>
      <c r="I2271" s="375" t="s">
        <v>755</v>
      </c>
      <c r="J2271" s="375">
        <v>217298.02072</v>
      </c>
      <c r="K2271" s="375">
        <v>4859.6080099999999</v>
      </c>
      <c r="L2271" s="375">
        <v>-8610.0110000000004</v>
      </c>
      <c r="M2271" s="375">
        <v>88265.526769999997</v>
      </c>
      <c r="N2271" s="372">
        <v>1.0840000000000001</v>
      </c>
      <c r="O2271" s="703">
        <v>260.81424897662902</v>
      </c>
      <c r="P2271" s="562" t="s">
        <v>623</v>
      </c>
      <c r="Q2271" s="372" t="s">
        <v>623</v>
      </c>
      <c r="R2271" s="695">
        <v>19760713</v>
      </c>
      <c r="S2271" s="372" t="s">
        <v>14644</v>
      </c>
      <c r="T2271" s="696" t="s">
        <v>772</v>
      </c>
      <c r="U2271" s="372" t="s">
        <v>14645</v>
      </c>
      <c r="V2271" s="722">
        <v>12.21</v>
      </c>
      <c r="W2271" s="722">
        <v>0.42</v>
      </c>
      <c r="X2271" s="722">
        <v>0.17</v>
      </c>
      <c r="Y2271" s="722" t="s">
        <v>774</v>
      </c>
      <c r="Z2271" s="382" t="s">
        <v>934</v>
      </c>
      <c r="AA2271" s="372">
        <v>1833.0113951000001</v>
      </c>
      <c r="AB2271" s="372">
        <v>1878.6342122000001</v>
      </c>
      <c r="AC2271" s="372">
        <v>2130.5215699</v>
      </c>
      <c r="AD2271" s="372">
        <v>2172.9802072000002</v>
      </c>
      <c r="AE2271" s="372">
        <v>0</v>
      </c>
      <c r="AF2271" s="372">
        <v>0</v>
      </c>
      <c r="AG2271" s="372">
        <v>0</v>
      </c>
      <c r="AH2271" s="372">
        <v>0</v>
      </c>
    </row>
    <row r="2272" spans="1:34">
      <c r="A2272" s="372" t="s">
        <v>14646</v>
      </c>
      <c r="B2272" s="372" t="s">
        <v>14647</v>
      </c>
      <c r="C2272" s="372" t="s">
        <v>14648</v>
      </c>
      <c r="D2272" s="374">
        <v>1154110011579</v>
      </c>
      <c r="E2272" s="372" t="s">
        <v>14649</v>
      </c>
      <c r="F2272" s="372" t="s">
        <v>10915</v>
      </c>
      <c r="G2272" s="375" t="s">
        <v>14650</v>
      </c>
      <c r="H2272" s="375" t="s">
        <v>1388</v>
      </c>
      <c r="I2272" s="375" t="s">
        <v>869</v>
      </c>
      <c r="J2272" s="375">
        <v>25705.183779999999</v>
      </c>
      <c r="K2272" s="375">
        <v>-890.64499999999998</v>
      </c>
      <c r="L2272" s="375">
        <v>475.58938999999998</v>
      </c>
      <c r="M2272" s="375">
        <v>57673.935599999997</v>
      </c>
      <c r="N2272" s="372">
        <v>0.97199999999999998</v>
      </c>
      <c r="O2272" s="703">
        <v>11.41482276375673</v>
      </c>
      <c r="P2272" s="562" t="s">
        <v>623</v>
      </c>
      <c r="Q2272" s="372" t="s">
        <v>623</v>
      </c>
      <c r="R2272" s="695">
        <v>20110131</v>
      </c>
      <c r="S2272" s="372" t="s">
        <v>14651</v>
      </c>
      <c r="T2272" s="696">
        <v>0.20900000000000002</v>
      </c>
      <c r="U2272" s="372" t="s">
        <v>14652</v>
      </c>
      <c r="V2272" s="722" t="s">
        <v>774</v>
      </c>
      <c r="W2272" s="722">
        <v>0.61</v>
      </c>
      <c r="X2272" s="722">
        <v>1.42</v>
      </c>
      <c r="Y2272" s="722">
        <v>53.24</v>
      </c>
      <c r="Z2272" s="382" t="s">
        <v>934</v>
      </c>
      <c r="AA2272" s="372">
        <v>276.80416339999999</v>
      </c>
      <c r="AB2272" s="372">
        <v>352.76379989999998</v>
      </c>
      <c r="AC2272" s="372">
        <v>371.78543009999999</v>
      </c>
      <c r="AD2272" s="372">
        <v>257.05183779999999</v>
      </c>
      <c r="AE2272" s="372">
        <v>0</v>
      </c>
      <c r="AF2272" s="372">
        <v>0</v>
      </c>
      <c r="AG2272" s="372">
        <v>0</v>
      </c>
      <c r="AH2272" s="372">
        <v>0</v>
      </c>
    </row>
    <row r="2273" spans="1:34">
      <c r="A2273" s="372" t="s">
        <v>14653</v>
      </c>
      <c r="B2273" s="372" t="s">
        <v>14654</v>
      </c>
      <c r="C2273" s="372" t="s">
        <v>14655</v>
      </c>
      <c r="D2273" s="374">
        <v>1101116219037</v>
      </c>
      <c r="E2273" s="372" t="s">
        <v>14656</v>
      </c>
      <c r="F2273" s="372" t="s">
        <v>1381</v>
      </c>
      <c r="G2273" s="375" t="s">
        <v>1381</v>
      </c>
      <c r="H2273" s="375" t="s">
        <v>868</v>
      </c>
      <c r="I2273" s="375" t="s">
        <v>869</v>
      </c>
      <c r="J2273" s="375">
        <v>18485.371899999998</v>
      </c>
      <c r="K2273" s="375">
        <v>-2568.5479799999998</v>
      </c>
      <c r="L2273" s="375">
        <v>-3522.39606</v>
      </c>
      <c r="M2273" s="375">
        <v>11504.180549999999</v>
      </c>
      <c r="N2273" s="372">
        <v>0.85799999999999998</v>
      </c>
      <c r="O2273" s="703">
        <v>19.050998641069008</v>
      </c>
      <c r="P2273" s="562" t="s">
        <v>623</v>
      </c>
      <c r="Q2273" s="372" t="s">
        <v>623</v>
      </c>
      <c r="R2273" s="695">
        <v>20170427</v>
      </c>
      <c r="S2273" s="372" t="s">
        <v>14657</v>
      </c>
      <c r="T2273" s="696" t="s">
        <v>772</v>
      </c>
      <c r="U2273" s="372" t="s">
        <v>14658</v>
      </c>
      <c r="V2273" s="722" t="s">
        <v>774</v>
      </c>
      <c r="W2273" s="722">
        <v>2.71</v>
      </c>
      <c r="X2273" s="722">
        <v>1.96</v>
      </c>
      <c r="Y2273" s="722" t="s">
        <v>774</v>
      </c>
      <c r="Z2273" s="382" t="s">
        <v>934</v>
      </c>
      <c r="AA2273" s="372">
        <v>189.25356489999999</v>
      </c>
      <c r="AB2273" s="372">
        <v>205.63915689999999</v>
      </c>
      <c r="AC2273" s="372">
        <v>190.1738928</v>
      </c>
      <c r="AD2273" s="372">
        <v>184.85371900000001</v>
      </c>
      <c r="AE2273" s="372">
        <v>0</v>
      </c>
      <c r="AF2273" s="372">
        <v>0</v>
      </c>
      <c r="AG2273" s="372">
        <v>0</v>
      </c>
      <c r="AH2273" s="372">
        <v>0</v>
      </c>
    </row>
    <row r="2274" spans="1:34">
      <c r="A2274" s="372" t="s">
        <v>14659</v>
      </c>
      <c r="B2274" s="372" t="s">
        <v>14660</v>
      </c>
      <c r="C2274" s="372" t="s">
        <v>14661</v>
      </c>
      <c r="D2274" s="374">
        <v>1101111844970</v>
      </c>
      <c r="E2274" s="372" t="s">
        <v>14662</v>
      </c>
      <c r="F2274" s="372" t="s">
        <v>1272</v>
      </c>
      <c r="G2274" s="375" t="s">
        <v>1273</v>
      </c>
      <c r="H2274" s="375" t="s">
        <v>902</v>
      </c>
      <c r="I2274" s="375" t="s">
        <v>869</v>
      </c>
      <c r="J2274" s="375">
        <v>0</v>
      </c>
      <c r="K2274" s="375">
        <v>0</v>
      </c>
      <c r="L2274" s="375">
        <v>0</v>
      </c>
      <c r="M2274" s="375">
        <v>0</v>
      </c>
      <c r="N2274" s="372">
        <v>0.82499999999999996</v>
      </c>
      <c r="O2274" s="703">
        <v>0</v>
      </c>
      <c r="P2274" s="562" t="s">
        <v>623</v>
      </c>
      <c r="Q2274" s="372" t="s">
        <v>623</v>
      </c>
      <c r="R2274" s="695">
        <v>20191120</v>
      </c>
      <c r="S2274" s="372" t="s">
        <v>14663</v>
      </c>
      <c r="T2274" s="696" t="s">
        <v>772</v>
      </c>
      <c r="U2274" s="372" t="s">
        <v>14664</v>
      </c>
      <c r="V2274" s="722">
        <v>0</v>
      </c>
      <c r="W2274" s="722">
        <v>0</v>
      </c>
      <c r="X2274" s="722">
        <v>0</v>
      </c>
      <c r="Y2274" s="722">
        <v>0</v>
      </c>
      <c r="Z2274" s="382" t="s">
        <v>774</v>
      </c>
      <c r="AA2274" s="372">
        <v>725.93897449999997</v>
      </c>
      <c r="AB2274" s="372">
        <v>875.73781180000003</v>
      </c>
      <c r="AC2274" s="372">
        <v>475.5581181</v>
      </c>
      <c r="AD2274" s="372">
        <v>0</v>
      </c>
      <c r="AE2274" s="372">
        <v>0</v>
      </c>
      <c r="AF2274" s="372">
        <v>0</v>
      </c>
      <c r="AG2274" s="372">
        <v>0</v>
      </c>
      <c r="AH2274" s="372">
        <v>0</v>
      </c>
    </row>
    <row r="2275" spans="1:34">
      <c r="A2275" s="372" t="s">
        <v>14665</v>
      </c>
      <c r="B2275" s="372" t="s">
        <v>14666</v>
      </c>
      <c r="C2275" s="372" t="s">
        <v>14667</v>
      </c>
      <c r="D2275" s="374">
        <v>1201110153916</v>
      </c>
      <c r="E2275" s="372" t="s">
        <v>14668</v>
      </c>
      <c r="F2275" s="372" t="s">
        <v>4280</v>
      </c>
      <c r="G2275" s="375" t="s">
        <v>14669</v>
      </c>
      <c r="H2275" s="375" t="s">
        <v>868</v>
      </c>
      <c r="I2275" s="375" t="s">
        <v>869</v>
      </c>
      <c r="J2275" s="375">
        <v>17677.716359999999</v>
      </c>
      <c r="K2275" s="375">
        <v>-90.314139999999995</v>
      </c>
      <c r="L2275" s="375">
        <v>3197.5042100000001</v>
      </c>
      <c r="M2275" s="375">
        <v>79281.396630000003</v>
      </c>
      <c r="N2275" s="372">
        <v>0.85899999999999999</v>
      </c>
      <c r="O2275" s="703">
        <v>1.2972726164527273</v>
      </c>
      <c r="P2275" s="562" t="s">
        <v>623</v>
      </c>
      <c r="Q2275" s="372" t="s">
        <v>623</v>
      </c>
      <c r="R2275" s="695">
        <v>20051115</v>
      </c>
      <c r="S2275" s="372" t="s">
        <v>14670</v>
      </c>
      <c r="T2275" s="696">
        <v>0.20900000000000002</v>
      </c>
      <c r="U2275" s="372" t="s">
        <v>14671</v>
      </c>
      <c r="V2275" s="722">
        <v>0</v>
      </c>
      <c r="W2275" s="722">
        <v>0.44</v>
      </c>
      <c r="X2275" s="722">
        <v>0</v>
      </c>
      <c r="Y2275" s="722">
        <v>0</v>
      </c>
      <c r="Z2275" s="382" t="s">
        <v>934</v>
      </c>
      <c r="AA2275" s="372">
        <v>183.1057945</v>
      </c>
      <c r="AB2275" s="372">
        <v>200.2700413</v>
      </c>
      <c r="AC2275" s="372">
        <v>195.11073049999999</v>
      </c>
      <c r="AD2275" s="372">
        <v>176.77716359999999</v>
      </c>
      <c r="AE2275" s="372">
        <v>0</v>
      </c>
      <c r="AF2275" s="372">
        <v>0</v>
      </c>
      <c r="AG2275" s="372">
        <v>0</v>
      </c>
      <c r="AH2275" s="372">
        <v>0</v>
      </c>
    </row>
    <row r="2276" spans="1:34">
      <c r="A2276" s="372" t="s">
        <v>14672</v>
      </c>
      <c r="B2276" s="372" t="s">
        <v>14673</v>
      </c>
      <c r="C2276" s="372" t="s">
        <v>14674</v>
      </c>
      <c r="D2276" s="374">
        <v>1512110004847</v>
      </c>
      <c r="E2276" s="372" t="s">
        <v>14675</v>
      </c>
      <c r="F2276" s="372" t="s">
        <v>6604</v>
      </c>
      <c r="G2276" s="375" t="s">
        <v>6604</v>
      </c>
      <c r="H2276" s="375" t="s">
        <v>868</v>
      </c>
      <c r="I2276" s="375" t="s">
        <v>869</v>
      </c>
      <c r="J2276" s="375">
        <v>34024.284249999997</v>
      </c>
      <c r="K2276" s="375">
        <v>-3353.9730800000002</v>
      </c>
      <c r="L2276" s="375">
        <v>-8060.2051799999999</v>
      </c>
      <c r="M2276" s="375">
        <v>40726.109949999998</v>
      </c>
      <c r="N2276" s="372">
        <v>1.18</v>
      </c>
      <c r="O2276" s="703">
        <v>43.765411552086455</v>
      </c>
      <c r="P2276" s="562" t="s">
        <v>623</v>
      </c>
      <c r="Q2276" s="372" t="s">
        <v>623</v>
      </c>
      <c r="R2276" s="695">
        <v>20201211</v>
      </c>
      <c r="S2276" s="372" t="s">
        <v>14676</v>
      </c>
      <c r="T2276" s="696" t="s">
        <v>772</v>
      </c>
      <c r="U2276" s="372" t="s">
        <v>14677</v>
      </c>
      <c r="V2276" s="722">
        <v>0</v>
      </c>
      <c r="W2276" s="722">
        <v>0.94</v>
      </c>
      <c r="X2276" s="722">
        <v>0</v>
      </c>
      <c r="Y2276" s="722">
        <v>0</v>
      </c>
      <c r="Z2276" s="382" t="s">
        <v>934</v>
      </c>
      <c r="AA2276" s="372">
        <v>345.63133429999999</v>
      </c>
      <c r="AB2276" s="372">
        <v>334.660145</v>
      </c>
      <c r="AC2276" s="372">
        <v>342.39810599999998</v>
      </c>
      <c r="AD2276" s="372">
        <v>340.24284249999999</v>
      </c>
      <c r="AE2276" s="372">
        <v>0</v>
      </c>
      <c r="AF2276" s="372">
        <v>0</v>
      </c>
      <c r="AG2276" s="372">
        <v>0</v>
      </c>
      <c r="AH2276" s="372">
        <v>0</v>
      </c>
    </row>
    <row r="2277" spans="1:34">
      <c r="A2277" s="372" t="s">
        <v>14678</v>
      </c>
      <c r="B2277" s="372" t="s">
        <v>14679</v>
      </c>
      <c r="C2277" s="372" t="s">
        <v>14680</v>
      </c>
      <c r="D2277" s="374">
        <v>1341110131073</v>
      </c>
      <c r="E2277" s="372" t="s">
        <v>14681</v>
      </c>
      <c r="F2277" s="372" t="s">
        <v>12165</v>
      </c>
      <c r="G2277" s="375" t="s">
        <v>12165</v>
      </c>
      <c r="H2277" s="375" t="s">
        <v>916</v>
      </c>
      <c r="I2277" s="375" t="s">
        <v>755</v>
      </c>
      <c r="J2277" s="375">
        <v>119970.71567999999</v>
      </c>
      <c r="K2277" s="375">
        <v>-287.88112999999998</v>
      </c>
      <c r="L2277" s="375">
        <v>-2355.41642</v>
      </c>
      <c r="M2277" s="375">
        <v>69064.045400000003</v>
      </c>
      <c r="N2277" s="372">
        <v>0.70499999999999996</v>
      </c>
      <c r="O2277" s="703">
        <v>261.48821925981815</v>
      </c>
      <c r="P2277" s="562" t="s">
        <v>623</v>
      </c>
      <c r="Q2277" s="372" t="s">
        <v>623</v>
      </c>
      <c r="R2277" s="695">
        <v>20050725</v>
      </c>
      <c r="S2277" s="372" t="s">
        <v>14682</v>
      </c>
      <c r="T2277" s="696" t="s">
        <v>772</v>
      </c>
      <c r="U2277" s="372" t="s">
        <v>14683</v>
      </c>
      <c r="V2277" s="722">
        <v>20.47</v>
      </c>
      <c r="W2277" s="722">
        <v>0.49</v>
      </c>
      <c r="X2277" s="722">
        <v>0.31</v>
      </c>
      <c r="Y2277" s="722" t="s">
        <v>774</v>
      </c>
      <c r="Z2277" s="382" t="s">
        <v>934</v>
      </c>
      <c r="AA2277" s="372">
        <v>835.41287250000005</v>
      </c>
      <c r="AB2277" s="372">
        <v>811.75925440000003</v>
      </c>
      <c r="AC2277" s="372">
        <v>1044.2901478000001</v>
      </c>
      <c r="AD2277" s="372">
        <v>1199.7071567999999</v>
      </c>
      <c r="AE2277" s="372">
        <v>0</v>
      </c>
      <c r="AF2277" s="372">
        <v>0</v>
      </c>
      <c r="AG2277" s="372">
        <v>0</v>
      </c>
      <c r="AH2277" s="372">
        <v>0</v>
      </c>
    </row>
    <row r="2278" spans="1:34">
      <c r="A2278" s="372" t="s">
        <v>14684</v>
      </c>
      <c r="B2278" s="372" t="s">
        <v>14685</v>
      </c>
      <c r="C2278" s="372" t="s">
        <v>14686</v>
      </c>
      <c r="D2278" s="374">
        <v>1901110037223</v>
      </c>
      <c r="E2278" s="372" t="s">
        <v>14687</v>
      </c>
      <c r="F2278" s="372" t="s">
        <v>1881</v>
      </c>
      <c r="G2278" s="375" t="s">
        <v>1882</v>
      </c>
      <c r="H2278" s="375" t="s">
        <v>868</v>
      </c>
      <c r="I2278" s="375" t="s">
        <v>869</v>
      </c>
      <c r="J2278" s="375">
        <v>29404.450799999999</v>
      </c>
      <c r="K2278" s="375">
        <v>-2019.7482500000001</v>
      </c>
      <c r="L2278" s="375">
        <v>-2250.9506200000001</v>
      </c>
      <c r="M2278" s="375">
        <v>49632.237439999997</v>
      </c>
      <c r="N2278" s="372">
        <v>1.2509999999999999</v>
      </c>
      <c r="O2278" s="703">
        <v>49.321832326128728</v>
      </c>
      <c r="P2278" s="562" t="s">
        <v>623</v>
      </c>
      <c r="Q2278" s="372" t="s">
        <v>623</v>
      </c>
      <c r="R2278" s="695">
        <v>20090123</v>
      </c>
      <c r="S2278" s="372" t="s">
        <v>14688</v>
      </c>
      <c r="T2278" s="696" t="s">
        <v>772</v>
      </c>
      <c r="U2278" s="372" t="s">
        <v>14689</v>
      </c>
      <c r="V2278" s="722">
        <v>0</v>
      </c>
      <c r="W2278" s="722">
        <v>0.74</v>
      </c>
      <c r="X2278" s="722">
        <v>0</v>
      </c>
      <c r="Y2278" s="722">
        <v>0</v>
      </c>
      <c r="Z2278" s="382" t="s">
        <v>934</v>
      </c>
      <c r="AA2278" s="372">
        <v>320.87598739999999</v>
      </c>
      <c r="AB2278" s="372">
        <v>328.50559759999999</v>
      </c>
      <c r="AC2278" s="372">
        <v>272.551829</v>
      </c>
      <c r="AD2278" s="372">
        <v>294.04450800000001</v>
      </c>
      <c r="AE2278" s="372">
        <v>0</v>
      </c>
      <c r="AF2278" s="372">
        <v>0</v>
      </c>
      <c r="AG2278" s="372">
        <v>0</v>
      </c>
      <c r="AH2278" s="372">
        <v>0</v>
      </c>
    </row>
    <row r="2279" spans="1:34">
      <c r="A2279" s="372" t="s">
        <v>14690</v>
      </c>
      <c r="B2279" s="372" t="s">
        <v>14691</v>
      </c>
      <c r="C2279" s="372" t="s">
        <v>14692</v>
      </c>
      <c r="D2279" s="374">
        <v>1801110346204</v>
      </c>
      <c r="E2279" s="372" t="s">
        <v>14693</v>
      </c>
      <c r="F2279" s="372" t="s">
        <v>2692</v>
      </c>
      <c r="G2279" s="375" t="s">
        <v>13041</v>
      </c>
      <c r="H2279" s="375" t="s">
        <v>1555</v>
      </c>
      <c r="I2279" s="375" t="s">
        <v>755</v>
      </c>
      <c r="J2279" s="375">
        <v>197103.36803000001</v>
      </c>
      <c r="K2279" s="375">
        <v>7860.0554099999999</v>
      </c>
      <c r="L2279" s="375">
        <v>6801.8483999999999</v>
      </c>
      <c r="M2279" s="375">
        <v>63026.081279999999</v>
      </c>
      <c r="N2279" s="372">
        <v>0.74399999999999999</v>
      </c>
      <c r="O2279" s="703">
        <v>68.69951860630178</v>
      </c>
      <c r="P2279" s="562" t="s">
        <v>623</v>
      </c>
      <c r="Q2279" s="372" t="s">
        <v>623</v>
      </c>
      <c r="R2279" s="695">
        <v>20051219</v>
      </c>
      <c r="S2279" s="372" t="s">
        <v>14694</v>
      </c>
      <c r="T2279" s="696">
        <v>0.20900000000000002</v>
      </c>
      <c r="U2279" s="372" t="s">
        <v>14695</v>
      </c>
      <c r="V2279" s="722">
        <v>4.03</v>
      </c>
      <c r="W2279" s="722">
        <v>0.59</v>
      </c>
      <c r="X2279" s="722">
        <v>0.19</v>
      </c>
      <c r="Y2279" s="722">
        <v>5.49</v>
      </c>
      <c r="Z2279" s="382" t="s">
        <v>934</v>
      </c>
      <c r="AA2279" s="372">
        <v>1731.3970839999999</v>
      </c>
      <c r="AB2279" s="372">
        <v>1880.7554958000001</v>
      </c>
      <c r="AC2279" s="372">
        <v>2030.9152125000001</v>
      </c>
      <c r="AD2279" s="372">
        <v>1971.0336803</v>
      </c>
      <c r="AE2279" s="372">
        <v>0</v>
      </c>
      <c r="AF2279" s="372">
        <v>0</v>
      </c>
      <c r="AG2279" s="372">
        <v>0</v>
      </c>
      <c r="AH2279" s="372">
        <v>0</v>
      </c>
    </row>
    <row r="2280" spans="1:34">
      <c r="A2280" s="372" t="s">
        <v>14696</v>
      </c>
      <c r="B2280" s="372" t="s">
        <v>14697</v>
      </c>
      <c r="C2280" s="372" t="s">
        <v>14698</v>
      </c>
      <c r="D2280" s="374">
        <v>1101110350712</v>
      </c>
      <c r="E2280" s="372" t="s">
        <v>14699</v>
      </c>
      <c r="F2280" s="372" t="s">
        <v>1867</v>
      </c>
      <c r="G2280" s="375" t="s">
        <v>1868</v>
      </c>
      <c r="H2280" s="375" t="s">
        <v>4894</v>
      </c>
      <c r="I2280" s="375" t="s">
        <v>869</v>
      </c>
      <c r="J2280" s="375">
        <v>309755.35320000001</v>
      </c>
      <c r="K2280" s="375">
        <v>3128.7262900000001</v>
      </c>
      <c r="L2280" s="375">
        <v>10778.76223</v>
      </c>
      <c r="M2280" s="375">
        <v>101519.64969000001</v>
      </c>
      <c r="N2280" s="372">
        <v>1.204</v>
      </c>
      <c r="O2280" s="703">
        <v>158.38189497379017</v>
      </c>
      <c r="P2280" s="562" t="s">
        <v>623</v>
      </c>
      <c r="Q2280" s="372" t="s">
        <v>623</v>
      </c>
      <c r="R2280" s="695">
        <v>19941130</v>
      </c>
      <c r="S2280" s="372" t="s">
        <v>14700</v>
      </c>
      <c r="T2280" s="696">
        <v>0.20900000000000002</v>
      </c>
      <c r="U2280" s="372" t="s">
        <v>14701</v>
      </c>
      <c r="V2280" s="722">
        <v>0</v>
      </c>
      <c r="W2280" s="722">
        <v>0.4</v>
      </c>
      <c r="X2280" s="722">
        <v>0</v>
      </c>
      <c r="Y2280" s="722">
        <v>0</v>
      </c>
      <c r="Z2280" s="382" t="s">
        <v>934</v>
      </c>
      <c r="AA2280" s="372">
        <v>1238.0710958</v>
      </c>
      <c r="AB2280" s="372">
        <v>1390.6080927999999</v>
      </c>
      <c r="AC2280" s="372">
        <v>1882.1017151000001</v>
      </c>
      <c r="AD2280" s="372">
        <v>3097.5535319999999</v>
      </c>
      <c r="AE2280" s="372">
        <v>0</v>
      </c>
      <c r="AF2280" s="372">
        <v>0</v>
      </c>
      <c r="AG2280" s="372">
        <v>0</v>
      </c>
      <c r="AH2280" s="372">
        <v>0</v>
      </c>
    </row>
    <row r="2281" spans="1:34">
      <c r="A2281" s="372" t="s">
        <v>14702</v>
      </c>
      <c r="B2281" s="372" t="s">
        <v>14703</v>
      </c>
      <c r="C2281" s="372" t="s">
        <v>14704</v>
      </c>
      <c r="D2281" s="374">
        <v>1101110015853</v>
      </c>
      <c r="E2281" s="372" t="s">
        <v>14705</v>
      </c>
      <c r="F2281" s="372" t="s">
        <v>7101</v>
      </c>
      <c r="G2281" s="375" t="s">
        <v>7101</v>
      </c>
      <c r="H2281" s="375" t="s">
        <v>853</v>
      </c>
      <c r="I2281" s="375" t="s">
        <v>755</v>
      </c>
      <c r="J2281" s="375">
        <v>31328.511050000001</v>
      </c>
      <c r="K2281" s="375">
        <v>-815.79057</v>
      </c>
      <c r="L2281" s="375">
        <v>-1580.7645</v>
      </c>
      <c r="M2281" s="375">
        <v>27055.502110000001</v>
      </c>
      <c r="N2281" s="372">
        <v>0.439</v>
      </c>
      <c r="O2281" s="703">
        <v>37.644436886812969</v>
      </c>
      <c r="P2281" s="562" t="s">
        <v>623</v>
      </c>
      <c r="Q2281" s="372" t="s">
        <v>623</v>
      </c>
      <c r="R2281" s="695">
        <v>19681227</v>
      </c>
      <c r="S2281" s="372" t="s">
        <v>14706</v>
      </c>
      <c r="T2281" s="696" t="s">
        <v>772</v>
      </c>
      <c r="U2281" s="372" t="s">
        <v>14707</v>
      </c>
      <c r="V2281" s="722">
        <v>0</v>
      </c>
      <c r="W2281" s="722">
        <v>1.27</v>
      </c>
      <c r="X2281" s="722">
        <v>0</v>
      </c>
      <c r="Y2281" s="722">
        <v>0</v>
      </c>
      <c r="Z2281" s="382" t="s">
        <v>934</v>
      </c>
      <c r="AA2281" s="372">
        <v>22.341962299999999</v>
      </c>
      <c r="AB2281" s="372">
        <v>178.8022296</v>
      </c>
      <c r="AC2281" s="372">
        <v>337.10303329999999</v>
      </c>
      <c r="AD2281" s="372">
        <v>313.28511049999997</v>
      </c>
      <c r="AE2281" s="372">
        <v>0</v>
      </c>
      <c r="AF2281" s="372">
        <v>0</v>
      </c>
      <c r="AG2281" s="372">
        <v>0</v>
      </c>
      <c r="AH2281" s="372">
        <v>0</v>
      </c>
    </row>
    <row r="2282" spans="1:34">
      <c r="A2282" s="372" t="s">
        <v>14708</v>
      </c>
      <c r="B2282" s="372" t="s">
        <v>14709</v>
      </c>
      <c r="C2282" s="372" t="s">
        <v>14710</v>
      </c>
      <c r="D2282" s="374">
        <v>1355110101465</v>
      </c>
      <c r="E2282" s="372" t="s">
        <v>14711</v>
      </c>
      <c r="F2282" s="372" t="s">
        <v>1286</v>
      </c>
      <c r="G2282" s="375" t="s">
        <v>1465</v>
      </c>
      <c r="H2282" s="375" t="s">
        <v>1388</v>
      </c>
      <c r="I2282" s="375" t="s">
        <v>869</v>
      </c>
      <c r="J2282" s="375">
        <v>251085.14859</v>
      </c>
      <c r="K2282" s="375">
        <v>2840.40526</v>
      </c>
      <c r="L2282" s="375">
        <v>-6550.44362</v>
      </c>
      <c r="M2282" s="375">
        <v>113941.3116</v>
      </c>
      <c r="N2282" s="372">
        <v>1.0029999999999999</v>
      </c>
      <c r="O2282" s="703">
        <v>396.03063654945532</v>
      </c>
      <c r="P2282" s="562" t="s">
        <v>623</v>
      </c>
      <c r="Q2282" s="372" t="s">
        <v>623</v>
      </c>
      <c r="R2282" s="695">
        <v>20070730</v>
      </c>
      <c r="S2282" s="372" t="s">
        <v>14712</v>
      </c>
      <c r="T2282" s="696" t="s">
        <v>772</v>
      </c>
      <c r="U2282" s="372" t="s">
        <v>14713</v>
      </c>
      <c r="V2282" s="722">
        <v>8.19</v>
      </c>
      <c r="W2282" s="722">
        <v>0.4</v>
      </c>
      <c r="X2282" s="722">
        <v>0.14000000000000001</v>
      </c>
      <c r="Y2282" s="722" t="s">
        <v>774</v>
      </c>
      <c r="Z2282" s="382" t="s">
        <v>934</v>
      </c>
      <c r="AA2282" s="372">
        <v>2549.7299502000001</v>
      </c>
      <c r="AB2282" s="372">
        <v>3309.9708879</v>
      </c>
      <c r="AC2282" s="372">
        <v>3360.8745359</v>
      </c>
      <c r="AD2282" s="372">
        <v>2510.8514859000002</v>
      </c>
      <c r="AE2282" s="372">
        <v>0</v>
      </c>
      <c r="AF2282" s="372">
        <v>0</v>
      </c>
      <c r="AG2282" s="372">
        <v>0</v>
      </c>
      <c r="AH2282" s="372">
        <v>0</v>
      </c>
    </row>
    <row r="2283" spans="1:34">
      <c r="A2283" s="372" t="s">
        <v>14714</v>
      </c>
      <c r="B2283" s="372" t="s">
        <v>14715</v>
      </c>
      <c r="C2283" s="372" t="s">
        <v>14716</v>
      </c>
      <c r="D2283" s="374">
        <v>1101112021395</v>
      </c>
      <c r="E2283" s="372" t="s">
        <v>14717</v>
      </c>
      <c r="F2283" s="372" t="s">
        <v>1814</v>
      </c>
      <c r="G2283" s="375" t="s">
        <v>2821</v>
      </c>
      <c r="H2283" s="375" t="s">
        <v>1693</v>
      </c>
      <c r="I2283" s="375" t="s">
        <v>869</v>
      </c>
      <c r="J2283" s="375">
        <v>43016.191959999996</v>
      </c>
      <c r="K2283" s="375">
        <v>-3482.9532599999998</v>
      </c>
      <c r="L2283" s="375">
        <v>-16373.00887</v>
      </c>
      <c r="M2283" s="375">
        <v>34767.307860000001</v>
      </c>
      <c r="N2283" s="372">
        <v>0.69399999999999995</v>
      </c>
      <c r="O2283" s="703">
        <v>119.2149166809795</v>
      </c>
      <c r="P2283" s="562" t="s">
        <v>623</v>
      </c>
      <c r="Q2283" s="372" t="s">
        <v>623</v>
      </c>
      <c r="R2283" s="695">
        <v>20100601</v>
      </c>
      <c r="S2283" s="372" t="s">
        <v>14718</v>
      </c>
      <c r="T2283" s="696" t="s">
        <v>772</v>
      </c>
      <c r="U2283" s="372" t="s">
        <v>14719</v>
      </c>
      <c r="V2283" s="722">
        <v>62.36</v>
      </c>
      <c r="W2283" s="722">
        <v>1.18</v>
      </c>
      <c r="X2283" s="722">
        <v>1.04</v>
      </c>
      <c r="Y2283" s="722" t="s">
        <v>774</v>
      </c>
      <c r="Z2283" s="382" t="s">
        <v>934</v>
      </c>
      <c r="AA2283" s="372">
        <v>386.61176499999999</v>
      </c>
      <c r="AB2283" s="372">
        <v>377.95433500000001</v>
      </c>
      <c r="AC2283" s="372">
        <v>432.14170890000003</v>
      </c>
      <c r="AD2283" s="372">
        <v>430.16191959999998</v>
      </c>
      <c r="AE2283" s="372">
        <v>0</v>
      </c>
      <c r="AF2283" s="372">
        <v>0</v>
      </c>
      <c r="AG2283" s="372">
        <v>0</v>
      </c>
      <c r="AH2283" s="372">
        <v>0</v>
      </c>
    </row>
    <row r="2284" spans="1:34">
      <c r="A2284" s="372" t="s">
        <v>14720</v>
      </c>
      <c r="B2284" s="372" t="s">
        <v>14721</v>
      </c>
      <c r="C2284" s="372" t="s">
        <v>14722</v>
      </c>
      <c r="D2284" s="374">
        <v>1314110346786</v>
      </c>
      <c r="E2284" s="372" t="s">
        <v>14723</v>
      </c>
      <c r="F2284" s="372" t="s">
        <v>11136</v>
      </c>
      <c r="G2284" s="375" t="s">
        <v>11136</v>
      </c>
      <c r="H2284" s="375" t="s">
        <v>868</v>
      </c>
      <c r="I2284" s="375" t="s">
        <v>869</v>
      </c>
      <c r="J2284" s="375">
        <v>27324.210999999999</v>
      </c>
      <c r="K2284" s="375">
        <v>3149.3957500000001</v>
      </c>
      <c r="L2284" s="375">
        <v>-811.82249000000002</v>
      </c>
      <c r="M2284" s="375">
        <v>44562.70594</v>
      </c>
      <c r="N2284" s="372" t="s">
        <v>1033</v>
      </c>
      <c r="O2284" s="703">
        <v>15.751132319664579</v>
      </c>
      <c r="P2284" s="562" t="s">
        <v>623</v>
      </c>
      <c r="Q2284" s="372" t="s">
        <v>623</v>
      </c>
      <c r="R2284" s="695">
        <v>20230420</v>
      </c>
      <c r="S2284" s="372" t="s">
        <v>14724</v>
      </c>
      <c r="T2284" s="696" t="s">
        <v>772</v>
      </c>
      <c r="U2284" s="372" t="s">
        <v>14725</v>
      </c>
      <c r="V2284" s="722">
        <v>7.65</v>
      </c>
      <c r="W2284" s="722">
        <v>0.85</v>
      </c>
      <c r="X2284" s="722">
        <v>1.4</v>
      </c>
      <c r="Y2284" s="722" t="s">
        <v>774</v>
      </c>
      <c r="Z2284" s="382" t="s">
        <v>934</v>
      </c>
      <c r="AA2284" s="372">
        <v>285.88366150000002</v>
      </c>
      <c r="AB2284" s="372">
        <v>351.60758079999999</v>
      </c>
      <c r="AC2284" s="372">
        <v>275.44537880000001</v>
      </c>
      <c r="AD2284" s="372">
        <v>273.24211000000003</v>
      </c>
      <c r="AE2284" s="372">
        <v>0</v>
      </c>
      <c r="AF2284" s="372">
        <v>0</v>
      </c>
      <c r="AG2284" s="372">
        <v>0</v>
      </c>
      <c r="AH2284" s="372">
        <v>0</v>
      </c>
    </row>
    <row r="2285" spans="1:34">
      <c r="A2285" s="372" t="s">
        <v>14726</v>
      </c>
      <c r="B2285" s="372" t="s">
        <v>14727</v>
      </c>
      <c r="C2285" s="372" t="s">
        <v>14728</v>
      </c>
      <c r="D2285" s="374">
        <v>1101110569074</v>
      </c>
      <c r="E2285" s="372" t="s">
        <v>14729</v>
      </c>
      <c r="F2285" s="372" t="s">
        <v>14730</v>
      </c>
      <c r="G2285" s="375" t="s">
        <v>14730</v>
      </c>
      <c r="H2285" s="375" t="s">
        <v>868</v>
      </c>
      <c r="I2285" s="375" t="s">
        <v>869</v>
      </c>
      <c r="J2285" s="375">
        <v>75362.474830000006</v>
      </c>
      <c r="K2285" s="375">
        <v>-582.69911999999999</v>
      </c>
      <c r="L2285" s="375">
        <v>647.68966999999998</v>
      </c>
      <c r="M2285" s="375">
        <v>43226.632590000001</v>
      </c>
      <c r="N2285" s="372">
        <v>1.071</v>
      </c>
      <c r="O2285" s="703">
        <v>7.4260024190060436</v>
      </c>
      <c r="P2285" s="562" t="s">
        <v>623</v>
      </c>
      <c r="Q2285" s="372" t="s">
        <v>623</v>
      </c>
      <c r="R2285" s="695">
        <v>19991218</v>
      </c>
      <c r="S2285" s="372" t="s">
        <v>14731</v>
      </c>
      <c r="T2285" s="696">
        <v>0.20900000000000002</v>
      </c>
      <c r="U2285" s="372" t="s">
        <v>14732</v>
      </c>
      <c r="V2285" s="722">
        <v>0</v>
      </c>
      <c r="W2285" s="722">
        <v>0.7</v>
      </c>
      <c r="X2285" s="722">
        <v>0</v>
      </c>
      <c r="Y2285" s="722">
        <v>0</v>
      </c>
      <c r="Z2285" s="382" t="s">
        <v>934</v>
      </c>
      <c r="AA2285" s="372">
        <v>600.03206680000005</v>
      </c>
      <c r="AB2285" s="372">
        <v>673.32598459999997</v>
      </c>
      <c r="AC2285" s="372">
        <v>778.80466409999997</v>
      </c>
      <c r="AD2285" s="372">
        <v>753.62474829999996</v>
      </c>
      <c r="AE2285" s="372">
        <v>0</v>
      </c>
      <c r="AF2285" s="372">
        <v>0</v>
      </c>
      <c r="AG2285" s="372">
        <v>0</v>
      </c>
      <c r="AH2285" s="372">
        <v>0</v>
      </c>
    </row>
    <row r="2286" spans="1:34">
      <c r="A2286" s="372" t="s">
        <v>14733</v>
      </c>
      <c r="B2286" s="372" t="s">
        <v>14734</v>
      </c>
      <c r="C2286" s="372" t="s">
        <v>14735</v>
      </c>
      <c r="D2286" s="374">
        <v>1101117189544</v>
      </c>
      <c r="E2286" s="372" t="s">
        <v>14736</v>
      </c>
      <c r="F2286" s="372" t="s">
        <v>1381</v>
      </c>
      <c r="G2286" s="375" t="s">
        <v>1381</v>
      </c>
      <c r="H2286" s="375" t="s">
        <v>1693</v>
      </c>
      <c r="I2286" s="375" t="s">
        <v>869</v>
      </c>
      <c r="J2286" s="375">
        <v>24589.393980000001</v>
      </c>
      <c r="K2286" s="375">
        <v>706.08717000000001</v>
      </c>
      <c r="L2286" s="375">
        <v>1267.3505</v>
      </c>
      <c r="M2286" s="375">
        <v>20863.80457</v>
      </c>
      <c r="N2286" s="372">
        <v>0.69299999999999995</v>
      </c>
      <c r="O2286" s="703">
        <v>1.1509397102956966</v>
      </c>
      <c r="P2286" s="562" t="s">
        <v>623</v>
      </c>
      <c r="Q2286" s="372" t="s">
        <v>623</v>
      </c>
      <c r="R2286" s="695">
        <v>20191031</v>
      </c>
      <c r="S2286" s="372" t="s">
        <v>14737</v>
      </c>
      <c r="T2286" s="696">
        <v>0.20900000000000002</v>
      </c>
      <c r="U2286" s="372" t="s">
        <v>14738</v>
      </c>
      <c r="V2286" s="722">
        <v>0</v>
      </c>
      <c r="W2286" s="722">
        <v>1.55</v>
      </c>
      <c r="X2286" s="722">
        <v>0</v>
      </c>
      <c r="Y2286" s="722">
        <v>0</v>
      </c>
      <c r="Z2286" s="382" t="s">
        <v>934</v>
      </c>
      <c r="AA2286" s="372">
        <v>244.8898232</v>
      </c>
      <c r="AB2286" s="372">
        <v>263.04384729999998</v>
      </c>
      <c r="AC2286" s="372">
        <v>232.06668339999999</v>
      </c>
      <c r="AD2286" s="372">
        <v>245.8939398</v>
      </c>
      <c r="AE2286" s="372">
        <v>0</v>
      </c>
      <c r="AF2286" s="372">
        <v>0</v>
      </c>
      <c r="AG2286" s="372">
        <v>0</v>
      </c>
      <c r="AH2286" s="372">
        <v>0</v>
      </c>
    </row>
    <row r="2287" spans="1:34">
      <c r="A2287" s="372" t="s">
        <v>14739</v>
      </c>
      <c r="B2287" s="372" t="s">
        <v>14740</v>
      </c>
      <c r="C2287" s="372" t="s">
        <v>14741</v>
      </c>
      <c r="D2287" s="374">
        <v>1313110020308</v>
      </c>
      <c r="E2287" s="372" t="s">
        <v>14742</v>
      </c>
      <c r="F2287" s="372" t="s">
        <v>1881</v>
      </c>
      <c r="G2287" s="375" t="s">
        <v>1882</v>
      </c>
      <c r="H2287" s="375" t="s">
        <v>868</v>
      </c>
      <c r="I2287" s="375" t="s">
        <v>869</v>
      </c>
      <c r="J2287" s="375">
        <v>169274.18888</v>
      </c>
      <c r="K2287" s="375">
        <v>4058.1302900000001</v>
      </c>
      <c r="L2287" s="375">
        <v>6056.47552</v>
      </c>
      <c r="M2287" s="375">
        <v>54138.02478</v>
      </c>
      <c r="N2287" s="372">
        <v>0.84699999999999998</v>
      </c>
      <c r="O2287" s="703">
        <v>132.22189068402128</v>
      </c>
      <c r="P2287" s="562" t="s">
        <v>623</v>
      </c>
      <c r="Q2287" s="372" t="s">
        <v>623</v>
      </c>
      <c r="R2287" s="695">
        <v>20061103</v>
      </c>
      <c r="S2287" s="372" t="s">
        <v>14743</v>
      </c>
      <c r="T2287" s="696">
        <v>0.20900000000000002</v>
      </c>
      <c r="U2287" s="372" t="s">
        <v>14744</v>
      </c>
      <c r="V2287" s="722">
        <v>7.3</v>
      </c>
      <c r="W2287" s="722">
        <v>0.76</v>
      </c>
      <c r="X2287" s="722">
        <v>0.22</v>
      </c>
      <c r="Y2287" s="722">
        <v>6.68</v>
      </c>
      <c r="Z2287" s="382" t="s">
        <v>934</v>
      </c>
      <c r="AA2287" s="372">
        <v>1255.0234333000001</v>
      </c>
      <c r="AB2287" s="372">
        <v>1445.7859242</v>
      </c>
      <c r="AC2287" s="372">
        <v>1847.8454363000001</v>
      </c>
      <c r="AD2287" s="372">
        <v>1692.7418888</v>
      </c>
      <c r="AE2287" s="372">
        <v>0</v>
      </c>
      <c r="AF2287" s="372">
        <v>0</v>
      </c>
      <c r="AG2287" s="372">
        <v>0</v>
      </c>
      <c r="AH2287" s="372">
        <v>0</v>
      </c>
    </row>
    <row r="2288" spans="1:34">
      <c r="A2288" s="372" t="s">
        <v>14745</v>
      </c>
      <c r="B2288" s="372" t="s">
        <v>14746</v>
      </c>
      <c r="C2288" s="372" t="s">
        <v>14747</v>
      </c>
      <c r="D2288" s="374">
        <v>1648110035910</v>
      </c>
      <c r="E2288" s="372" t="s">
        <v>14748</v>
      </c>
      <c r="F2288" s="372" t="s">
        <v>1881</v>
      </c>
      <c r="G2288" s="375" t="s">
        <v>1882</v>
      </c>
      <c r="H2288" s="375" t="s">
        <v>868</v>
      </c>
      <c r="I2288" s="375" t="s">
        <v>869</v>
      </c>
      <c r="J2288" s="375">
        <v>86034.323900000003</v>
      </c>
      <c r="K2288" s="375">
        <v>2994.69913</v>
      </c>
      <c r="L2288" s="375">
        <v>3591.2769499999999</v>
      </c>
      <c r="M2288" s="375">
        <v>17659.503390000002</v>
      </c>
      <c r="N2288" s="372">
        <v>0.84499999999999997</v>
      </c>
      <c r="O2288" s="703">
        <v>60.151782671371947</v>
      </c>
      <c r="P2288" s="562" t="s">
        <v>623</v>
      </c>
      <c r="Q2288" s="372" t="s">
        <v>623</v>
      </c>
      <c r="R2288" s="695">
        <v>20121122</v>
      </c>
      <c r="S2288" s="372" t="s">
        <v>14749</v>
      </c>
      <c r="T2288" s="696">
        <v>0.20900000000000002</v>
      </c>
      <c r="U2288" s="372" t="s">
        <v>14750</v>
      </c>
      <c r="V2288" s="722">
        <v>9.5500000000000007</v>
      </c>
      <c r="W2288" s="722">
        <v>2.17</v>
      </c>
      <c r="X2288" s="722">
        <v>0.45</v>
      </c>
      <c r="Y2288" s="722">
        <v>12.95</v>
      </c>
      <c r="Z2288" s="382" t="s">
        <v>934</v>
      </c>
      <c r="AA2288" s="372">
        <v>818.29561120000005</v>
      </c>
      <c r="AB2288" s="372">
        <v>648.47839839999995</v>
      </c>
      <c r="AC2288" s="372">
        <v>649.51916640000002</v>
      </c>
      <c r="AD2288" s="372">
        <v>860.34323900000004</v>
      </c>
      <c r="AE2288" s="372">
        <v>0</v>
      </c>
      <c r="AF2288" s="372">
        <v>0</v>
      </c>
      <c r="AG2288" s="372">
        <v>0</v>
      </c>
      <c r="AH2288" s="372">
        <v>0</v>
      </c>
    </row>
    <row r="2289" spans="1:34">
      <c r="A2289" s="372" t="s">
        <v>14751</v>
      </c>
      <c r="B2289" s="372" t="s">
        <v>14752</v>
      </c>
      <c r="C2289" s="372" t="s">
        <v>14753</v>
      </c>
      <c r="D2289" s="374">
        <v>1243110031007</v>
      </c>
      <c r="E2289" s="372" t="s">
        <v>14754</v>
      </c>
      <c r="F2289" s="372" t="s">
        <v>852</v>
      </c>
      <c r="G2289" s="375" t="s">
        <v>852</v>
      </c>
      <c r="H2289" s="375" t="s">
        <v>3127</v>
      </c>
      <c r="I2289" s="375" t="s">
        <v>869</v>
      </c>
      <c r="J2289" s="375">
        <v>22559.46946</v>
      </c>
      <c r="K2289" s="375">
        <v>-7541.4117800000004</v>
      </c>
      <c r="L2289" s="375">
        <v>-3466.76631</v>
      </c>
      <c r="M2289" s="375">
        <v>26912.382590000001</v>
      </c>
      <c r="N2289" s="372">
        <v>0.875</v>
      </c>
      <c r="O2289" s="703">
        <v>27.142897584176129</v>
      </c>
      <c r="P2289" s="562" t="s">
        <v>623</v>
      </c>
      <c r="Q2289" s="372" t="s">
        <v>623</v>
      </c>
      <c r="R2289" s="695">
        <v>20020709</v>
      </c>
      <c r="S2289" s="372" t="s">
        <v>14755</v>
      </c>
      <c r="T2289" s="696" t="s">
        <v>772</v>
      </c>
      <c r="U2289" s="372" t="s">
        <v>14756</v>
      </c>
      <c r="V2289" s="722" t="s">
        <v>774</v>
      </c>
      <c r="W2289" s="722">
        <v>1.38</v>
      </c>
      <c r="X2289" s="722">
        <v>1.64</v>
      </c>
      <c r="Y2289" s="722" t="s">
        <v>774</v>
      </c>
      <c r="Z2289" s="382" t="s">
        <v>934</v>
      </c>
      <c r="AA2289" s="372">
        <v>136.00978799999999</v>
      </c>
      <c r="AB2289" s="372">
        <v>148.73652749999999</v>
      </c>
      <c r="AC2289" s="372">
        <v>101.0693653</v>
      </c>
      <c r="AD2289" s="372">
        <v>225.5946946</v>
      </c>
      <c r="AE2289" s="372">
        <v>0</v>
      </c>
      <c r="AF2289" s="372">
        <v>0</v>
      </c>
      <c r="AG2289" s="372">
        <v>0</v>
      </c>
      <c r="AH2289" s="372">
        <v>0</v>
      </c>
    </row>
    <row r="2290" spans="1:34">
      <c r="A2290" s="372" t="s">
        <v>14757</v>
      </c>
      <c r="B2290" s="372" t="s">
        <v>14758</v>
      </c>
      <c r="C2290" s="372" t="s">
        <v>14759</v>
      </c>
      <c r="D2290" s="374">
        <v>1243110020000</v>
      </c>
      <c r="E2290" s="372" t="s">
        <v>14760</v>
      </c>
      <c r="F2290" s="372" t="s">
        <v>2858</v>
      </c>
      <c r="G2290" s="375" t="s">
        <v>2858</v>
      </c>
      <c r="H2290" s="375" t="s">
        <v>1388</v>
      </c>
      <c r="I2290" s="375" t="s">
        <v>869</v>
      </c>
      <c r="J2290" s="375">
        <v>149212.40173000001</v>
      </c>
      <c r="K2290" s="375">
        <v>-4460.3967899999998</v>
      </c>
      <c r="L2290" s="375">
        <v>-516.86090999999999</v>
      </c>
      <c r="M2290" s="375">
        <v>107641.50036999999</v>
      </c>
      <c r="N2290" s="372">
        <v>0.98299999999999998</v>
      </c>
      <c r="O2290" s="703">
        <v>64.247623719760824</v>
      </c>
      <c r="P2290" s="562" t="s">
        <v>623</v>
      </c>
      <c r="Q2290" s="372" t="s">
        <v>623</v>
      </c>
      <c r="R2290" s="695">
        <v>20071012</v>
      </c>
      <c r="S2290" s="372" t="s">
        <v>14761</v>
      </c>
      <c r="T2290" s="696" t="s">
        <v>772</v>
      </c>
      <c r="U2290" s="372" t="s">
        <v>14762</v>
      </c>
      <c r="V2290" s="722">
        <v>14.71</v>
      </c>
      <c r="W2290" s="722">
        <v>0.32</v>
      </c>
      <c r="X2290" s="722">
        <v>0.23</v>
      </c>
      <c r="Y2290" s="722" t="s">
        <v>774</v>
      </c>
      <c r="Z2290" s="382" t="s">
        <v>934</v>
      </c>
      <c r="AA2290" s="372">
        <v>1137.5689569000001</v>
      </c>
      <c r="AB2290" s="372">
        <v>1435.8326592000001</v>
      </c>
      <c r="AC2290" s="372">
        <v>1659.2478653999999</v>
      </c>
      <c r="AD2290" s="372">
        <v>1492.1240173000001</v>
      </c>
      <c r="AE2290" s="372">
        <v>0</v>
      </c>
      <c r="AF2290" s="372">
        <v>0</v>
      </c>
      <c r="AG2290" s="372">
        <v>0</v>
      </c>
      <c r="AH2290" s="372">
        <v>0</v>
      </c>
    </row>
    <row r="2291" spans="1:34">
      <c r="A2291" s="372" t="s">
        <v>14763</v>
      </c>
      <c r="B2291" s="372" t="s">
        <v>14764</v>
      </c>
      <c r="C2291" s="372" t="s">
        <v>14765</v>
      </c>
      <c r="D2291" s="374">
        <v>1243110014409</v>
      </c>
      <c r="E2291" s="372" t="s">
        <v>14766</v>
      </c>
      <c r="F2291" s="372" t="s">
        <v>4682</v>
      </c>
      <c r="G2291" s="375" t="s">
        <v>4682</v>
      </c>
      <c r="H2291" s="375" t="s">
        <v>868</v>
      </c>
      <c r="I2291" s="375" t="s">
        <v>869</v>
      </c>
      <c r="J2291" s="375">
        <v>57919.354659999997</v>
      </c>
      <c r="K2291" s="375">
        <v>713.66477999999995</v>
      </c>
      <c r="L2291" s="375">
        <v>-1764.10806</v>
      </c>
      <c r="M2291" s="375">
        <v>72330.379910000003</v>
      </c>
      <c r="N2291" s="372">
        <v>0.75700000000000001</v>
      </c>
      <c r="O2291" s="703">
        <v>89.808205957259815</v>
      </c>
      <c r="P2291" s="562" t="s">
        <v>623</v>
      </c>
      <c r="Q2291" s="372" t="s">
        <v>623</v>
      </c>
      <c r="R2291" s="695">
        <v>20080520</v>
      </c>
      <c r="S2291" s="372" t="s">
        <v>14767</v>
      </c>
      <c r="T2291" s="696" t="s">
        <v>772</v>
      </c>
      <c r="U2291" s="372" t="s">
        <v>14768</v>
      </c>
      <c r="V2291" s="722">
        <v>17.72</v>
      </c>
      <c r="W2291" s="722">
        <v>1.06</v>
      </c>
      <c r="X2291" s="722">
        <v>0.61</v>
      </c>
      <c r="Y2291" s="722" t="s">
        <v>774</v>
      </c>
      <c r="Z2291" s="382" t="s">
        <v>934</v>
      </c>
      <c r="AA2291" s="372">
        <v>395.24380439999999</v>
      </c>
      <c r="AB2291" s="372">
        <v>393.47387670000001</v>
      </c>
      <c r="AC2291" s="372">
        <v>437.03465290000003</v>
      </c>
      <c r="AD2291" s="372">
        <v>579.19354659999999</v>
      </c>
      <c r="AE2291" s="372">
        <v>0</v>
      </c>
      <c r="AF2291" s="372">
        <v>0</v>
      </c>
      <c r="AG2291" s="372">
        <v>0</v>
      </c>
      <c r="AH2291" s="372">
        <v>0</v>
      </c>
    </row>
    <row r="2292" spans="1:34">
      <c r="A2292" s="372" t="s">
        <v>14769</v>
      </c>
      <c r="B2292" s="372" t="s">
        <v>14770</v>
      </c>
      <c r="C2292" s="372" t="s">
        <v>14771</v>
      </c>
      <c r="D2292" s="374">
        <v>1101110171168</v>
      </c>
      <c r="E2292" s="372" t="s">
        <v>14772</v>
      </c>
      <c r="F2292" s="372" t="s">
        <v>3266</v>
      </c>
      <c r="G2292" s="375" t="s">
        <v>3266</v>
      </c>
      <c r="H2292" s="375" t="s">
        <v>1388</v>
      </c>
      <c r="I2292" s="375" t="s">
        <v>869</v>
      </c>
      <c r="J2292" s="375">
        <v>20230.592909999999</v>
      </c>
      <c r="K2292" s="375">
        <v>293.14798000000002</v>
      </c>
      <c r="L2292" s="375">
        <v>8633.1587199999994</v>
      </c>
      <c r="M2292" s="375">
        <v>42644.456899999997</v>
      </c>
      <c r="N2292" s="372">
        <v>1.032</v>
      </c>
      <c r="O2292" s="703">
        <v>0.38695552141364126</v>
      </c>
      <c r="P2292" s="562" t="s">
        <v>623</v>
      </c>
      <c r="Q2292" s="372" t="s">
        <v>623</v>
      </c>
      <c r="R2292" s="695">
        <v>20011218</v>
      </c>
      <c r="S2292" s="372" t="s">
        <v>14773</v>
      </c>
      <c r="T2292" s="696">
        <v>0.20900000000000002</v>
      </c>
      <c r="U2292" s="372" t="s">
        <v>14774</v>
      </c>
      <c r="V2292" s="722">
        <v>29.16</v>
      </c>
      <c r="W2292" s="722">
        <v>0.66</v>
      </c>
      <c r="X2292" s="722">
        <v>1.42</v>
      </c>
      <c r="Y2292" s="722">
        <v>3.15</v>
      </c>
      <c r="Z2292" s="382" t="s">
        <v>934</v>
      </c>
      <c r="AA2292" s="372">
        <v>237.8969065</v>
      </c>
      <c r="AB2292" s="372">
        <v>331.3270986</v>
      </c>
      <c r="AC2292" s="372">
        <v>208.96933139999999</v>
      </c>
      <c r="AD2292" s="372">
        <v>202.30592909999999</v>
      </c>
      <c r="AE2292" s="372">
        <v>0</v>
      </c>
      <c r="AF2292" s="372">
        <v>0</v>
      </c>
      <c r="AG2292" s="372">
        <v>0</v>
      </c>
      <c r="AH2292" s="372">
        <v>0</v>
      </c>
    </row>
    <row r="2293" spans="1:34">
      <c r="A2293" s="372" t="s">
        <v>14775</v>
      </c>
      <c r="B2293" s="372" t="s">
        <v>14776</v>
      </c>
      <c r="C2293" s="372" t="s">
        <v>14777</v>
      </c>
      <c r="D2293" s="374">
        <v>1311110005114</v>
      </c>
      <c r="E2293" s="372" t="s">
        <v>14778</v>
      </c>
      <c r="F2293" s="372" t="s">
        <v>1286</v>
      </c>
      <c r="G2293" s="375" t="s">
        <v>1736</v>
      </c>
      <c r="H2293" s="375" t="s">
        <v>754</v>
      </c>
      <c r="I2293" s="375" t="s">
        <v>755</v>
      </c>
      <c r="J2293" s="375">
        <v>45063.801930000001</v>
      </c>
      <c r="K2293" s="375">
        <v>513.64594</v>
      </c>
      <c r="L2293" s="375">
        <v>-1274.2157199999999</v>
      </c>
      <c r="M2293" s="375">
        <v>36711.469960000002</v>
      </c>
      <c r="N2293" s="372">
        <v>1.091</v>
      </c>
      <c r="O2293" s="703">
        <v>58.643284780666527</v>
      </c>
      <c r="P2293" s="562" t="s">
        <v>623</v>
      </c>
      <c r="Q2293" s="372" t="s">
        <v>623</v>
      </c>
      <c r="R2293" s="695">
        <v>19900324</v>
      </c>
      <c r="S2293" s="372" t="s">
        <v>14779</v>
      </c>
      <c r="T2293" s="696" t="s">
        <v>772</v>
      </c>
      <c r="U2293" s="372" t="s">
        <v>14780</v>
      </c>
      <c r="V2293" s="722">
        <v>22.15</v>
      </c>
      <c r="W2293" s="722">
        <v>0.91</v>
      </c>
      <c r="X2293" s="722">
        <v>0.77</v>
      </c>
      <c r="Y2293" s="722" t="s">
        <v>774</v>
      </c>
      <c r="Z2293" s="382" t="s">
        <v>934</v>
      </c>
      <c r="AA2293" s="372">
        <v>378.82645789999998</v>
      </c>
      <c r="AB2293" s="372">
        <v>493.43656970000001</v>
      </c>
      <c r="AC2293" s="372">
        <v>499.7389872</v>
      </c>
      <c r="AD2293" s="372">
        <v>450.6380193</v>
      </c>
      <c r="AE2293" s="372">
        <v>0</v>
      </c>
      <c r="AF2293" s="372">
        <v>0</v>
      </c>
      <c r="AG2293" s="372">
        <v>0</v>
      </c>
      <c r="AH2293" s="372">
        <v>0</v>
      </c>
    </row>
    <row r="2294" spans="1:34">
      <c r="A2294" s="372" t="s">
        <v>14781</v>
      </c>
      <c r="B2294" s="372" t="s">
        <v>14782</v>
      </c>
      <c r="C2294" s="372" t="s">
        <v>14783</v>
      </c>
      <c r="D2294" s="374">
        <v>1101118365862</v>
      </c>
      <c r="E2294" s="372" t="s">
        <v>14784</v>
      </c>
      <c r="F2294" s="372" t="s">
        <v>1151</v>
      </c>
      <c r="G2294" s="375" t="s">
        <v>1152</v>
      </c>
      <c r="H2294" s="375" t="s">
        <v>902</v>
      </c>
      <c r="I2294" s="375" t="s">
        <v>869</v>
      </c>
      <c r="J2294" s="375">
        <v>0</v>
      </c>
      <c r="K2294" s="375">
        <v>-64.272819999999996</v>
      </c>
      <c r="L2294" s="375">
        <v>1073.0061800000001</v>
      </c>
      <c r="M2294" s="375">
        <v>33547.393709999997</v>
      </c>
      <c r="N2294" s="372" t="s">
        <v>1033</v>
      </c>
      <c r="O2294" s="703">
        <v>8.5452139695480529</v>
      </c>
      <c r="P2294" s="562" t="s">
        <v>623</v>
      </c>
      <c r="Q2294" s="372" t="s">
        <v>623</v>
      </c>
      <c r="R2294" s="695">
        <v>20221026</v>
      </c>
      <c r="S2294" s="372" t="s">
        <v>9098</v>
      </c>
      <c r="T2294" s="696">
        <v>0.20900000000000002</v>
      </c>
      <c r="U2294" s="372">
        <v>0</v>
      </c>
      <c r="V2294" s="722">
        <v>0</v>
      </c>
      <c r="W2294" s="722">
        <v>1.01</v>
      </c>
      <c r="X2294" s="722">
        <v>0</v>
      </c>
      <c r="Y2294" s="722">
        <v>0</v>
      </c>
      <c r="Z2294" s="382" t="s">
        <v>774</v>
      </c>
      <c r="AA2294" s="372">
        <v>0</v>
      </c>
      <c r="AB2294" s="372">
        <v>0</v>
      </c>
      <c r="AC2294" s="372">
        <v>0</v>
      </c>
      <c r="AD2294" s="372">
        <v>0</v>
      </c>
      <c r="AE2294" s="372">
        <v>0</v>
      </c>
      <c r="AF2294" s="372">
        <v>0</v>
      </c>
      <c r="AG2294" s="372">
        <v>0</v>
      </c>
      <c r="AH2294" s="372">
        <v>0</v>
      </c>
    </row>
    <row r="2295" spans="1:34">
      <c r="A2295" s="372" t="s">
        <v>14785</v>
      </c>
      <c r="B2295" s="372" t="s">
        <v>14786</v>
      </c>
      <c r="C2295" s="372" t="s">
        <v>14787</v>
      </c>
      <c r="D2295" s="374">
        <v>1350110096608</v>
      </c>
      <c r="E2295" s="372" t="s">
        <v>14788</v>
      </c>
      <c r="F2295" s="372" t="s">
        <v>1313</v>
      </c>
      <c r="G2295" s="375" t="s">
        <v>1313</v>
      </c>
      <c r="H2295" s="375" t="s">
        <v>1388</v>
      </c>
      <c r="I2295" s="375" t="s">
        <v>869</v>
      </c>
      <c r="J2295" s="375">
        <v>26311.911769999999</v>
      </c>
      <c r="K2295" s="375">
        <v>-1290.6638800000001</v>
      </c>
      <c r="L2295" s="375">
        <v>-386.66730000000001</v>
      </c>
      <c r="M2295" s="375">
        <v>13714.881869999999</v>
      </c>
      <c r="N2295" s="372" t="s">
        <v>1033</v>
      </c>
      <c r="O2295" s="703">
        <v>4.8355652579600363</v>
      </c>
      <c r="P2295" s="562" t="s">
        <v>623</v>
      </c>
      <c r="Q2295" s="372" t="s">
        <v>623</v>
      </c>
      <c r="R2295" s="695">
        <v>20080918</v>
      </c>
      <c r="S2295" s="372" t="s">
        <v>14789</v>
      </c>
      <c r="T2295" s="696" t="s">
        <v>772</v>
      </c>
      <c r="U2295" s="372" t="s">
        <v>14790</v>
      </c>
      <c r="V2295" s="722" t="s">
        <v>774</v>
      </c>
      <c r="W2295" s="722">
        <v>2.57</v>
      </c>
      <c r="X2295" s="722">
        <v>1.33</v>
      </c>
      <c r="Y2295" s="722" t="s">
        <v>774</v>
      </c>
      <c r="Z2295" s="382" t="s">
        <v>934</v>
      </c>
      <c r="AA2295" s="372">
        <v>148.06518489999999</v>
      </c>
      <c r="AB2295" s="372">
        <v>240.5902859</v>
      </c>
      <c r="AC2295" s="372">
        <v>344.72979659999999</v>
      </c>
      <c r="AD2295" s="372">
        <v>263.1191177</v>
      </c>
      <c r="AE2295" s="372">
        <v>0</v>
      </c>
      <c r="AF2295" s="372">
        <v>0</v>
      </c>
      <c r="AG2295" s="372">
        <v>0</v>
      </c>
      <c r="AH2295" s="372">
        <v>0</v>
      </c>
    </row>
    <row r="2296" spans="1:34">
      <c r="A2296" s="372" t="s">
        <v>14791</v>
      </c>
      <c r="B2296" s="372" t="s">
        <v>14792</v>
      </c>
      <c r="C2296" s="372" t="s">
        <v>14793</v>
      </c>
      <c r="D2296" s="374">
        <v>1101114481282</v>
      </c>
      <c r="E2296" s="372" t="s">
        <v>14794</v>
      </c>
      <c r="F2296" s="372" t="s">
        <v>786</v>
      </c>
      <c r="G2296" s="375" t="s">
        <v>3360</v>
      </c>
      <c r="H2296" s="375" t="s">
        <v>868</v>
      </c>
      <c r="I2296" s="375" t="s">
        <v>869</v>
      </c>
      <c r="J2296" s="375">
        <v>0</v>
      </c>
      <c r="K2296" s="375">
        <v>0</v>
      </c>
      <c r="L2296" s="375">
        <v>0</v>
      </c>
      <c r="M2296" s="375">
        <v>15882.36932</v>
      </c>
      <c r="N2296" s="372">
        <v>1.099</v>
      </c>
      <c r="O2296" s="703">
        <v>2.7818877265902153</v>
      </c>
      <c r="P2296" s="562" t="s">
        <v>623</v>
      </c>
      <c r="Q2296" s="372" t="s">
        <v>623</v>
      </c>
      <c r="R2296" s="695">
        <v>20200821</v>
      </c>
      <c r="S2296" s="372" t="s">
        <v>14795</v>
      </c>
      <c r="T2296" s="696" t="s">
        <v>772</v>
      </c>
      <c r="U2296" s="372" t="s">
        <v>14796</v>
      </c>
      <c r="V2296" s="722">
        <v>0</v>
      </c>
      <c r="W2296" s="722">
        <v>2.17</v>
      </c>
      <c r="X2296" s="722">
        <v>0</v>
      </c>
      <c r="Y2296" s="722">
        <v>0</v>
      </c>
      <c r="Z2296" s="382" t="s">
        <v>934</v>
      </c>
      <c r="AA2296" s="372">
        <v>52.652641899999999</v>
      </c>
      <c r="AB2296" s="372">
        <v>80.842789600000003</v>
      </c>
      <c r="AC2296" s="372">
        <v>87.289400099999995</v>
      </c>
      <c r="AD2296" s="372">
        <v>65.775783700000005</v>
      </c>
      <c r="AE2296" s="372">
        <v>0</v>
      </c>
      <c r="AF2296" s="372">
        <v>0</v>
      </c>
      <c r="AG2296" s="372">
        <v>0</v>
      </c>
      <c r="AH2296" s="372">
        <v>0</v>
      </c>
    </row>
    <row r="2297" spans="1:34">
      <c r="A2297" s="372" t="s">
        <v>14797</v>
      </c>
      <c r="B2297" s="372" t="s">
        <v>14798</v>
      </c>
      <c r="C2297" s="372" t="s">
        <v>14799</v>
      </c>
      <c r="D2297" s="374">
        <v>0</v>
      </c>
      <c r="E2297" s="372" t="s">
        <v>14800</v>
      </c>
      <c r="F2297" s="372" t="s">
        <v>900</v>
      </c>
      <c r="G2297" s="375" t="s">
        <v>901</v>
      </c>
      <c r="H2297" s="375">
        <v>0</v>
      </c>
      <c r="I2297" s="375" t="s">
        <v>869</v>
      </c>
      <c r="J2297" s="375">
        <v>71617.384999999995</v>
      </c>
      <c r="K2297" s="375">
        <v>7135.6629999999996</v>
      </c>
      <c r="L2297" s="375">
        <v>7527.8649999999998</v>
      </c>
      <c r="M2297" s="375">
        <v>412446.85200000001</v>
      </c>
      <c r="N2297" s="372">
        <v>0.86499999999999999</v>
      </c>
      <c r="O2297" s="703">
        <v>3.0504954436310525</v>
      </c>
      <c r="P2297" s="562" t="s">
        <v>623</v>
      </c>
      <c r="Q2297" s="372" t="s">
        <v>623</v>
      </c>
      <c r="R2297" s="695">
        <v>20100331</v>
      </c>
      <c r="S2297" s="372" t="s">
        <v>14801</v>
      </c>
      <c r="T2297" s="696">
        <v>0.20900000000000002</v>
      </c>
      <c r="U2297" s="372" t="s">
        <v>14802</v>
      </c>
      <c r="V2297" s="722">
        <v>0.85</v>
      </c>
      <c r="W2297" s="722">
        <v>7.0000000000000007E-2</v>
      </c>
      <c r="X2297" s="722">
        <v>0.36</v>
      </c>
      <c r="Y2297" s="722">
        <v>3.43</v>
      </c>
      <c r="Z2297" s="382" t="s">
        <v>934</v>
      </c>
      <c r="AA2297" s="372">
        <v>634.05593999999996</v>
      </c>
      <c r="AB2297" s="372">
        <v>1045.9268400000001</v>
      </c>
      <c r="AC2297" s="372">
        <v>1013.76328</v>
      </c>
      <c r="AD2297" s="372">
        <v>716.17385000000002</v>
      </c>
      <c r="AE2297" s="372">
        <v>0</v>
      </c>
      <c r="AF2297" s="372">
        <v>0</v>
      </c>
      <c r="AG2297" s="372">
        <v>0</v>
      </c>
      <c r="AH2297" s="372">
        <v>0</v>
      </c>
    </row>
    <row r="2298" spans="1:34">
      <c r="A2298" s="372" t="s">
        <v>14803</v>
      </c>
      <c r="B2298" s="372" t="s">
        <v>14804</v>
      </c>
      <c r="C2298" s="372" t="s">
        <v>14805</v>
      </c>
      <c r="D2298" s="374">
        <v>2043110000419</v>
      </c>
      <c r="E2298" s="372" t="s">
        <v>14806</v>
      </c>
      <c r="F2298" s="372" t="s">
        <v>1285</v>
      </c>
      <c r="G2298" s="375" t="s">
        <v>1285</v>
      </c>
      <c r="H2298" s="375" t="s">
        <v>868</v>
      </c>
      <c r="I2298" s="375" t="s">
        <v>869</v>
      </c>
      <c r="J2298" s="375">
        <v>6653.5052500000002</v>
      </c>
      <c r="K2298" s="375">
        <v>-4108.1068699999996</v>
      </c>
      <c r="L2298" s="375">
        <v>319.9178</v>
      </c>
      <c r="M2298" s="375">
        <v>14437.29191</v>
      </c>
      <c r="N2298" s="372" t="s">
        <v>1033</v>
      </c>
      <c r="O2298" s="703">
        <v>1.3980512506008644</v>
      </c>
      <c r="P2298" s="562" t="s">
        <v>16142</v>
      </c>
      <c r="Q2298" s="372" t="s">
        <v>16145</v>
      </c>
      <c r="R2298" s="695">
        <v>20011120</v>
      </c>
      <c r="S2298" s="372" t="s">
        <v>14807</v>
      </c>
      <c r="T2298" s="696">
        <v>0.20900000000000002</v>
      </c>
      <c r="U2298" s="372" t="s">
        <v>16121</v>
      </c>
      <c r="V2298" s="722" t="s">
        <v>774</v>
      </c>
      <c r="W2298" s="722">
        <v>2.35</v>
      </c>
      <c r="X2298" s="722">
        <v>4.57</v>
      </c>
      <c r="Y2298" s="722" t="s">
        <v>774</v>
      </c>
      <c r="Z2298" s="382" t="s">
        <v>934</v>
      </c>
      <c r="AA2298" s="372">
        <v>117.9723968</v>
      </c>
      <c r="AB2298" s="372">
        <v>61.009927400000002</v>
      </c>
      <c r="AC2298" s="372">
        <v>59.931095900000003</v>
      </c>
      <c r="AD2298" s="372">
        <v>66.535052500000006</v>
      </c>
      <c r="AE2298" s="372">
        <v>0</v>
      </c>
      <c r="AF2298" s="372">
        <v>0</v>
      </c>
      <c r="AG2298" s="372">
        <v>0</v>
      </c>
      <c r="AH2298" s="372">
        <v>0</v>
      </c>
    </row>
    <row r="2299" spans="1:34">
      <c r="A2299" s="372" t="s">
        <v>14808</v>
      </c>
      <c r="B2299" s="372" t="s">
        <v>14809</v>
      </c>
      <c r="C2299" s="372" t="s">
        <v>14810</v>
      </c>
      <c r="D2299" s="374">
        <v>1101116902393</v>
      </c>
      <c r="E2299" s="372" t="s">
        <v>14811</v>
      </c>
      <c r="F2299" s="372" t="s">
        <v>887</v>
      </c>
      <c r="G2299" s="375" t="s">
        <v>887</v>
      </c>
      <c r="H2299" s="375" t="s">
        <v>868</v>
      </c>
      <c r="I2299" s="375" t="s">
        <v>869</v>
      </c>
      <c r="J2299" s="375">
        <v>122419.66293000001</v>
      </c>
      <c r="K2299" s="375">
        <v>9142.7821899999999</v>
      </c>
      <c r="L2299" s="375">
        <v>5222.1443200000003</v>
      </c>
      <c r="M2299" s="375">
        <v>50986.826390000002</v>
      </c>
      <c r="N2299" s="372">
        <v>0.77800000000000002</v>
      </c>
      <c r="O2299" s="703">
        <v>83.707578410535106</v>
      </c>
      <c r="P2299" s="562" t="s">
        <v>623</v>
      </c>
      <c r="Q2299" s="372" t="s">
        <v>623</v>
      </c>
      <c r="R2299" s="695">
        <v>20181220</v>
      </c>
      <c r="S2299" s="372" t="s">
        <v>14812</v>
      </c>
      <c r="T2299" s="696">
        <v>0.20900000000000002</v>
      </c>
      <c r="U2299" s="372" t="s">
        <v>14813</v>
      </c>
      <c r="V2299" s="722">
        <v>3.64</v>
      </c>
      <c r="W2299" s="722">
        <v>0.7</v>
      </c>
      <c r="X2299" s="722">
        <v>0.28999999999999998</v>
      </c>
      <c r="Y2299" s="722">
        <v>8.0500000000000007</v>
      </c>
      <c r="Z2299" s="382" t="s">
        <v>934</v>
      </c>
      <c r="AA2299" s="372">
        <v>780.24949449999997</v>
      </c>
      <c r="AB2299" s="372">
        <v>872.68255839999995</v>
      </c>
      <c r="AC2299" s="372">
        <v>1206.5261774000001</v>
      </c>
      <c r="AD2299" s="372">
        <v>1224.1966293</v>
      </c>
      <c r="AE2299" s="372">
        <v>0</v>
      </c>
      <c r="AF2299" s="372">
        <v>0</v>
      </c>
      <c r="AG2299" s="372">
        <v>0</v>
      </c>
      <c r="AH2299" s="372">
        <v>0</v>
      </c>
    </row>
    <row r="2300" spans="1:34">
      <c r="A2300" s="372" t="s">
        <v>14814</v>
      </c>
      <c r="B2300" s="372" t="s">
        <v>14815</v>
      </c>
      <c r="C2300" s="372" t="s">
        <v>14816</v>
      </c>
      <c r="D2300" s="374">
        <v>1101111487267</v>
      </c>
      <c r="E2300" s="372" t="s">
        <v>14817</v>
      </c>
      <c r="F2300" s="372" t="s">
        <v>1381</v>
      </c>
      <c r="G2300" s="375" t="s">
        <v>1381</v>
      </c>
      <c r="H2300" s="375" t="s">
        <v>1693</v>
      </c>
      <c r="I2300" s="375" t="s">
        <v>869</v>
      </c>
      <c r="J2300" s="375">
        <v>43394.81018</v>
      </c>
      <c r="K2300" s="375">
        <v>-6836.1369599999998</v>
      </c>
      <c r="L2300" s="375">
        <v>-7954.1469299999999</v>
      </c>
      <c r="M2300" s="375">
        <v>37600.775029999997</v>
      </c>
      <c r="N2300" s="372">
        <v>0.875</v>
      </c>
      <c r="O2300" s="703">
        <v>78.390623608860807</v>
      </c>
      <c r="P2300" s="562" t="s">
        <v>16142</v>
      </c>
      <c r="Q2300" s="372" t="s">
        <v>623</v>
      </c>
      <c r="R2300" s="695">
        <v>20011009</v>
      </c>
      <c r="S2300" s="372" t="s">
        <v>14818</v>
      </c>
      <c r="T2300" s="696" t="s">
        <v>772</v>
      </c>
      <c r="U2300" s="372" t="s">
        <v>14819</v>
      </c>
      <c r="V2300" s="722">
        <v>0</v>
      </c>
      <c r="W2300" s="722">
        <v>0.92</v>
      </c>
      <c r="X2300" s="722">
        <v>0</v>
      </c>
      <c r="Y2300" s="722">
        <v>0</v>
      </c>
      <c r="Z2300" s="382" t="s">
        <v>934</v>
      </c>
      <c r="AA2300" s="372">
        <v>780.09757649999995</v>
      </c>
      <c r="AB2300" s="372">
        <v>571.13767640000003</v>
      </c>
      <c r="AC2300" s="372">
        <v>549.59963619999996</v>
      </c>
      <c r="AD2300" s="372">
        <v>433.94810180000002</v>
      </c>
      <c r="AE2300" s="372">
        <v>0</v>
      </c>
      <c r="AF2300" s="372">
        <v>0</v>
      </c>
      <c r="AG2300" s="372">
        <v>0</v>
      </c>
      <c r="AH2300" s="372">
        <v>0</v>
      </c>
    </row>
    <row r="2301" spans="1:34">
      <c r="A2301" s="372" t="s">
        <v>14820</v>
      </c>
      <c r="B2301" s="372" t="s">
        <v>14821</v>
      </c>
      <c r="C2301" s="372" t="s">
        <v>14822</v>
      </c>
      <c r="D2301" s="374">
        <v>1101113197088</v>
      </c>
      <c r="E2301" s="372" t="s">
        <v>14823</v>
      </c>
      <c r="F2301" s="372" t="s">
        <v>14824</v>
      </c>
      <c r="G2301" s="375" t="s">
        <v>14824</v>
      </c>
      <c r="H2301" s="375" t="s">
        <v>868</v>
      </c>
      <c r="I2301" s="375" t="s">
        <v>869</v>
      </c>
      <c r="J2301" s="375">
        <v>37224.393559999997</v>
      </c>
      <c r="K2301" s="375">
        <v>-11622.553180000001</v>
      </c>
      <c r="L2301" s="375">
        <v>-13733.15163</v>
      </c>
      <c r="M2301" s="375">
        <v>37991.243439999998</v>
      </c>
      <c r="N2301" s="372">
        <v>0.56299999999999994</v>
      </c>
      <c r="O2301" s="703">
        <v>117.04484236418526</v>
      </c>
      <c r="P2301" s="562" t="s">
        <v>623</v>
      </c>
      <c r="Q2301" s="372" t="s">
        <v>623</v>
      </c>
      <c r="R2301" s="695">
        <v>20220224</v>
      </c>
      <c r="S2301" s="372" t="s">
        <v>14825</v>
      </c>
      <c r="T2301" s="696" t="s">
        <v>772</v>
      </c>
      <c r="U2301" s="372" t="s">
        <v>14826</v>
      </c>
      <c r="V2301" s="722" t="s">
        <v>774</v>
      </c>
      <c r="W2301" s="722">
        <v>0.81</v>
      </c>
      <c r="X2301" s="722">
        <v>0.84</v>
      </c>
      <c r="Y2301" s="722" t="s">
        <v>774</v>
      </c>
      <c r="Z2301" s="382" t="s">
        <v>934</v>
      </c>
      <c r="AA2301" s="372">
        <v>407.48436040000001</v>
      </c>
      <c r="AB2301" s="372">
        <v>536.70328589999997</v>
      </c>
      <c r="AC2301" s="372">
        <v>543.43550630000004</v>
      </c>
      <c r="AD2301" s="372">
        <v>372.24393559999999</v>
      </c>
      <c r="AE2301" s="372">
        <v>985</v>
      </c>
      <c r="AF2301" s="372">
        <v>0</v>
      </c>
      <c r="AG2301" s="372">
        <v>0</v>
      </c>
      <c r="AH2301" s="372">
        <v>0</v>
      </c>
    </row>
    <row r="2302" spans="1:34">
      <c r="A2302" s="372" t="s">
        <v>14827</v>
      </c>
      <c r="B2302" s="372" t="s">
        <v>14828</v>
      </c>
      <c r="C2302" s="372" t="s">
        <v>14829</v>
      </c>
      <c r="D2302" s="374">
        <v>1601110031099</v>
      </c>
      <c r="E2302" s="372" t="s">
        <v>14830</v>
      </c>
      <c r="F2302" s="372" t="s">
        <v>2888</v>
      </c>
      <c r="G2302" s="375" t="s">
        <v>12667</v>
      </c>
      <c r="H2302" s="375" t="s">
        <v>868</v>
      </c>
      <c r="I2302" s="375" t="s">
        <v>869</v>
      </c>
      <c r="J2302" s="375">
        <v>29481.472709999998</v>
      </c>
      <c r="K2302" s="375">
        <v>1442.76352</v>
      </c>
      <c r="L2302" s="375">
        <v>1717.4947400000001</v>
      </c>
      <c r="M2302" s="375">
        <v>37741.699760000003</v>
      </c>
      <c r="N2302" s="372">
        <v>1.034</v>
      </c>
      <c r="O2302" s="703">
        <v>1.2579994517266051</v>
      </c>
      <c r="P2302" s="562" t="s">
        <v>623</v>
      </c>
      <c r="Q2302" s="372" t="s">
        <v>623</v>
      </c>
      <c r="R2302" s="695">
        <v>20020111</v>
      </c>
      <c r="S2302" s="372" t="s">
        <v>14831</v>
      </c>
      <c r="T2302" s="696">
        <v>0.20900000000000002</v>
      </c>
      <c r="U2302" s="372" t="s">
        <v>14832</v>
      </c>
      <c r="V2302" s="722">
        <v>18.34</v>
      </c>
      <c r="W2302" s="722">
        <v>0.86</v>
      </c>
      <c r="X2302" s="722">
        <v>1.21</v>
      </c>
      <c r="Y2302" s="722">
        <v>25.28</v>
      </c>
      <c r="Z2302" s="382" t="s">
        <v>934</v>
      </c>
      <c r="AA2302" s="372">
        <v>252.40245630000001</v>
      </c>
      <c r="AB2302" s="372">
        <v>295.64006699999999</v>
      </c>
      <c r="AC2302" s="372">
        <v>302.27839369999998</v>
      </c>
      <c r="AD2302" s="372">
        <v>294.81472710000003</v>
      </c>
      <c r="AE2302" s="372">
        <v>0</v>
      </c>
      <c r="AF2302" s="372">
        <v>0</v>
      </c>
      <c r="AG2302" s="372">
        <v>0</v>
      </c>
      <c r="AH2302" s="372">
        <v>0</v>
      </c>
    </row>
    <row r="2303" spans="1:34">
      <c r="A2303" s="372" t="s">
        <v>14833</v>
      </c>
      <c r="B2303" s="372" t="s">
        <v>14834</v>
      </c>
      <c r="C2303" s="372" t="s">
        <v>14835</v>
      </c>
      <c r="D2303" s="374">
        <v>1801110145953</v>
      </c>
      <c r="E2303" s="372" t="s">
        <v>14836</v>
      </c>
      <c r="F2303" s="372" t="s">
        <v>14837</v>
      </c>
      <c r="G2303" s="375" t="s">
        <v>14838</v>
      </c>
      <c r="H2303" s="375" t="s">
        <v>868</v>
      </c>
      <c r="I2303" s="375" t="s">
        <v>869</v>
      </c>
      <c r="J2303" s="375">
        <v>37089.482389999997</v>
      </c>
      <c r="K2303" s="375">
        <v>-75.126220000000004</v>
      </c>
      <c r="L2303" s="375">
        <v>-2171.9760200000001</v>
      </c>
      <c r="M2303" s="375">
        <v>108367.55016</v>
      </c>
      <c r="N2303" s="372">
        <v>1.0620000000000001</v>
      </c>
      <c r="O2303" s="703">
        <v>37.448800564265774</v>
      </c>
      <c r="P2303" s="562" t="s">
        <v>623</v>
      </c>
      <c r="Q2303" s="372" t="s">
        <v>623</v>
      </c>
      <c r="R2303" s="695">
        <v>20001024</v>
      </c>
      <c r="S2303" s="372" t="s">
        <v>14839</v>
      </c>
      <c r="T2303" s="696" t="s">
        <v>772</v>
      </c>
      <c r="U2303" s="372" t="s">
        <v>14840</v>
      </c>
      <c r="V2303" s="722">
        <v>0</v>
      </c>
      <c r="W2303" s="722">
        <v>0.33</v>
      </c>
      <c r="X2303" s="722">
        <v>0</v>
      </c>
      <c r="Y2303" s="722">
        <v>0</v>
      </c>
      <c r="Z2303" s="382" t="s">
        <v>934</v>
      </c>
      <c r="AA2303" s="372">
        <v>360.46351049999998</v>
      </c>
      <c r="AB2303" s="372">
        <v>363.53883389999999</v>
      </c>
      <c r="AC2303" s="372">
        <v>454.7379775</v>
      </c>
      <c r="AD2303" s="372">
        <v>370.89482390000001</v>
      </c>
      <c r="AE2303" s="372">
        <v>0</v>
      </c>
      <c r="AF2303" s="372">
        <v>0</v>
      </c>
      <c r="AG2303" s="372">
        <v>0</v>
      </c>
      <c r="AH2303" s="372">
        <v>0</v>
      </c>
    </row>
    <row r="2304" spans="1:34">
      <c r="A2304" s="372" t="s">
        <v>14841</v>
      </c>
      <c r="B2304" s="372" t="s">
        <v>14842</v>
      </c>
      <c r="C2304" s="372" t="s">
        <v>14843</v>
      </c>
      <c r="D2304" s="374">
        <v>1101110522311</v>
      </c>
      <c r="E2304" s="372" t="s">
        <v>14844</v>
      </c>
      <c r="F2304" s="372" t="s">
        <v>2305</v>
      </c>
      <c r="G2304" s="375" t="s">
        <v>5144</v>
      </c>
      <c r="H2304" s="375" t="s">
        <v>868</v>
      </c>
      <c r="I2304" s="375" t="s">
        <v>869</v>
      </c>
      <c r="J2304" s="375">
        <v>62987.939890000001</v>
      </c>
      <c r="K2304" s="375">
        <v>1868.7582500000001</v>
      </c>
      <c r="L2304" s="375">
        <v>2334.4505199999999</v>
      </c>
      <c r="M2304" s="375">
        <v>44450.659549999997</v>
      </c>
      <c r="N2304" s="372">
        <v>0.82699999999999996</v>
      </c>
      <c r="O2304" s="703">
        <v>16.301698387536337</v>
      </c>
      <c r="P2304" s="562" t="s">
        <v>623</v>
      </c>
      <c r="Q2304" s="372" t="s">
        <v>623</v>
      </c>
      <c r="R2304" s="695">
        <v>20001010</v>
      </c>
      <c r="S2304" s="372" t="s">
        <v>14845</v>
      </c>
      <c r="T2304" s="696">
        <v>0.20900000000000002</v>
      </c>
      <c r="U2304" s="372" t="s">
        <v>14846</v>
      </c>
      <c r="V2304" s="722">
        <v>4.8099999999999996</v>
      </c>
      <c r="W2304" s="722">
        <v>0.79</v>
      </c>
      <c r="X2304" s="722">
        <v>0.56000000000000005</v>
      </c>
      <c r="Y2304" s="722">
        <v>20.52</v>
      </c>
      <c r="Z2304" s="382" t="s">
        <v>934</v>
      </c>
      <c r="AA2304" s="372">
        <v>616.10800419999998</v>
      </c>
      <c r="AB2304" s="372">
        <v>645.66020100000003</v>
      </c>
      <c r="AC2304" s="372">
        <v>652.00996339999995</v>
      </c>
      <c r="AD2304" s="372">
        <v>629.87939889999996</v>
      </c>
      <c r="AE2304" s="372">
        <v>0</v>
      </c>
      <c r="AF2304" s="372">
        <v>0</v>
      </c>
      <c r="AG2304" s="372">
        <v>0</v>
      </c>
      <c r="AH2304" s="372">
        <v>0</v>
      </c>
    </row>
    <row r="2305" spans="1:34">
      <c r="A2305" s="372" t="s">
        <v>14847</v>
      </c>
      <c r="B2305" s="372" t="s">
        <v>14848</v>
      </c>
      <c r="C2305" s="372" t="s">
        <v>14849</v>
      </c>
      <c r="D2305" s="374">
        <v>1101110922214</v>
      </c>
      <c r="E2305" s="372" t="s">
        <v>14850</v>
      </c>
      <c r="F2305" s="372" t="s">
        <v>1368</v>
      </c>
      <c r="G2305" s="375" t="s">
        <v>1368</v>
      </c>
      <c r="H2305" s="375" t="s">
        <v>868</v>
      </c>
      <c r="I2305" s="375" t="s">
        <v>869</v>
      </c>
      <c r="J2305" s="375">
        <v>74566.785310000007</v>
      </c>
      <c r="K2305" s="375">
        <v>4445.2907299999997</v>
      </c>
      <c r="L2305" s="375">
        <v>3351.8914199999999</v>
      </c>
      <c r="M2305" s="375">
        <v>51199.542600000001</v>
      </c>
      <c r="N2305" s="372">
        <v>0.91100000000000003</v>
      </c>
      <c r="O2305" s="703">
        <v>27.547353003364488</v>
      </c>
      <c r="P2305" s="562" t="s">
        <v>623</v>
      </c>
      <c r="Q2305" s="372" t="s">
        <v>623</v>
      </c>
      <c r="R2305" s="695">
        <v>19970818</v>
      </c>
      <c r="S2305" s="372" t="s">
        <v>14851</v>
      </c>
      <c r="T2305" s="696">
        <v>0.20900000000000002</v>
      </c>
      <c r="U2305" s="372" t="s">
        <v>14852</v>
      </c>
      <c r="V2305" s="722">
        <v>4.55</v>
      </c>
      <c r="W2305" s="722">
        <v>0.7</v>
      </c>
      <c r="X2305" s="722">
        <v>0.5</v>
      </c>
      <c r="Y2305" s="722">
        <v>15.28</v>
      </c>
      <c r="Z2305" s="382" t="s">
        <v>934</v>
      </c>
      <c r="AA2305" s="372">
        <v>564.40310099999999</v>
      </c>
      <c r="AB2305" s="372">
        <v>484.0635906</v>
      </c>
      <c r="AC2305" s="372">
        <v>649.25485179999998</v>
      </c>
      <c r="AD2305" s="372">
        <v>745.6678531</v>
      </c>
      <c r="AE2305" s="372">
        <v>0</v>
      </c>
      <c r="AF2305" s="372">
        <v>0</v>
      </c>
      <c r="AG2305" s="372">
        <v>0</v>
      </c>
      <c r="AH2305" s="372">
        <v>0</v>
      </c>
    </row>
    <row r="2306" spans="1:34">
      <c r="A2306" s="372" t="s">
        <v>14853</v>
      </c>
      <c r="B2306" s="372" t="s">
        <v>14854</v>
      </c>
      <c r="C2306" s="372" t="s">
        <v>14855</v>
      </c>
      <c r="D2306" s="374">
        <v>1101114969189</v>
      </c>
      <c r="E2306" s="372" t="s">
        <v>14856</v>
      </c>
      <c r="F2306" s="372" t="s">
        <v>1814</v>
      </c>
      <c r="G2306" s="375" t="s">
        <v>1815</v>
      </c>
      <c r="H2306" s="375" t="s">
        <v>1693</v>
      </c>
      <c r="I2306" s="375" t="s">
        <v>869</v>
      </c>
      <c r="J2306" s="375">
        <v>3325.3440799999998</v>
      </c>
      <c r="K2306" s="375">
        <v>-9591.7515199999998</v>
      </c>
      <c r="L2306" s="375">
        <v>-11264.10462</v>
      </c>
      <c r="M2306" s="375">
        <v>8975.3546000000006</v>
      </c>
      <c r="N2306" s="372">
        <v>1.08</v>
      </c>
      <c r="O2306" s="703">
        <v>15.771397694806733</v>
      </c>
      <c r="P2306" s="562" t="s">
        <v>623</v>
      </c>
      <c r="Q2306" s="372" t="s">
        <v>623</v>
      </c>
      <c r="R2306" s="695">
        <v>20210323</v>
      </c>
      <c r="S2306" s="372" t="s">
        <v>14857</v>
      </c>
      <c r="T2306" s="696" t="s">
        <v>772</v>
      </c>
      <c r="U2306" s="372" t="s">
        <v>14858</v>
      </c>
      <c r="V2306" s="722" t="s">
        <v>774</v>
      </c>
      <c r="W2306" s="722">
        <v>3.95</v>
      </c>
      <c r="X2306" s="722">
        <v>7.66</v>
      </c>
      <c r="Y2306" s="722" t="s">
        <v>774</v>
      </c>
      <c r="Z2306" s="382" t="s">
        <v>934</v>
      </c>
      <c r="AA2306" s="372">
        <v>26.654291799999999</v>
      </c>
      <c r="AB2306" s="372">
        <v>46.3437318</v>
      </c>
      <c r="AC2306" s="372">
        <v>28.189198300000001</v>
      </c>
      <c r="AD2306" s="372">
        <v>33.2534408</v>
      </c>
      <c r="AE2306" s="372">
        <v>0</v>
      </c>
      <c r="AF2306" s="372">
        <v>0</v>
      </c>
      <c r="AG2306" s="372">
        <v>0</v>
      </c>
      <c r="AH2306" s="372">
        <v>0</v>
      </c>
    </row>
    <row r="2307" spans="1:34">
      <c r="A2307" s="372" t="s">
        <v>14859</v>
      </c>
      <c r="B2307" s="372" t="s">
        <v>14860</v>
      </c>
      <c r="C2307" s="372" t="s">
        <v>14861</v>
      </c>
      <c r="D2307" s="374">
        <v>1243110006042</v>
      </c>
      <c r="E2307" s="372" t="s">
        <v>14862</v>
      </c>
      <c r="F2307" s="372" t="s">
        <v>3273</v>
      </c>
      <c r="G2307" s="375" t="s">
        <v>14863</v>
      </c>
      <c r="H2307" s="375" t="s">
        <v>823</v>
      </c>
      <c r="I2307" s="375" t="s">
        <v>755</v>
      </c>
      <c r="J2307" s="375">
        <v>13270.58014</v>
      </c>
      <c r="K2307" s="375">
        <v>-1661.1407899999999</v>
      </c>
      <c r="L2307" s="375">
        <v>-2997.9536899999998</v>
      </c>
      <c r="M2307" s="375">
        <v>42382.566769999998</v>
      </c>
      <c r="N2307" s="372">
        <v>0.998</v>
      </c>
      <c r="O2307" s="703">
        <v>82.770003379151547</v>
      </c>
      <c r="P2307" s="562" t="s">
        <v>623</v>
      </c>
      <c r="Q2307" s="372" t="s">
        <v>623</v>
      </c>
      <c r="R2307" s="695">
        <v>19881223</v>
      </c>
      <c r="S2307" s="372" t="s">
        <v>14864</v>
      </c>
      <c r="T2307" s="696" t="s">
        <v>772</v>
      </c>
      <c r="U2307" s="372" t="s">
        <v>14865</v>
      </c>
      <c r="V2307" s="722">
        <v>0</v>
      </c>
      <c r="W2307" s="722">
        <v>0.71</v>
      </c>
      <c r="X2307" s="722">
        <v>0</v>
      </c>
      <c r="Y2307" s="722">
        <v>0</v>
      </c>
      <c r="Z2307" s="382" t="s">
        <v>934</v>
      </c>
      <c r="AA2307" s="372">
        <v>58.924977300000002</v>
      </c>
      <c r="AB2307" s="372">
        <v>70.606494100000006</v>
      </c>
      <c r="AC2307" s="372">
        <v>76.267320400000003</v>
      </c>
      <c r="AD2307" s="372">
        <v>132.70580140000001</v>
      </c>
      <c r="AE2307" s="372">
        <v>0</v>
      </c>
      <c r="AF2307" s="372">
        <v>0</v>
      </c>
      <c r="AG2307" s="372">
        <v>0</v>
      </c>
      <c r="AH2307" s="372">
        <v>0</v>
      </c>
    </row>
    <row r="2308" spans="1:34">
      <c r="A2308" s="372" t="s">
        <v>14866</v>
      </c>
      <c r="B2308" s="372" t="s">
        <v>14867</v>
      </c>
      <c r="C2308" s="372" t="s">
        <v>14868</v>
      </c>
      <c r="D2308" s="374">
        <v>1101111643736</v>
      </c>
      <c r="E2308" s="372" t="s">
        <v>14869</v>
      </c>
      <c r="F2308" s="372" t="s">
        <v>1814</v>
      </c>
      <c r="G2308" s="375" t="s">
        <v>1815</v>
      </c>
      <c r="H2308" s="375" t="s">
        <v>1693</v>
      </c>
      <c r="I2308" s="375" t="s">
        <v>869</v>
      </c>
      <c r="J2308" s="375">
        <v>6229.89</v>
      </c>
      <c r="K2308" s="375">
        <v>-6275.7646000000004</v>
      </c>
      <c r="L2308" s="375">
        <v>-26424.656459999998</v>
      </c>
      <c r="M2308" s="375">
        <v>20592.540430000001</v>
      </c>
      <c r="N2308" s="372">
        <v>1.383</v>
      </c>
      <c r="O2308" s="703">
        <v>77.222448130698723</v>
      </c>
      <c r="P2308" s="562" t="s">
        <v>623</v>
      </c>
      <c r="Q2308" s="372" t="s">
        <v>623</v>
      </c>
      <c r="R2308" s="695">
        <v>20131206</v>
      </c>
      <c r="S2308" s="372" t="s">
        <v>14870</v>
      </c>
      <c r="T2308" s="696" t="s">
        <v>772</v>
      </c>
      <c r="U2308" s="372" t="s">
        <v>14871</v>
      </c>
      <c r="V2308" s="722" t="s">
        <v>774</v>
      </c>
      <c r="W2308" s="722">
        <v>1.28</v>
      </c>
      <c r="X2308" s="722">
        <v>5.35</v>
      </c>
      <c r="Y2308" s="722" t="s">
        <v>774</v>
      </c>
      <c r="Z2308" s="382" t="s">
        <v>934</v>
      </c>
      <c r="AA2308" s="372">
        <v>441.0097141</v>
      </c>
      <c r="AB2308" s="372">
        <v>362.53604569999999</v>
      </c>
      <c r="AC2308" s="372">
        <v>72.446849999999998</v>
      </c>
      <c r="AD2308" s="372">
        <v>62.298900000000003</v>
      </c>
      <c r="AE2308" s="372">
        <v>0</v>
      </c>
      <c r="AF2308" s="372">
        <v>0</v>
      </c>
      <c r="AG2308" s="372">
        <v>0</v>
      </c>
      <c r="AH2308" s="372">
        <v>0</v>
      </c>
    </row>
    <row r="2309" spans="1:34">
      <c r="A2309" s="372" t="s">
        <v>14872</v>
      </c>
      <c r="B2309" s="372" t="s">
        <v>14873</v>
      </c>
      <c r="C2309" s="372" t="s">
        <v>14874</v>
      </c>
      <c r="D2309" s="374">
        <v>1101115551646</v>
      </c>
      <c r="E2309" s="372" t="s">
        <v>14875</v>
      </c>
      <c r="F2309" s="372" t="s">
        <v>2055</v>
      </c>
      <c r="G2309" s="375" t="s">
        <v>14876</v>
      </c>
      <c r="H2309" s="375" t="s">
        <v>1547</v>
      </c>
      <c r="I2309" s="375" t="s">
        <v>869</v>
      </c>
      <c r="J2309" s="375">
        <v>8483.5108899999996</v>
      </c>
      <c r="K2309" s="375">
        <v>-3677.5871000000002</v>
      </c>
      <c r="L2309" s="375">
        <v>-5785.3785699999999</v>
      </c>
      <c r="M2309" s="375">
        <v>5798.0473300000003</v>
      </c>
      <c r="N2309" s="372">
        <v>1.222</v>
      </c>
      <c r="O2309" s="703">
        <v>14.334620075225729</v>
      </c>
      <c r="P2309" s="562" t="s">
        <v>623</v>
      </c>
      <c r="Q2309" s="372" t="s">
        <v>623</v>
      </c>
      <c r="R2309" s="695">
        <v>20191029</v>
      </c>
      <c r="S2309" s="372" t="s">
        <v>14877</v>
      </c>
      <c r="T2309" s="696" t="s">
        <v>772</v>
      </c>
      <c r="U2309" s="372" t="s">
        <v>14878</v>
      </c>
      <c r="V2309" s="722" t="s">
        <v>774</v>
      </c>
      <c r="W2309" s="722">
        <v>5.4</v>
      </c>
      <c r="X2309" s="722">
        <v>4.22</v>
      </c>
      <c r="Y2309" s="722" t="s">
        <v>774</v>
      </c>
      <c r="Z2309" s="382" t="s">
        <v>934</v>
      </c>
      <c r="AA2309" s="372">
        <v>62.351933699999996</v>
      </c>
      <c r="AB2309" s="372">
        <v>66.860995900000006</v>
      </c>
      <c r="AC2309" s="372">
        <v>100.88032990000001</v>
      </c>
      <c r="AD2309" s="372">
        <v>84.835108899999994</v>
      </c>
      <c r="AE2309" s="372">
        <v>0</v>
      </c>
      <c r="AF2309" s="372">
        <v>0</v>
      </c>
      <c r="AG2309" s="372">
        <v>0</v>
      </c>
      <c r="AH2309" s="372">
        <v>0</v>
      </c>
    </row>
    <row r="2310" spans="1:34">
      <c r="A2310" s="372" t="s">
        <v>14879</v>
      </c>
      <c r="B2310" s="372" t="s">
        <v>14880</v>
      </c>
      <c r="C2310" s="372" t="s">
        <v>14881</v>
      </c>
      <c r="D2310" s="374">
        <v>1101110100951</v>
      </c>
      <c r="E2310" s="372" t="s">
        <v>14882</v>
      </c>
      <c r="F2310" s="372" t="s">
        <v>5824</v>
      </c>
      <c r="G2310" s="375" t="s">
        <v>5824</v>
      </c>
      <c r="H2310" s="375" t="s">
        <v>823</v>
      </c>
      <c r="I2310" s="375" t="s">
        <v>755</v>
      </c>
      <c r="J2310" s="375">
        <v>13025.58698</v>
      </c>
      <c r="K2310" s="375">
        <v>3232.5563400000001</v>
      </c>
      <c r="L2310" s="375">
        <v>-8409.0282800000004</v>
      </c>
      <c r="M2310" s="375">
        <v>58141.399069999999</v>
      </c>
      <c r="N2310" s="372">
        <v>0.98299999999999998</v>
      </c>
      <c r="O2310" s="703">
        <v>68.690409838871574</v>
      </c>
      <c r="P2310" s="562" t="s">
        <v>623</v>
      </c>
      <c r="Q2310" s="372" t="s">
        <v>623</v>
      </c>
      <c r="R2310" s="695">
        <v>19991126</v>
      </c>
      <c r="S2310" s="372" t="s">
        <v>14883</v>
      </c>
      <c r="T2310" s="696" t="s">
        <v>772</v>
      </c>
      <c r="U2310" s="372" t="s">
        <v>14884</v>
      </c>
      <c r="V2310" s="722">
        <v>0</v>
      </c>
      <c r="W2310" s="722">
        <v>0.63</v>
      </c>
      <c r="X2310" s="722">
        <v>0</v>
      </c>
      <c r="Y2310" s="722">
        <v>0</v>
      </c>
      <c r="Z2310" s="382" t="s">
        <v>934</v>
      </c>
      <c r="AA2310" s="372">
        <v>57.707664399999999</v>
      </c>
      <c r="AB2310" s="372">
        <v>78.0792158</v>
      </c>
      <c r="AC2310" s="372">
        <v>128.28359259999999</v>
      </c>
      <c r="AD2310" s="372">
        <v>130.2558698</v>
      </c>
      <c r="AE2310" s="372">
        <v>0</v>
      </c>
      <c r="AF2310" s="372">
        <v>0</v>
      </c>
      <c r="AG2310" s="372">
        <v>0</v>
      </c>
      <c r="AH2310" s="372">
        <v>0</v>
      </c>
    </row>
    <row r="2311" spans="1:34">
      <c r="A2311" s="372" t="s">
        <v>14885</v>
      </c>
      <c r="B2311" s="372" t="s">
        <v>14886</v>
      </c>
      <c r="C2311" s="372" t="s">
        <v>14887</v>
      </c>
      <c r="D2311" s="374">
        <v>1412110004279</v>
      </c>
      <c r="E2311" s="372" t="s">
        <v>14888</v>
      </c>
      <c r="F2311" s="372" t="s">
        <v>2888</v>
      </c>
      <c r="G2311" s="375" t="s">
        <v>12667</v>
      </c>
      <c r="H2311" s="375" t="s">
        <v>868</v>
      </c>
      <c r="I2311" s="375" t="s">
        <v>869</v>
      </c>
      <c r="J2311" s="375">
        <v>48892.913829999998</v>
      </c>
      <c r="K2311" s="375">
        <v>-703.53147000000001</v>
      </c>
      <c r="L2311" s="375">
        <v>-2922.1796899999999</v>
      </c>
      <c r="M2311" s="375">
        <v>13146.361290000001</v>
      </c>
      <c r="N2311" s="372">
        <v>0.99299999999999999</v>
      </c>
      <c r="O2311" s="703">
        <v>82.011692757393575</v>
      </c>
      <c r="P2311" s="562" t="s">
        <v>623</v>
      </c>
      <c r="Q2311" s="372" t="s">
        <v>623</v>
      </c>
      <c r="R2311" s="695">
        <v>20020201</v>
      </c>
      <c r="S2311" s="372" t="s">
        <v>14889</v>
      </c>
      <c r="T2311" s="696" t="s">
        <v>772</v>
      </c>
      <c r="U2311" s="372" t="s">
        <v>14890</v>
      </c>
      <c r="V2311" s="722">
        <v>39.79</v>
      </c>
      <c r="W2311" s="722">
        <v>2.42</v>
      </c>
      <c r="X2311" s="722">
        <v>0.7</v>
      </c>
      <c r="Y2311" s="722" t="s">
        <v>774</v>
      </c>
      <c r="Z2311" s="382" t="s">
        <v>934</v>
      </c>
      <c r="AA2311" s="372">
        <v>425.5178904</v>
      </c>
      <c r="AB2311" s="372">
        <v>469.7062009</v>
      </c>
      <c r="AC2311" s="372">
        <v>459.83827239999999</v>
      </c>
      <c r="AD2311" s="372">
        <v>488.92913829999998</v>
      </c>
      <c r="AE2311" s="372">
        <v>0</v>
      </c>
      <c r="AF2311" s="372">
        <v>0</v>
      </c>
      <c r="AG2311" s="372">
        <v>0</v>
      </c>
      <c r="AH2311" s="372">
        <v>0</v>
      </c>
    </row>
    <row r="2312" spans="1:34">
      <c r="A2312" s="372" t="s">
        <v>14891</v>
      </c>
      <c r="B2312" s="372" t="s">
        <v>14892</v>
      </c>
      <c r="C2312" s="372" t="s">
        <v>14893</v>
      </c>
      <c r="D2312" s="374">
        <v>1243110017841</v>
      </c>
      <c r="E2312" s="372" t="s">
        <v>14894</v>
      </c>
      <c r="F2312" s="372" t="s">
        <v>5680</v>
      </c>
      <c r="G2312" s="375" t="s">
        <v>5680</v>
      </c>
      <c r="H2312" s="375" t="s">
        <v>754</v>
      </c>
      <c r="I2312" s="375" t="s">
        <v>755</v>
      </c>
      <c r="J2312" s="375">
        <v>5504.4825799999999</v>
      </c>
      <c r="K2312" s="375">
        <v>-6550.5337099999997</v>
      </c>
      <c r="L2312" s="375">
        <v>-7245.4192599999997</v>
      </c>
      <c r="M2312" s="375">
        <v>7069.5048900000002</v>
      </c>
      <c r="N2312" s="372" t="s">
        <v>1033</v>
      </c>
      <c r="O2312" s="703">
        <v>39.626678946196982</v>
      </c>
      <c r="P2312" s="562" t="s">
        <v>623</v>
      </c>
      <c r="Q2312" s="372" t="s">
        <v>623</v>
      </c>
      <c r="R2312" s="695">
        <v>19981104</v>
      </c>
      <c r="S2312" s="372" t="s">
        <v>14895</v>
      </c>
      <c r="T2312" s="696" t="s">
        <v>772</v>
      </c>
      <c r="U2312" s="372" t="s">
        <v>14896</v>
      </c>
      <c r="V2312" s="722">
        <v>0</v>
      </c>
      <c r="W2312" s="722">
        <v>4.2699999999999996</v>
      </c>
      <c r="X2312" s="722">
        <v>0</v>
      </c>
      <c r="Y2312" s="722">
        <v>0</v>
      </c>
      <c r="Z2312" s="382" t="s">
        <v>934</v>
      </c>
      <c r="AA2312" s="372">
        <v>272.73277380000002</v>
      </c>
      <c r="AB2312" s="372">
        <v>224.37243580000001</v>
      </c>
      <c r="AC2312" s="372">
        <v>79.033866799999998</v>
      </c>
      <c r="AD2312" s="372">
        <v>55.044825799999998</v>
      </c>
      <c r="AE2312" s="372">
        <v>0</v>
      </c>
      <c r="AF2312" s="372">
        <v>0</v>
      </c>
      <c r="AG2312" s="372">
        <v>0</v>
      </c>
      <c r="AH2312" s="372">
        <v>0</v>
      </c>
    </row>
    <row r="2313" spans="1:34">
      <c r="A2313" s="372" t="s">
        <v>14897</v>
      </c>
      <c r="B2313" s="372" t="s">
        <v>14898</v>
      </c>
      <c r="C2313" s="372" t="s">
        <v>14899</v>
      </c>
      <c r="D2313" s="374">
        <v>1101111790834</v>
      </c>
      <c r="E2313" s="372" t="s">
        <v>14900</v>
      </c>
      <c r="F2313" s="372" t="s">
        <v>2207</v>
      </c>
      <c r="G2313" s="375" t="s">
        <v>3559</v>
      </c>
      <c r="H2313" s="375" t="s">
        <v>1388</v>
      </c>
      <c r="I2313" s="375" t="s">
        <v>869</v>
      </c>
      <c r="J2313" s="375">
        <v>21412.070650000001</v>
      </c>
      <c r="K2313" s="375">
        <v>-5633.6829500000003</v>
      </c>
      <c r="L2313" s="375">
        <v>939.98098000000005</v>
      </c>
      <c r="M2313" s="375">
        <v>64718.206330000001</v>
      </c>
      <c r="N2313" s="372">
        <v>0.997</v>
      </c>
      <c r="O2313" s="703">
        <v>0.55787457775592575</v>
      </c>
      <c r="P2313" s="562" t="s">
        <v>623</v>
      </c>
      <c r="Q2313" s="372" t="s">
        <v>623</v>
      </c>
      <c r="R2313" s="695">
        <v>20150428</v>
      </c>
      <c r="S2313" s="372" t="s">
        <v>14901</v>
      </c>
      <c r="T2313" s="696">
        <v>0.20900000000000002</v>
      </c>
      <c r="U2313" s="372" t="s">
        <v>14902</v>
      </c>
      <c r="V2313" s="722" t="s">
        <v>774</v>
      </c>
      <c r="W2313" s="722">
        <v>0.46</v>
      </c>
      <c r="X2313" s="722">
        <v>1.54</v>
      </c>
      <c r="Y2313" s="722">
        <v>57.88</v>
      </c>
      <c r="Z2313" s="382" t="s">
        <v>934</v>
      </c>
      <c r="AA2313" s="372">
        <v>288.62656479999998</v>
      </c>
      <c r="AB2313" s="372">
        <v>261.81340760000001</v>
      </c>
      <c r="AC2313" s="372">
        <v>236.11630790000001</v>
      </c>
      <c r="AD2313" s="372">
        <v>214.12070650000001</v>
      </c>
      <c r="AE2313" s="372">
        <v>0</v>
      </c>
      <c r="AF2313" s="372">
        <v>0</v>
      </c>
      <c r="AG2313" s="372">
        <v>0</v>
      </c>
      <c r="AH2313" s="372">
        <v>0</v>
      </c>
    </row>
    <row r="2314" spans="1:34">
      <c r="A2314" s="372" t="s">
        <v>14903</v>
      </c>
      <c r="B2314" s="372" t="s">
        <v>14904</v>
      </c>
      <c r="C2314" s="372" t="s">
        <v>14905</v>
      </c>
      <c r="D2314" s="374">
        <v>1101111005879</v>
      </c>
      <c r="E2314" s="372" t="s">
        <v>14906</v>
      </c>
      <c r="F2314" s="372" t="s">
        <v>1985</v>
      </c>
      <c r="G2314" s="375" t="s">
        <v>1985</v>
      </c>
      <c r="H2314" s="375" t="s">
        <v>868</v>
      </c>
      <c r="I2314" s="375" t="s">
        <v>869</v>
      </c>
      <c r="J2314" s="375">
        <v>21959.942299999999</v>
      </c>
      <c r="K2314" s="375">
        <v>-2080.9936299999999</v>
      </c>
      <c r="L2314" s="375">
        <v>-8475.3334300000006</v>
      </c>
      <c r="M2314" s="375">
        <v>60450.991419999998</v>
      </c>
      <c r="N2314" s="372" t="s">
        <v>1033</v>
      </c>
      <c r="O2314" s="703">
        <v>47.198835772297407</v>
      </c>
      <c r="P2314" s="562" t="s">
        <v>16142</v>
      </c>
      <c r="Q2314" s="372" t="s">
        <v>16145</v>
      </c>
      <c r="R2314" s="695">
        <v>20020201</v>
      </c>
      <c r="S2314" s="372" t="s">
        <v>14907</v>
      </c>
      <c r="T2314" s="696" t="s">
        <v>772</v>
      </c>
      <c r="U2314" s="372" t="s">
        <v>14908</v>
      </c>
      <c r="V2314" s="722" t="s">
        <v>774</v>
      </c>
      <c r="W2314" s="722">
        <v>0.54</v>
      </c>
      <c r="X2314" s="722">
        <v>1.43</v>
      </c>
      <c r="Y2314" s="722" t="s">
        <v>774</v>
      </c>
      <c r="Z2314" s="382" t="s">
        <v>934</v>
      </c>
      <c r="AA2314" s="372">
        <v>200.59239059999999</v>
      </c>
      <c r="AB2314" s="372">
        <v>137.2976874</v>
      </c>
      <c r="AC2314" s="372">
        <v>143.3040704</v>
      </c>
      <c r="AD2314" s="372">
        <v>219.599423</v>
      </c>
      <c r="AE2314" s="372">
        <v>0</v>
      </c>
      <c r="AF2314" s="372">
        <v>0</v>
      </c>
      <c r="AG2314" s="372">
        <v>0</v>
      </c>
      <c r="AH2314" s="372">
        <v>0</v>
      </c>
    </row>
    <row r="2315" spans="1:34">
      <c r="A2315" s="372" t="s">
        <v>14909</v>
      </c>
      <c r="B2315" s="372" t="s">
        <v>14910</v>
      </c>
      <c r="C2315" s="372" t="s">
        <v>14911</v>
      </c>
      <c r="D2315" s="374">
        <v>1615110031686</v>
      </c>
      <c r="E2315" s="372" t="s">
        <v>14912</v>
      </c>
      <c r="F2315" s="372" t="s">
        <v>1195</v>
      </c>
      <c r="G2315" s="375" t="s">
        <v>1196</v>
      </c>
      <c r="H2315" s="375" t="s">
        <v>1388</v>
      </c>
      <c r="I2315" s="375" t="s">
        <v>869</v>
      </c>
      <c r="J2315" s="375">
        <v>20212.268110000001</v>
      </c>
      <c r="K2315" s="375">
        <v>-10401.169519999999</v>
      </c>
      <c r="L2315" s="375">
        <v>-14623.24379</v>
      </c>
      <c r="M2315" s="375">
        <v>32171.240559999998</v>
      </c>
      <c r="N2315" s="372">
        <v>1.077</v>
      </c>
      <c r="O2315" s="703">
        <v>204.65583684619455</v>
      </c>
      <c r="P2315" s="562" t="s">
        <v>623</v>
      </c>
      <c r="Q2315" s="372" t="s">
        <v>623</v>
      </c>
      <c r="R2315" s="695">
        <v>20151229</v>
      </c>
      <c r="S2315" s="372" t="s">
        <v>14913</v>
      </c>
      <c r="T2315" s="696" t="s">
        <v>772</v>
      </c>
      <c r="U2315" s="372" t="s">
        <v>16122</v>
      </c>
      <c r="V2315" s="722" t="s">
        <v>774</v>
      </c>
      <c r="W2315" s="722">
        <v>0.63</v>
      </c>
      <c r="X2315" s="722">
        <v>1.36</v>
      </c>
      <c r="Y2315" s="722" t="s">
        <v>774</v>
      </c>
      <c r="Z2315" s="382" t="s">
        <v>934</v>
      </c>
      <c r="AA2315" s="372">
        <v>280.38701980000002</v>
      </c>
      <c r="AB2315" s="372">
        <v>453.59981859999999</v>
      </c>
      <c r="AC2315" s="372">
        <v>201.118584</v>
      </c>
      <c r="AD2315" s="372">
        <v>202.12268109999999</v>
      </c>
      <c r="AE2315" s="372">
        <v>0</v>
      </c>
      <c r="AF2315" s="372">
        <v>0</v>
      </c>
      <c r="AG2315" s="372">
        <v>0</v>
      </c>
      <c r="AH2315" s="372">
        <v>0</v>
      </c>
    </row>
    <row r="2316" spans="1:34">
      <c r="A2316" s="372" t="s">
        <v>14914</v>
      </c>
      <c r="B2316" s="372" t="s">
        <v>14915</v>
      </c>
      <c r="C2316" s="372" t="s">
        <v>14916</v>
      </c>
      <c r="D2316" s="374">
        <v>1746110001096</v>
      </c>
      <c r="E2316" s="372" t="s">
        <v>14917</v>
      </c>
      <c r="F2316" s="372" t="s">
        <v>1195</v>
      </c>
      <c r="G2316" s="375" t="s">
        <v>1196</v>
      </c>
      <c r="H2316" s="375" t="s">
        <v>1050</v>
      </c>
      <c r="I2316" s="375" t="s">
        <v>755</v>
      </c>
      <c r="J2316" s="375">
        <v>76255.46557</v>
      </c>
      <c r="K2316" s="375">
        <v>-28089.930189999999</v>
      </c>
      <c r="L2316" s="375">
        <v>-28622.807580000001</v>
      </c>
      <c r="M2316" s="375">
        <v>73178.884510000004</v>
      </c>
      <c r="N2316" s="372">
        <v>1.0509999999999999</v>
      </c>
      <c r="O2316" s="703">
        <v>68.646154240080349</v>
      </c>
      <c r="P2316" s="562" t="s">
        <v>623</v>
      </c>
      <c r="Q2316" s="372" t="s">
        <v>623</v>
      </c>
      <c r="R2316" s="695">
        <v>19871112</v>
      </c>
      <c r="S2316" s="372" t="s">
        <v>14918</v>
      </c>
      <c r="T2316" s="696" t="s">
        <v>772</v>
      </c>
      <c r="U2316" s="372" t="s">
        <v>14919</v>
      </c>
      <c r="V2316" s="722" t="s">
        <v>774</v>
      </c>
      <c r="W2316" s="722">
        <v>0.53</v>
      </c>
      <c r="X2316" s="722">
        <v>0.34</v>
      </c>
      <c r="Y2316" s="722" t="s">
        <v>774</v>
      </c>
      <c r="Z2316" s="382" t="s">
        <v>934</v>
      </c>
      <c r="AA2316" s="372">
        <v>1686.7252885</v>
      </c>
      <c r="AB2316" s="372">
        <v>1505.6297817</v>
      </c>
      <c r="AC2316" s="372">
        <v>1705.8635397999999</v>
      </c>
      <c r="AD2316" s="372">
        <v>762.55465570000001</v>
      </c>
      <c r="AE2316" s="372">
        <v>0</v>
      </c>
      <c r="AF2316" s="372">
        <v>0</v>
      </c>
      <c r="AG2316" s="372">
        <v>0</v>
      </c>
      <c r="AH2316" s="372">
        <v>0</v>
      </c>
    </row>
    <row r="2317" spans="1:34">
      <c r="A2317" s="372" t="s">
        <v>14920</v>
      </c>
      <c r="B2317" s="372" t="s">
        <v>14921</v>
      </c>
      <c r="C2317" s="372" t="s">
        <v>16218</v>
      </c>
      <c r="D2317" s="374">
        <v>1101115131886</v>
      </c>
      <c r="E2317" s="372" t="s">
        <v>16219</v>
      </c>
      <c r="F2317" s="372" t="s">
        <v>1013</v>
      </c>
      <c r="G2317" s="375" t="s">
        <v>1013</v>
      </c>
      <c r="H2317" s="375" t="s">
        <v>1693</v>
      </c>
      <c r="I2317" s="375" t="s">
        <v>869</v>
      </c>
      <c r="J2317" s="375">
        <v>640.2509</v>
      </c>
      <c r="K2317" s="375">
        <v>-2107.4791500000001</v>
      </c>
      <c r="L2317" s="375">
        <v>-1117.4588200000001</v>
      </c>
      <c r="M2317" s="375">
        <v>1650.2832599999999</v>
      </c>
      <c r="N2317" s="372" t="s">
        <v>1033</v>
      </c>
      <c r="O2317" s="703">
        <v>3.7625253293387879</v>
      </c>
      <c r="P2317" s="562" t="s">
        <v>16142</v>
      </c>
      <c r="Q2317" s="372" t="s">
        <v>16145</v>
      </c>
      <c r="R2317" s="695">
        <v>20181203</v>
      </c>
      <c r="S2317" s="372" t="s">
        <v>2529</v>
      </c>
      <c r="T2317" s="696" t="s">
        <v>772</v>
      </c>
      <c r="U2317" s="372" t="s">
        <v>14922</v>
      </c>
      <c r="V2317" s="722" t="s">
        <v>774</v>
      </c>
      <c r="W2317" s="722">
        <v>2.33</v>
      </c>
      <c r="X2317" s="722">
        <v>2.4</v>
      </c>
      <c r="Y2317" s="722" t="s">
        <v>774</v>
      </c>
      <c r="Z2317" s="382" t="s">
        <v>934</v>
      </c>
      <c r="AA2317" s="372">
        <v>682.95096860000001</v>
      </c>
      <c r="AB2317" s="372">
        <v>454.39137720000002</v>
      </c>
      <c r="AC2317" s="372">
        <v>54.787764899999999</v>
      </c>
      <c r="AD2317" s="372">
        <v>6.4025090000000002</v>
      </c>
      <c r="AE2317" s="372">
        <v>0</v>
      </c>
      <c r="AF2317" s="372">
        <v>0</v>
      </c>
      <c r="AG2317" s="372">
        <v>0</v>
      </c>
      <c r="AH2317" s="372">
        <v>0</v>
      </c>
    </row>
    <row r="2318" spans="1:34">
      <c r="A2318" s="372" t="s">
        <v>14923</v>
      </c>
      <c r="B2318" s="372" t="s">
        <v>14924</v>
      </c>
      <c r="C2318" s="372" t="s">
        <v>14925</v>
      </c>
      <c r="D2318" s="374">
        <v>1201110059410</v>
      </c>
      <c r="E2318" s="372" t="s">
        <v>14926</v>
      </c>
      <c r="F2318" s="372" t="s">
        <v>1889</v>
      </c>
      <c r="G2318" s="375" t="s">
        <v>5878</v>
      </c>
      <c r="H2318" s="375" t="s">
        <v>868</v>
      </c>
      <c r="I2318" s="375" t="s">
        <v>869</v>
      </c>
      <c r="J2318" s="375">
        <v>66637.115080000003</v>
      </c>
      <c r="K2318" s="375">
        <v>841.58504000000005</v>
      </c>
      <c r="L2318" s="375">
        <v>2179.0874100000001</v>
      </c>
      <c r="M2318" s="375">
        <v>60528.746500000001</v>
      </c>
      <c r="N2318" s="372">
        <v>0.71199999999999997</v>
      </c>
      <c r="O2318" s="703">
        <v>56.270577694118849</v>
      </c>
      <c r="P2318" s="562" t="s">
        <v>623</v>
      </c>
      <c r="Q2318" s="372" t="s">
        <v>623</v>
      </c>
      <c r="R2318" s="695">
        <v>20000905</v>
      </c>
      <c r="S2318" s="372" t="s">
        <v>14927</v>
      </c>
      <c r="T2318" s="696">
        <v>0.20900000000000002</v>
      </c>
      <c r="U2318" s="372" t="s">
        <v>14928</v>
      </c>
      <c r="V2318" s="722">
        <v>15.5</v>
      </c>
      <c r="W2318" s="722">
        <v>0.55000000000000004</v>
      </c>
      <c r="X2318" s="722">
        <v>0.5</v>
      </c>
      <c r="Y2318" s="722">
        <v>17.66</v>
      </c>
      <c r="Z2318" s="382" t="s">
        <v>934</v>
      </c>
      <c r="AA2318" s="372">
        <v>554.88440030000004</v>
      </c>
      <c r="AB2318" s="372">
        <v>717.83044040000004</v>
      </c>
      <c r="AC2318" s="372">
        <v>813.78633379999997</v>
      </c>
      <c r="AD2318" s="372">
        <v>666.37115080000001</v>
      </c>
      <c r="AE2318" s="372">
        <v>0</v>
      </c>
      <c r="AF2318" s="372">
        <v>0</v>
      </c>
      <c r="AG2318" s="372">
        <v>0</v>
      </c>
      <c r="AH2318" s="372">
        <v>0</v>
      </c>
    </row>
    <row r="2319" spans="1:34">
      <c r="A2319" s="372" t="s">
        <v>14929</v>
      </c>
      <c r="B2319" s="372" t="s">
        <v>14930</v>
      </c>
      <c r="C2319" s="372" t="s">
        <v>14931</v>
      </c>
      <c r="D2319" s="374">
        <v>1101110046204</v>
      </c>
      <c r="E2319" s="372" t="s">
        <v>14932</v>
      </c>
      <c r="F2319" s="372" t="s">
        <v>6225</v>
      </c>
      <c r="G2319" s="375" t="s">
        <v>6226</v>
      </c>
      <c r="H2319" s="375">
        <v>0</v>
      </c>
      <c r="I2319" s="375" t="s">
        <v>755</v>
      </c>
      <c r="J2319" s="375">
        <v>141944.90218</v>
      </c>
      <c r="K2319" s="375">
        <v>-19400.162550000001</v>
      </c>
      <c r="L2319" s="375">
        <v>-18215.059300000001</v>
      </c>
      <c r="M2319" s="375">
        <v>42652.370450000002</v>
      </c>
      <c r="N2319" s="372">
        <v>0.95599999999999996</v>
      </c>
      <c r="O2319" s="703">
        <v>146.2536640217117</v>
      </c>
      <c r="P2319" s="562" t="s">
        <v>623</v>
      </c>
      <c r="Q2319" s="372" t="s">
        <v>623</v>
      </c>
      <c r="R2319" s="695">
        <v>19961122</v>
      </c>
      <c r="S2319" s="372" t="s">
        <v>14933</v>
      </c>
      <c r="T2319" s="696" t="s">
        <v>772</v>
      </c>
      <c r="U2319" s="372" t="s">
        <v>14934</v>
      </c>
      <c r="V2319" s="722" t="s">
        <v>774</v>
      </c>
      <c r="W2319" s="722">
        <v>0.78</v>
      </c>
      <c r="X2319" s="722">
        <v>0.23</v>
      </c>
      <c r="Y2319" s="722" t="s">
        <v>774</v>
      </c>
      <c r="Z2319" s="382" t="s">
        <v>934</v>
      </c>
      <c r="AA2319" s="372">
        <v>1453.7073926</v>
      </c>
      <c r="AB2319" s="372">
        <v>1446.1908902</v>
      </c>
      <c r="AC2319" s="372">
        <v>1770.3884095000001</v>
      </c>
      <c r="AD2319" s="372">
        <v>1419.4490218000001</v>
      </c>
      <c r="AE2319" s="372">
        <v>0</v>
      </c>
      <c r="AF2319" s="372">
        <v>0</v>
      </c>
      <c r="AG2319" s="372">
        <v>0</v>
      </c>
      <c r="AH2319" s="372">
        <v>0</v>
      </c>
    </row>
    <row r="2320" spans="1:34">
      <c r="A2320" s="372" t="s">
        <v>14935</v>
      </c>
      <c r="B2320" s="372" t="s">
        <v>14936</v>
      </c>
      <c r="C2320" s="372" t="s">
        <v>14937</v>
      </c>
      <c r="D2320" s="374">
        <v>1101111293119</v>
      </c>
      <c r="E2320" s="372" t="s">
        <v>14938</v>
      </c>
      <c r="F2320" s="372" t="s">
        <v>14939</v>
      </c>
      <c r="G2320" s="375" t="s">
        <v>14939</v>
      </c>
      <c r="H2320" s="375" t="s">
        <v>1693</v>
      </c>
      <c r="I2320" s="375" t="s">
        <v>869</v>
      </c>
      <c r="J2320" s="375">
        <v>36454.449390000002</v>
      </c>
      <c r="K2320" s="375">
        <v>545.43969000000004</v>
      </c>
      <c r="L2320" s="375">
        <v>721.06817999999998</v>
      </c>
      <c r="M2320" s="375">
        <v>17022.462899999999</v>
      </c>
      <c r="N2320" s="372">
        <v>1.097</v>
      </c>
      <c r="O2320" s="703">
        <v>5.8976705771138676</v>
      </c>
      <c r="P2320" s="562" t="s">
        <v>623</v>
      </c>
      <c r="Q2320" s="372" t="s">
        <v>623</v>
      </c>
      <c r="R2320" s="695">
        <v>20150729</v>
      </c>
      <c r="S2320" s="372" t="s">
        <v>14940</v>
      </c>
      <c r="T2320" s="696">
        <v>0.20900000000000002</v>
      </c>
      <c r="U2320" s="372" t="s">
        <v>14941</v>
      </c>
      <c r="V2320" s="722">
        <v>0</v>
      </c>
      <c r="W2320" s="722">
        <v>2.0499999999999998</v>
      </c>
      <c r="X2320" s="722">
        <v>0</v>
      </c>
      <c r="Y2320" s="722">
        <v>0</v>
      </c>
      <c r="Z2320" s="382" t="s">
        <v>934</v>
      </c>
      <c r="AA2320" s="372">
        <v>328.53346729999998</v>
      </c>
      <c r="AB2320" s="372">
        <v>341.93506209999998</v>
      </c>
      <c r="AC2320" s="372">
        <v>328.20905260000001</v>
      </c>
      <c r="AD2320" s="372">
        <v>364.54449390000002</v>
      </c>
      <c r="AE2320" s="372">
        <v>0</v>
      </c>
      <c r="AF2320" s="372">
        <v>0</v>
      </c>
      <c r="AG2320" s="372">
        <v>0</v>
      </c>
      <c r="AH2320" s="372">
        <v>0</v>
      </c>
    </row>
    <row r="2321" spans="1:34">
      <c r="A2321" s="372" t="s">
        <v>14942</v>
      </c>
      <c r="B2321" s="372" t="s">
        <v>14943</v>
      </c>
      <c r="C2321" s="372" t="s">
        <v>14944</v>
      </c>
      <c r="D2321" s="374">
        <v>1101113036096</v>
      </c>
      <c r="E2321" s="372" t="s">
        <v>14945</v>
      </c>
      <c r="F2321" s="372" t="s">
        <v>14946</v>
      </c>
      <c r="G2321" s="375" t="s">
        <v>14946</v>
      </c>
      <c r="H2321" s="375">
        <v>0</v>
      </c>
      <c r="I2321" s="375" t="s">
        <v>869</v>
      </c>
      <c r="J2321" s="375">
        <v>26395.658869999999</v>
      </c>
      <c r="K2321" s="375">
        <v>-545.73825999999997</v>
      </c>
      <c r="L2321" s="375">
        <v>-2713.1777499999998</v>
      </c>
      <c r="M2321" s="375">
        <v>22293.090789999998</v>
      </c>
      <c r="N2321" s="372">
        <v>0.88</v>
      </c>
      <c r="O2321" s="703">
        <v>54.119426512658606</v>
      </c>
      <c r="P2321" s="562" t="s">
        <v>623</v>
      </c>
      <c r="Q2321" s="372" t="s">
        <v>623</v>
      </c>
      <c r="R2321" s="695">
        <v>20140708</v>
      </c>
      <c r="S2321" s="372" t="s">
        <v>14947</v>
      </c>
      <c r="T2321" s="696" t="s">
        <v>772</v>
      </c>
      <c r="U2321" s="372" t="s">
        <v>14948</v>
      </c>
      <c r="V2321" s="722">
        <v>83.95</v>
      </c>
      <c r="W2321" s="722">
        <v>1.73</v>
      </c>
      <c r="X2321" s="722">
        <v>1.46</v>
      </c>
      <c r="Y2321" s="722" t="s">
        <v>774</v>
      </c>
      <c r="Z2321" s="382" t="s">
        <v>934</v>
      </c>
      <c r="AA2321" s="372">
        <v>228.4357747</v>
      </c>
      <c r="AB2321" s="372">
        <v>243.78112820000001</v>
      </c>
      <c r="AC2321" s="372">
        <v>240.47390429999999</v>
      </c>
      <c r="AD2321" s="372">
        <v>263.9565887</v>
      </c>
      <c r="AE2321" s="372">
        <v>0</v>
      </c>
      <c r="AF2321" s="372">
        <v>0</v>
      </c>
      <c r="AG2321" s="372">
        <v>0</v>
      </c>
      <c r="AH2321" s="372">
        <v>0</v>
      </c>
    </row>
    <row r="2322" spans="1:34">
      <c r="A2322" s="372" t="s">
        <v>14949</v>
      </c>
      <c r="B2322" s="372" t="s">
        <v>14950</v>
      </c>
      <c r="C2322" s="372" t="s">
        <v>14951</v>
      </c>
      <c r="D2322" s="374">
        <v>1101110574164</v>
      </c>
      <c r="E2322" s="372" t="s">
        <v>14952</v>
      </c>
      <c r="F2322" s="372" t="s">
        <v>9248</v>
      </c>
      <c r="G2322" s="375" t="s">
        <v>9248</v>
      </c>
      <c r="H2322" s="375" t="s">
        <v>754</v>
      </c>
      <c r="I2322" s="375" t="s">
        <v>755</v>
      </c>
      <c r="J2322" s="375">
        <v>43504.587019999999</v>
      </c>
      <c r="K2322" s="375">
        <v>-4656.4834099999998</v>
      </c>
      <c r="L2322" s="375">
        <v>-4443.3222800000003</v>
      </c>
      <c r="M2322" s="375">
        <v>37010.582589999998</v>
      </c>
      <c r="N2322" s="372">
        <v>0.90100000000000002</v>
      </c>
      <c r="O2322" s="703">
        <v>17.588956638796045</v>
      </c>
      <c r="P2322" s="562" t="s">
        <v>623</v>
      </c>
      <c r="Q2322" s="372" t="s">
        <v>623</v>
      </c>
      <c r="R2322" s="695">
        <v>20061115</v>
      </c>
      <c r="S2322" s="372" t="s">
        <v>14953</v>
      </c>
      <c r="T2322" s="696" t="s">
        <v>772</v>
      </c>
      <c r="U2322" s="372" t="s">
        <v>14954</v>
      </c>
      <c r="V2322" s="722" t="s">
        <v>774</v>
      </c>
      <c r="W2322" s="722">
        <v>0.85</v>
      </c>
      <c r="X2322" s="722">
        <v>0.78</v>
      </c>
      <c r="Y2322" s="722" t="s">
        <v>774</v>
      </c>
      <c r="Z2322" s="382" t="s">
        <v>934</v>
      </c>
      <c r="AA2322" s="372">
        <v>626.60644420000006</v>
      </c>
      <c r="AB2322" s="372">
        <v>882.4828278</v>
      </c>
      <c r="AC2322" s="372">
        <v>666.67583590000004</v>
      </c>
      <c r="AD2322" s="372">
        <v>435.04587020000002</v>
      </c>
      <c r="AE2322" s="372">
        <v>0</v>
      </c>
      <c r="AF2322" s="372">
        <v>0</v>
      </c>
      <c r="AG2322" s="372">
        <v>0</v>
      </c>
      <c r="AH2322" s="372">
        <v>0</v>
      </c>
    </row>
    <row r="2323" spans="1:34">
      <c r="A2323" s="372" t="s">
        <v>14955</v>
      </c>
      <c r="B2323" s="372" t="s">
        <v>14956</v>
      </c>
      <c r="C2323" s="372" t="s">
        <v>14957</v>
      </c>
      <c r="D2323" s="374">
        <v>1101118251277</v>
      </c>
      <c r="E2323" s="372" t="s">
        <v>14958</v>
      </c>
      <c r="F2323" s="372" t="s">
        <v>1151</v>
      </c>
      <c r="G2323" s="375" t="s">
        <v>1152</v>
      </c>
      <c r="H2323" s="375" t="s">
        <v>902</v>
      </c>
      <c r="I2323" s="375" t="s">
        <v>4455</v>
      </c>
      <c r="J2323" s="375">
        <v>0</v>
      </c>
      <c r="K2323" s="375">
        <v>-145.52690999999999</v>
      </c>
      <c r="L2323" s="375">
        <v>19.275860000000002</v>
      </c>
      <c r="M2323" s="375">
        <v>10392.9645</v>
      </c>
      <c r="N2323" s="372" t="s">
        <v>1033</v>
      </c>
      <c r="O2323" s="703" t="e">
        <v>#DIV/0!</v>
      </c>
      <c r="P2323" s="562" t="s">
        <v>623</v>
      </c>
      <c r="Q2323" s="372" t="s">
        <v>623</v>
      </c>
      <c r="R2323" s="695">
        <v>20220826</v>
      </c>
      <c r="S2323" s="372" t="e">
        <v>#N/A</v>
      </c>
      <c r="T2323" s="696">
        <v>9.9000000000000005E-2</v>
      </c>
      <c r="U2323" s="372">
        <v>0</v>
      </c>
      <c r="V2323" s="722">
        <v>0</v>
      </c>
      <c r="W2323" s="722">
        <v>1.38</v>
      </c>
      <c r="X2323" s="722">
        <v>0</v>
      </c>
      <c r="Y2323" s="722">
        <v>0</v>
      </c>
      <c r="Z2323" s="382" t="s">
        <v>774</v>
      </c>
      <c r="AA2323" s="372">
        <v>0</v>
      </c>
      <c r="AB2323" s="372">
        <v>0</v>
      </c>
      <c r="AC2323" s="372">
        <v>0</v>
      </c>
      <c r="AD2323" s="372">
        <v>0</v>
      </c>
      <c r="AE2323" s="372">
        <v>0</v>
      </c>
      <c r="AF2323" s="372">
        <v>0</v>
      </c>
      <c r="AG2323" s="372">
        <v>0</v>
      </c>
      <c r="AH2323" s="372">
        <v>0</v>
      </c>
    </row>
    <row r="2324" spans="1:34">
      <c r="A2324" s="372" t="s">
        <v>14959</v>
      </c>
      <c r="B2324" s="372" t="s">
        <v>14960</v>
      </c>
      <c r="C2324" s="372" t="s">
        <v>14961</v>
      </c>
      <c r="D2324" s="374">
        <v>1101110226327</v>
      </c>
      <c r="E2324" s="372" t="s">
        <v>14962</v>
      </c>
      <c r="F2324" s="372" t="s">
        <v>2535</v>
      </c>
      <c r="G2324" s="375" t="s">
        <v>2535</v>
      </c>
      <c r="H2324" s="375" t="s">
        <v>868</v>
      </c>
      <c r="I2324" s="375" t="s">
        <v>869</v>
      </c>
      <c r="J2324" s="375">
        <v>10500.794550000001</v>
      </c>
      <c r="K2324" s="375">
        <v>-6090.4269599999998</v>
      </c>
      <c r="L2324" s="375">
        <v>-6853.3739800000003</v>
      </c>
      <c r="M2324" s="375">
        <v>21247.269420000001</v>
      </c>
      <c r="N2324" s="372">
        <v>1.3140000000000001</v>
      </c>
      <c r="O2324" s="703">
        <v>22.913036038600719</v>
      </c>
      <c r="P2324" s="562" t="s">
        <v>623</v>
      </c>
      <c r="Q2324" s="372" t="s">
        <v>623</v>
      </c>
      <c r="R2324" s="695">
        <v>20020115</v>
      </c>
      <c r="S2324" s="372" t="s">
        <v>14963</v>
      </c>
      <c r="T2324" s="696" t="s">
        <v>772</v>
      </c>
      <c r="U2324" s="372" t="s">
        <v>14964</v>
      </c>
      <c r="V2324" s="722" t="s">
        <v>774</v>
      </c>
      <c r="W2324" s="722">
        <v>1.72</v>
      </c>
      <c r="X2324" s="722">
        <v>2.73</v>
      </c>
      <c r="Y2324" s="722" t="s">
        <v>774</v>
      </c>
      <c r="Z2324" s="382" t="s">
        <v>934</v>
      </c>
      <c r="AA2324" s="372">
        <v>80.590534399999996</v>
      </c>
      <c r="AB2324" s="372">
        <v>176.62419130000001</v>
      </c>
      <c r="AC2324" s="372">
        <v>111.32856630000001</v>
      </c>
      <c r="AD2324" s="372">
        <v>105.00794550000001</v>
      </c>
      <c r="AE2324" s="372">
        <v>0</v>
      </c>
      <c r="AF2324" s="372">
        <v>0</v>
      </c>
      <c r="AG2324" s="372">
        <v>0</v>
      </c>
      <c r="AH2324" s="372">
        <v>0</v>
      </c>
    </row>
    <row r="2325" spans="1:34">
      <c r="A2325" s="372" t="s">
        <v>14965</v>
      </c>
      <c r="B2325" s="372" t="s">
        <v>14966</v>
      </c>
      <c r="C2325" s="372" t="s">
        <v>14967</v>
      </c>
      <c r="D2325" s="374">
        <v>1746110001244</v>
      </c>
      <c r="E2325" s="372" t="s">
        <v>14968</v>
      </c>
      <c r="F2325" s="372" t="s">
        <v>1472</v>
      </c>
      <c r="G2325" s="375" t="s">
        <v>4161</v>
      </c>
      <c r="H2325" s="375" t="s">
        <v>8085</v>
      </c>
      <c r="I2325" s="375" t="s">
        <v>869</v>
      </c>
      <c r="J2325" s="375">
        <v>99668.55601</v>
      </c>
      <c r="K2325" s="375">
        <v>1721.68127</v>
      </c>
      <c r="L2325" s="375">
        <v>4083.9013</v>
      </c>
      <c r="M2325" s="375">
        <v>62647.11634</v>
      </c>
      <c r="N2325" s="372">
        <v>0.90700000000000003</v>
      </c>
      <c r="O2325" s="703">
        <v>100.22029180792586</v>
      </c>
      <c r="P2325" s="562" t="s">
        <v>623</v>
      </c>
      <c r="Q2325" s="372" t="s">
        <v>623</v>
      </c>
      <c r="R2325" s="695">
        <v>19970315</v>
      </c>
      <c r="S2325" s="372" t="s">
        <v>14969</v>
      </c>
      <c r="T2325" s="696">
        <v>0.20900000000000002</v>
      </c>
      <c r="U2325" s="372" t="s">
        <v>14970</v>
      </c>
      <c r="V2325" s="722">
        <v>0</v>
      </c>
      <c r="W2325" s="722">
        <v>0.5</v>
      </c>
      <c r="X2325" s="722">
        <v>0</v>
      </c>
      <c r="Y2325" s="722">
        <v>0</v>
      </c>
      <c r="Z2325" s="382" t="s">
        <v>934</v>
      </c>
      <c r="AA2325" s="372">
        <v>834.49244150000004</v>
      </c>
      <c r="AB2325" s="372">
        <v>853.68837189999999</v>
      </c>
      <c r="AC2325" s="372">
        <v>919.7931585</v>
      </c>
      <c r="AD2325" s="372">
        <v>996.68556009999998</v>
      </c>
      <c r="AE2325" s="372">
        <v>0</v>
      </c>
      <c r="AF2325" s="372">
        <v>0</v>
      </c>
      <c r="AG2325" s="372">
        <v>0</v>
      </c>
      <c r="AH2325" s="372">
        <v>0</v>
      </c>
    </row>
    <row r="2326" spans="1:34">
      <c r="A2326" s="372" t="s">
        <v>14971</v>
      </c>
      <c r="B2326" s="372" t="s">
        <v>14972</v>
      </c>
      <c r="C2326" s="372" t="s">
        <v>14973</v>
      </c>
      <c r="D2326" s="374">
        <v>1601110007032</v>
      </c>
      <c r="E2326" s="372" t="s">
        <v>14974</v>
      </c>
      <c r="F2326" s="372" t="s">
        <v>14975</v>
      </c>
      <c r="G2326" s="375" t="s">
        <v>14975</v>
      </c>
      <c r="H2326" s="375" t="s">
        <v>797</v>
      </c>
      <c r="I2326" s="375" t="s">
        <v>755</v>
      </c>
      <c r="J2326" s="375">
        <v>78406.266619999995</v>
      </c>
      <c r="K2326" s="375">
        <v>-17856.852210000001</v>
      </c>
      <c r="L2326" s="375">
        <v>-18104.614570000002</v>
      </c>
      <c r="M2326" s="375">
        <v>22404.630580000001</v>
      </c>
      <c r="N2326" s="372">
        <v>0.40100000000000002</v>
      </c>
      <c r="O2326" s="703">
        <v>235.94313718354209</v>
      </c>
      <c r="P2326" s="562" t="s">
        <v>623</v>
      </c>
      <c r="Q2326" s="372" t="s">
        <v>623</v>
      </c>
      <c r="R2326" s="695">
        <v>19760525</v>
      </c>
      <c r="S2326" s="372" t="s">
        <v>14976</v>
      </c>
      <c r="T2326" s="696" t="s">
        <v>772</v>
      </c>
      <c r="U2326" s="372" t="s">
        <v>14977</v>
      </c>
      <c r="V2326" s="722" t="s">
        <v>774</v>
      </c>
      <c r="W2326" s="722">
        <v>1.67</v>
      </c>
      <c r="X2326" s="722">
        <v>0.44</v>
      </c>
      <c r="Y2326" s="722" t="s">
        <v>774</v>
      </c>
      <c r="Z2326" s="382" t="s">
        <v>934</v>
      </c>
      <c r="AA2326" s="372">
        <v>1178.3437506</v>
      </c>
      <c r="AB2326" s="372">
        <v>1335.1043792</v>
      </c>
      <c r="AC2326" s="372">
        <v>1170.5874051000001</v>
      </c>
      <c r="AD2326" s="372">
        <v>784.06266619999997</v>
      </c>
      <c r="AE2326" s="372">
        <v>0</v>
      </c>
      <c r="AF2326" s="372">
        <v>0</v>
      </c>
      <c r="AG2326" s="372">
        <v>0</v>
      </c>
      <c r="AH2326" s="372">
        <v>0</v>
      </c>
    </row>
    <row r="2327" spans="1:34">
      <c r="A2327" s="372" t="s">
        <v>14978</v>
      </c>
      <c r="B2327" s="372" t="s">
        <v>14979</v>
      </c>
      <c r="C2327" s="372" t="s">
        <v>14980</v>
      </c>
      <c r="D2327" s="374">
        <v>1101115782473</v>
      </c>
      <c r="E2327" s="372" t="s">
        <v>14981</v>
      </c>
      <c r="F2327" s="372" t="s">
        <v>10146</v>
      </c>
      <c r="G2327" s="375" t="s">
        <v>10146</v>
      </c>
      <c r="H2327" s="375" t="s">
        <v>868</v>
      </c>
      <c r="I2327" s="375" t="s">
        <v>869</v>
      </c>
      <c r="J2327" s="375">
        <v>106002.95939</v>
      </c>
      <c r="K2327" s="375">
        <v>8104.1002699999999</v>
      </c>
      <c r="L2327" s="375">
        <v>7812.0122899999997</v>
      </c>
      <c r="M2327" s="375">
        <v>73939.085000000006</v>
      </c>
      <c r="N2327" s="372">
        <v>1.0640000000000001</v>
      </c>
      <c r="O2327" s="703">
        <v>49.926800551518639</v>
      </c>
      <c r="P2327" s="562" t="s">
        <v>623</v>
      </c>
      <c r="Q2327" s="372" t="s">
        <v>623</v>
      </c>
      <c r="R2327" s="695">
        <v>20151005</v>
      </c>
      <c r="S2327" s="372" t="s">
        <v>14982</v>
      </c>
      <c r="T2327" s="696">
        <v>0.20900000000000002</v>
      </c>
      <c r="U2327" s="372" t="s">
        <v>14983</v>
      </c>
      <c r="V2327" s="722">
        <v>3.86</v>
      </c>
      <c r="W2327" s="722">
        <v>0.44</v>
      </c>
      <c r="X2327" s="722">
        <v>0.31</v>
      </c>
      <c r="Y2327" s="722">
        <v>5.22</v>
      </c>
      <c r="Z2327" s="382" t="s">
        <v>934</v>
      </c>
      <c r="AA2327" s="372">
        <v>580.92503639999995</v>
      </c>
      <c r="AB2327" s="372">
        <v>863.75355000000002</v>
      </c>
      <c r="AC2327" s="372">
        <v>1099.4279776000001</v>
      </c>
      <c r="AD2327" s="372">
        <v>1060.0295939</v>
      </c>
      <c r="AE2327" s="372">
        <v>0</v>
      </c>
      <c r="AF2327" s="372">
        <v>0</v>
      </c>
      <c r="AG2327" s="372">
        <v>0</v>
      </c>
      <c r="AH2327" s="372">
        <v>0</v>
      </c>
    </row>
    <row r="2328" spans="1:34">
      <c r="A2328" s="372" t="s">
        <v>14984</v>
      </c>
      <c r="B2328" s="372" t="s">
        <v>14985</v>
      </c>
      <c r="C2328" s="372" t="s">
        <v>14986</v>
      </c>
      <c r="D2328" s="374">
        <v>1351110065750</v>
      </c>
      <c r="E2328" s="372" t="s">
        <v>14987</v>
      </c>
      <c r="F2328" s="372" t="s">
        <v>1286</v>
      </c>
      <c r="G2328" s="375" t="s">
        <v>1465</v>
      </c>
      <c r="H2328" s="375" t="s">
        <v>1388</v>
      </c>
      <c r="I2328" s="375" t="s">
        <v>869</v>
      </c>
      <c r="J2328" s="375">
        <v>158770.41529999999</v>
      </c>
      <c r="K2328" s="375">
        <v>-149.10263</v>
      </c>
      <c r="L2328" s="375">
        <v>26118.189829999999</v>
      </c>
      <c r="M2328" s="375">
        <v>70165.157420000003</v>
      </c>
      <c r="N2328" s="372">
        <v>0.86199999999999999</v>
      </c>
      <c r="O2328" s="703">
        <v>284.35419899297943</v>
      </c>
      <c r="P2328" s="562" t="s">
        <v>623</v>
      </c>
      <c r="Q2328" s="372" t="s">
        <v>623</v>
      </c>
      <c r="R2328" s="695">
        <v>20131227</v>
      </c>
      <c r="S2328" s="372" t="s">
        <v>14988</v>
      </c>
      <c r="T2328" s="696">
        <v>0.23100000000000001</v>
      </c>
      <c r="U2328" s="372" t="s">
        <v>14989</v>
      </c>
      <c r="V2328" s="722">
        <v>20.58</v>
      </c>
      <c r="W2328" s="722">
        <v>0.56000000000000005</v>
      </c>
      <c r="X2328" s="722">
        <v>0.21</v>
      </c>
      <c r="Y2328" s="722">
        <v>1.34</v>
      </c>
      <c r="Z2328" s="382" t="s">
        <v>934</v>
      </c>
      <c r="AA2328" s="372">
        <v>1510.6472226000001</v>
      </c>
      <c r="AB2328" s="372">
        <v>1345.4917310999999</v>
      </c>
      <c r="AC2328" s="372">
        <v>1578.7242329999999</v>
      </c>
      <c r="AD2328" s="372">
        <v>1587.7041529999999</v>
      </c>
      <c r="AE2328" s="372">
        <v>0</v>
      </c>
      <c r="AF2328" s="372">
        <v>0</v>
      </c>
      <c r="AG2328" s="372">
        <v>0</v>
      </c>
      <c r="AH2328" s="372">
        <v>0</v>
      </c>
    </row>
    <row r="2329" spans="1:34">
      <c r="A2329" s="372" t="s">
        <v>14990</v>
      </c>
      <c r="B2329" s="372" t="s">
        <v>14991</v>
      </c>
      <c r="C2329" s="372" t="s">
        <v>14992</v>
      </c>
      <c r="D2329" s="374">
        <v>1201110001769</v>
      </c>
      <c r="E2329" s="372" t="s">
        <v>14993</v>
      </c>
      <c r="F2329" s="372" t="s">
        <v>1553</v>
      </c>
      <c r="G2329" s="375" t="s">
        <v>1554</v>
      </c>
      <c r="H2329" s="375" t="s">
        <v>868</v>
      </c>
      <c r="I2329" s="375" t="s">
        <v>869</v>
      </c>
      <c r="J2329" s="375">
        <v>28937.832600000002</v>
      </c>
      <c r="K2329" s="375">
        <v>-1916.4625900000001</v>
      </c>
      <c r="L2329" s="375">
        <v>-2594.2514900000001</v>
      </c>
      <c r="M2329" s="375">
        <v>11396.190629999999</v>
      </c>
      <c r="N2329" s="372">
        <v>0.86199999999999999</v>
      </c>
      <c r="O2329" s="703">
        <v>60.872702261426845</v>
      </c>
      <c r="P2329" s="562" t="s">
        <v>623</v>
      </c>
      <c r="Q2329" s="372" t="s">
        <v>623</v>
      </c>
      <c r="R2329" s="695">
        <v>19970718</v>
      </c>
      <c r="S2329" s="372" t="s">
        <v>14994</v>
      </c>
      <c r="T2329" s="696" t="s">
        <v>772</v>
      </c>
      <c r="U2329" s="372" t="s">
        <v>14995</v>
      </c>
      <c r="V2329" s="722">
        <v>0</v>
      </c>
      <c r="W2329" s="722">
        <v>2.4</v>
      </c>
      <c r="X2329" s="722">
        <v>0</v>
      </c>
      <c r="Y2329" s="722">
        <v>0</v>
      </c>
      <c r="Z2329" s="382" t="s">
        <v>934</v>
      </c>
      <c r="AA2329" s="372">
        <v>290.83209690000001</v>
      </c>
      <c r="AB2329" s="372">
        <v>308.7098886</v>
      </c>
      <c r="AC2329" s="372">
        <v>333.00032709999999</v>
      </c>
      <c r="AD2329" s="372">
        <v>289.37832600000002</v>
      </c>
      <c r="AE2329" s="372">
        <v>0</v>
      </c>
      <c r="AF2329" s="372">
        <v>0</v>
      </c>
      <c r="AG2329" s="372">
        <v>0</v>
      </c>
      <c r="AH2329" s="372">
        <v>0</v>
      </c>
    </row>
    <row r="2330" spans="1:34">
      <c r="A2330" s="372" t="s">
        <v>14996</v>
      </c>
      <c r="B2330" s="372" t="s">
        <v>14997</v>
      </c>
      <c r="C2330" s="372" t="s">
        <v>14998</v>
      </c>
      <c r="D2330" s="374">
        <v>1101111551608</v>
      </c>
      <c r="E2330" s="372" t="s">
        <v>14999</v>
      </c>
      <c r="F2330" s="372" t="s">
        <v>2858</v>
      </c>
      <c r="G2330" s="375" t="s">
        <v>8468</v>
      </c>
      <c r="H2330" s="375" t="s">
        <v>1388</v>
      </c>
      <c r="I2330" s="375" t="s">
        <v>869</v>
      </c>
      <c r="J2330" s="375">
        <v>63213.111680000002</v>
      </c>
      <c r="K2330" s="375">
        <v>1070.6845000000001</v>
      </c>
      <c r="L2330" s="375">
        <v>1150.6363200000001</v>
      </c>
      <c r="M2330" s="375">
        <v>23058.426370000001</v>
      </c>
      <c r="N2330" s="372">
        <v>0.79800000000000004</v>
      </c>
      <c r="O2330" s="703">
        <v>35.72626438492739</v>
      </c>
      <c r="P2330" s="562" t="s">
        <v>623</v>
      </c>
      <c r="Q2330" s="372" t="s">
        <v>623</v>
      </c>
      <c r="R2330" s="695">
        <v>20051129</v>
      </c>
      <c r="S2330" s="372" t="s">
        <v>15000</v>
      </c>
      <c r="T2330" s="696">
        <v>0.20900000000000002</v>
      </c>
      <c r="U2330" s="372" t="s">
        <v>15001</v>
      </c>
      <c r="V2330" s="722">
        <v>20.170000000000002</v>
      </c>
      <c r="W2330" s="722">
        <v>1.53</v>
      </c>
      <c r="X2330" s="722">
        <v>0.53</v>
      </c>
      <c r="Y2330" s="722">
        <v>12.31</v>
      </c>
      <c r="Z2330" s="382" t="s">
        <v>934</v>
      </c>
      <c r="AA2330" s="372">
        <v>278.97101129999999</v>
      </c>
      <c r="AB2330" s="372">
        <v>389.49658740000001</v>
      </c>
      <c r="AC2330" s="372">
        <v>555.73936749999996</v>
      </c>
      <c r="AD2330" s="372">
        <v>632.13111679999997</v>
      </c>
      <c r="AE2330" s="372">
        <v>0</v>
      </c>
      <c r="AF2330" s="372">
        <v>0</v>
      </c>
      <c r="AG2330" s="372">
        <v>0</v>
      </c>
      <c r="AH2330" s="372">
        <v>0</v>
      </c>
    </row>
    <row r="2331" spans="1:34">
      <c r="A2331" s="372" t="s">
        <v>15002</v>
      </c>
      <c r="B2331" s="372" t="s">
        <v>15003</v>
      </c>
      <c r="C2331" s="372" t="s">
        <v>15004</v>
      </c>
      <c r="D2331" s="374">
        <v>1101110192635</v>
      </c>
      <c r="E2331" s="372" t="s">
        <v>15005</v>
      </c>
      <c r="F2331" s="372" t="s">
        <v>4233</v>
      </c>
      <c r="G2331" s="375" t="s">
        <v>15006</v>
      </c>
      <c r="H2331" s="375" t="s">
        <v>975</v>
      </c>
      <c r="I2331" s="375" t="s">
        <v>755</v>
      </c>
      <c r="J2331" s="375">
        <v>230617.47552000001</v>
      </c>
      <c r="K2331" s="375">
        <v>-6993.4497600000004</v>
      </c>
      <c r="L2331" s="375">
        <v>-19592.206969999999</v>
      </c>
      <c r="M2331" s="375">
        <v>38971.288079999998</v>
      </c>
      <c r="N2331" s="372">
        <v>1.1639999999999999</v>
      </c>
      <c r="O2331" s="703">
        <v>107.91323735506701</v>
      </c>
      <c r="P2331" s="562" t="s">
        <v>623</v>
      </c>
      <c r="Q2331" s="372" t="s">
        <v>623</v>
      </c>
      <c r="R2331" s="695">
        <v>19950708</v>
      </c>
      <c r="S2331" s="372" t="s">
        <v>15007</v>
      </c>
      <c r="T2331" s="696" t="s">
        <v>772</v>
      </c>
      <c r="U2331" s="372" t="s">
        <v>15008</v>
      </c>
      <c r="V2331" s="722" t="s">
        <v>774</v>
      </c>
      <c r="W2331" s="722">
        <v>0.87</v>
      </c>
      <c r="X2331" s="722">
        <v>0.15</v>
      </c>
      <c r="Y2331" s="722" t="s">
        <v>774</v>
      </c>
      <c r="Z2331" s="382" t="s">
        <v>934</v>
      </c>
      <c r="AA2331" s="372">
        <v>2336.8043956000001</v>
      </c>
      <c r="AB2331" s="372">
        <v>2017.7169142</v>
      </c>
      <c r="AC2331" s="372">
        <v>2059.5633607999998</v>
      </c>
      <c r="AD2331" s="372">
        <v>2306.1747552000002</v>
      </c>
      <c r="AE2331" s="372">
        <v>0</v>
      </c>
      <c r="AF2331" s="372">
        <v>0</v>
      </c>
      <c r="AG2331" s="372">
        <v>0</v>
      </c>
      <c r="AH2331" s="372">
        <v>0</v>
      </c>
    </row>
    <row r="2332" spans="1:34">
      <c r="A2332" s="372" t="s">
        <v>15009</v>
      </c>
      <c r="B2332" s="372" t="s">
        <v>15010</v>
      </c>
      <c r="C2332" s="372" t="s">
        <v>15011</v>
      </c>
      <c r="D2332" s="374">
        <v>1845110001541</v>
      </c>
      <c r="E2332" s="372" t="s">
        <v>15012</v>
      </c>
      <c r="F2332" s="372" t="s">
        <v>1881</v>
      </c>
      <c r="G2332" s="375" t="s">
        <v>1882</v>
      </c>
      <c r="H2332" s="375" t="s">
        <v>868</v>
      </c>
      <c r="I2332" s="375" t="s">
        <v>869</v>
      </c>
      <c r="J2332" s="375">
        <v>169895.21256000001</v>
      </c>
      <c r="K2332" s="375">
        <v>12554.83101</v>
      </c>
      <c r="L2332" s="375">
        <v>11256.48832</v>
      </c>
      <c r="M2332" s="375">
        <v>37423.893499999998</v>
      </c>
      <c r="N2332" s="372">
        <v>1.038</v>
      </c>
      <c r="O2332" s="703">
        <v>145.71547577391459</v>
      </c>
      <c r="P2332" s="562" t="s">
        <v>623</v>
      </c>
      <c r="Q2332" s="372" t="s">
        <v>623</v>
      </c>
      <c r="R2332" s="695">
        <v>20010814</v>
      </c>
      <c r="S2332" s="372" t="s">
        <v>15013</v>
      </c>
      <c r="T2332" s="696">
        <v>0.20900000000000002</v>
      </c>
      <c r="U2332" s="372" t="s">
        <v>15014</v>
      </c>
      <c r="V2332" s="722">
        <v>2.83</v>
      </c>
      <c r="W2332" s="722">
        <v>0.89</v>
      </c>
      <c r="X2332" s="722">
        <v>0.2</v>
      </c>
      <c r="Y2332" s="722">
        <v>3.38</v>
      </c>
      <c r="Z2332" s="382" t="s">
        <v>934</v>
      </c>
      <c r="AA2332" s="372">
        <v>1193.7079002999999</v>
      </c>
      <c r="AB2332" s="372">
        <v>1284.3225041999999</v>
      </c>
      <c r="AC2332" s="372">
        <v>1560.5132822999999</v>
      </c>
      <c r="AD2332" s="372">
        <v>1698.9521256</v>
      </c>
      <c r="AE2332" s="372">
        <v>0</v>
      </c>
      <c r="AF2332" s="372">
        <v>0</v>
      </c>
      <c r="AG2332" s="372">
        <v>0</v>
      </c>
      <c r="AH2332" s="372">
        <v>0</v>
      </c>
    </row>
    <row r="2333" spans="1:34">
      <c r="A2333" s="372" t="s">
        <v>15015</v>
      </c>
      <c r="B2333" s="372" t="s">
        <v>15016</v>
      </c>
      <c r="C2333" s="372" t="s">
        <v>15017</v>
      </c>
      <c r="D2333" s="374">
        <v>1741110002630</v>
      </c>
      <c r="E2333" s="372" t="s">
        <v>15018</v>
      </c>
      <c r="F2333" s="372" t="s">
        <v>10690</v>
      </c>
      <c r="G2333" s="375" t="s">
        <v>10691</v>
      </c>
      <c r="H2333" s="375" t="s">
        <v>868</v>
      </c>
      <c r="I2333" s="375" t="s">
        <v>869</v>
      </c>
      <c r="J2333" s="375">
        <v>133065.16175</v>
      </c>
      <c r="K2333" s="375">
        <v>1301.3292200000001</v>
      </c>
      <c r="L2333" s="375">
        <v>1179.7864999999999</v>
      </c>
      <c r="M2333" s="375">
        <v>52438.29479</v>
      </c>
      <c r="N2333" s="372">
        <v>1.2809999999999999</v>
      </c>
      <c r="O2333" s="703">
        <v>64.613112558508504</v>
      </c>
      <c r="P2333" s="562" t="s">
        <v>623</v>
      </c>
      <c r="Q2333" s="372" t="s">
        <v>623</v>
      </c>
      <c r="R2333" s="695">
        <v>19930723</v>
      </c>
      <c r="S2333" s="372" t="s">
        <v>15019</v>
      </c>
      <c r="T2333" s="696">
        <v>0.20900000000000002</v>
      </c>
      <c r="U2333" s="372" t="s">
        <v>15020</v>
      </c>
      <c r="V2333" s="722">
        <v>0</v>
      </c>
      <c r="W2333" s="722">
        <v>0.89</v>
      </c>
      <c r="X2333" s="722">
        <v>0</v>
      </c>
      <c r="Y2333" s="722">
        <v>0</v>
      </c>
      <c r="Z2333" s="382" t="s">
        <v>934</v>
      </c>
      <c r="AA2333" s="372">
        <v>1111.1994336</v>
      </c>
      <c r="AB2333" s="372">
        <v>1342.7616198000001</v>
      </c>
      <c r="AC2333" s="372">
        <v>1469.3075675</v>
      </c>
      <c r="AD2333" s="372">
        <v>1330.6516174999999</v>
      </c>
      <c r="AE2333" s="372">
        <v>0</v>
      </c>
      <c r="AF2333" s="372">
        <v>0</v>
      </c>
      <c r="AG2333" s="372">
        <v>0</v>
      </c>
      <c r="AH2333" s="372">
        <v>0</v>
      </c>
    </row>
    <row r="2334" spans="1:34">
      <c r="A2334" s="372" t="s">
        <v>15021</v>
      </c>
      <c r="B2334" s="372" t="s">
        <v>15022</v>
      </c>
      <c r="C2334" s="372" t="s">
        <v>15023</v>
      </c>
      <c r="D2334" s="374">
        <v>1101118233415</v>
      </c>
      <c r="E2334" s="372" t="s">
        <v>15024</v>
      </c>
      <c r="F2334" s="372" t="s">
        <v>5824</v>
      </c>
      <c r="G2334" s="375" t="s">
        <v>5824</v>
      </c>
      <c r="H2334" s="375" t="s">
        <v>1693</v>
      </c>
      <c r="I2334" s="375" t="s">
        <v>869</v>
      </c>
      <c r="J2334" s="375">
        <v>0</v>
      </c>
      <c r="K2334" s="375">
        <v>0</v>
      </c>
      <c r="L2334" s="375">
        <v>0</v>
      </c>
      <c r="M2334" s="375">
        <v>25441.895489999999</v>
      </c>
      <c r="N2334" s="372" t="s">
        <v>1033</v>
      </c>
      <c r="O2334" s="703">
        <v>5.4970363815782788</v>
      </c>
      <c r="P2334" s="562" t="s">
        <v>623</v>
      </c>
      <c r="Q2334" s="372" t="s">
        <v>623</v>
      </c>
      <c r="R2334" s="695">
        <v>20220722</v>
      </c>
      <c r="S2334" s="372" t="s">
        <v>15025</v>
      </c>
      <c r="T2334" s="696" t="s">
        <v>772</v>
      </c>
      <c r="U2334" s="372" t="s">
        <v>15026</v>
      </c>
      <c r="V2334" s="722">
        <v>0</v>
      </c>
      <c r="W2334" s="722">
        <v>1.1299999999999999</v>
      </c>
      <c r="X2334" s="722">
        <v>0</v>
      </c>
      <c r="Y2334" s="722">
        <v>0</v>
      </c>
      <c r="Z2334" s="382" t="s">
        <v>934</v>
      </c>
      <c r="AA2334" s="372">
        <v>195.72237509999999</v>
      </c>
      <c r="AB2334" s="372">
        <v>252.42361650000001</v>
      </c>
      <c r="AC2334" s="372">
        <v>272.10184659999999</v>
      </c>
      <c r="AD2334" s="372">
        <v>263.9429839</v>
      </c>
      <c r="AE2334" s="372">
        <v>0</v>
      </c>
      <c r="AF2334" s="372">
        <v>0</v>
      </c>
      <c r="AG2334" s="372">
        <v>0</v>
      </c>
      <c r="AH2334" s="372">
        <v>0</v>
      </c>
    </row>
    <row r="2335" spans="1:34">
      <c r="A2335" s="372" t="s">
        <v>15027</v>
      </c>
      <c r="B2335" s="372" t="s">
        <v>15028</v>
      </c>
      <c r="C2335" s="372" t="s">
        <v>15029</v>
      </c>
      <c r="D2335" s="374">
        <v>1943110000537</v>
      </c>
      <c r="E2335" s="372" t="s">
        <v>15030</v>
      </c>
      <c r="F2335" s="372" t="s">
        <v>1985</v>
      </c>
      <c r="G2335" s="375" t="s">
        <v>1985</v>
      </c>
      <c r="H2335" s="375" t="s">
        <v>1050</v>
      </c>
      <c r="I2335" s="375" t="s">
        <v>755</v>
      </c>
      <c r="J2335" s="375">
        <v>53811.233050000003</v>
      </c>
      <c r="K2335" s="375">
        <v>2418.8609099999999</v>
      </c>
      <c r="L2335" s="375">
        <v>2288.4061900000002</v>
      </c>
      <c r="M2335" s="375">
        <v>32979.507769999997</v>
      </c>
      <c r="N2335" s="372">
        <v>1.177</v>
      </c>
      <c r="O2335" s="703">
        <v>26.284780248686136</v>
      </c>
      <c r="P2335" s="562" t="s">
        <v>623</v>
      </c>
      <c r="Q2335" s="372" t="s">
        <v>623</v>
      </c>
      <c r="R2335" s="695">
        <v>19970718</v>
      </c>
      <c r="S2335" s="372" t="s">
        <v>15031</v>
      </c>
      <c r="T2335" s="696">
        <v>0.20900000000000002</v>
      </c>
      <c r="U2335" s="372" t="s">
        <v>15032</v>
      </c>
      <c r="V2335" s="722">
        <v>0</v>
      </c>
      <c r="W2335" s="722">
        <v>1.01</v>
      </c>
      <c r="X2335" s="722">
        <v>0</v>
      </c>
      <c r="Y2335" s="722">
        <v>0</v>
      </c>
      <c r="Z2335" s="382" t="s">
        <v>934</v>
      </c>
      <c r="AA2335" s="372">
        <v>338.85845080000001</v>
      </c>
      <c r="AB2335" s="372">
        <v>453.09649949999999</v>
      </c>
      <c r="AC2335" s="372">
        <v>543.71102410000003</v>
      </c>
      <c r="AD2335" s="372">
        <v>538.11233049999998</v>
      </c>
      <c r="AE2335" s="372">
        <v>0</v>
      </c>
      <c r="AF2335" s="372">
        <v>0</v>
      </c>
      <c r="AG2335" s="372">
        <v>0</v>
      </c>
      <c r="AH2335" s="372">
        <v>0</v>
      </c>
    </row>
    <row r="2336" spans="1:34">
      <c r="A2336" s="372" t="s">
        <v>15033</v>
      </c>
      <c r="B2336" s="372" t="s">
        <v>15034</v>
      </c>
      <c r="C2336" s="372" t="s">
        <v>15035</v>
      </c>
      <c r="D2336" s="374">
        <v>1101111848675</v>
      </c>
      <c r="E2336" s="372" t="s">
        <v>15036</v>
      </c>
      <c r="F2336" s="372" t="s">
        <v>1381</v>
      </c>
      <c r="G2336" s="375" t="s">
        <v>1381</v>
      </c>
      <c r="H2336" s="375" t="s">
        <v>1693</v>
      </c>
      <c r="I2336" s="375" t="s">
        <v>869</v>
      </c>
      <c r="J2336" s="375">
        <v>0</v>
      </c>
      <c r="K2336" s="375">
        <v>0</v>
      </c>
      <c r="L2336" s="375">
        <v>0</v>
      </c>
      <c r="M2336" s="375">
        <v>9194.4802400000008</v>
      </c>
      <c r="N2336" s="372">
        <v>0.376</v>
      </c>
      <c r="O2336" s="703">
        <v>1.8665365152058133</v>
      </c>
      <c r="P2336" s="562" t="s">
        <v>623</v>
      </c>
      <c r="Q2336" s="372" t="s">
        <v>623</v>
      </c>
      <c r="R2336" s="695">
        <v>20140121</v>
      </c>
      <c r="S2336" s="372" t="s">
        <v>15037</v>
      </c>
      <c r="T2336" s="696" t="s">
        <v>772</v>
      </c>
      <c r="U2336" s="372" t="s">
        <v>15038</v>
      </c>
      <c r="V2336" s="722">
        <v>0</v>
      </c>
      <c r="W2336" s="722">
        <v>3.61</v>
      </c>
      <c r="X2336" s="722">
        <v>0</v>
      </c>
      <c r="Y2336" s="722">
        <v>0</v>
      </c>
      <c r="Z2336" s="382" t="s">
        <v>934</v>
      </c>
      <c r="AA2336" s="372">
        <v>226.4554593</v>
      </c>
      <c r="AB2336" s="372">
        <v>280.67131999999998</v>
      </c>
      <c r="AC2336" s="372">
        <v>314.61108080000002</v>
      </c>
      <c r="AD2336" s="372">
        <v>318.31832250000002</v>
      </c>
      <c r="AE2336" s="372">
        <v>0</v>
      </c>
      <c r="AF2336" s="372">
        <v>0</v>
      </c>
      <c r="AG2336" s="372">
        <v>0</v>
      </c>
      <c r="AH2336" s="372">
        <v>0</v>
      </c>
    </row>
    <row r="2337" spans="1:34">
      <c r="A2337" s="372" t="s">
        <v>15039</v>
      </c>
      <c r="B2337" s="372" t="s">
        <v>15040</v>
      </c>
      <c r="C2337" s="372" t="s">
        <v>16220</v>
      </c>
      <c r="D2337" s="374">
        <v>1101110527767</v>
      </c>
      <c r="E2337" s="372" t="s">
        <v>16123</v>
      </c>
      <c r="F2337" s="372" t="s">
        <v>852</v>
      </c>
      <c r="G2337" s="375" t="s">
        <v>852</v>
      </c>
      <c r="H2337" s="375" t="s">
        <v>3127</v>
      </c>
      <c r="I2337" s="375" t="s">
        <v>869</v>
      </c>
      <c r="J2337" s="375">
        <v>15894.71701</v>
      </c>
      <c r="K2337" s="375">
        <v>-10878.88387</v>
      </c>
      <c r="L2337" s="375">
        <v>-27194.440439999998</v>
      </c>
      <c r="M2337" s="375">
        <v>45566.16504</v>
      </c>
      <c r="N2337" s="372">
        <v>1.0189999999999999</v>
      </c>
      <c r="O2337" s="703">
        <v>40.7052243514891</v>
      </c>
      <c r="P2337" s="562" t="s">
        <v>623</v>
      </c>
      <c r="Q2337" s="372" t="s">
        <v>623</v>
      </c>
      <c r="R2337" s="695">
        <v>20011009</v>
      </c>
      <c r="S2337" s="372" t="s">
        <v>15041</v>
      </c>
      <c r="T2337" s="696" t="s">
        <v>772</v>
      </c>
      <c r="U2337" s="372" t="s">
        <v>16124</v>
      </c>
      <c r="V2337" s="722" t="s">
        <v>774</v>
      </c>
      <c r="W2337" s="722">
        <v>0.97</v>
      </c>
      <c r="X2337" s="722">
        <v>2.38</v>
      </c>
      <c r="Y2337" s="722" t="s">
        <v>774</v>
      </c>
      <c r="Z2337" s="382" t="s">
        <v>934</v>
      </c>
      <c r="AA2337" s="372">
        <v>52.0671058</v>
      </c>
      <c r="AB2337" s="372">
        <v>88.481734099999997</v>
      </c>
      <c r="AC2337" s="372">
        <v>38.965715099999997</v>
      </c>
      <c r="AD2337" s="372">
        <v>158.94717009999999</v>
      </c>
      <c r="AE2337" s="372">
        <v>0</v>
      </c>
      <c r="AF2337" s="372">
        <v>0</v>
      </c>
      <c r="AG2337" s="372">
        <v>0</v>
      </c>
      <c r="AH2337" s="372">
        <v>0</v>
      </c>
    </row>
    <row r="2338" spans="1:34">
      <c r="A2338" s="372" t="s">
        <v>15042</v>
      </c>
      <c r="B2338" s="372" t="s">
        <v>15043</v>
      </c>
      <c r="C2338" s="372" t="s">
        <v>15044</v>
      </c>
      <c r="D2338" s="374">
        <v>1101113301944</v>
      </c>
      <c r="E2338" s="372" t="s">
        <v>15045</v>
      </c>
      <c r="F2338" s="372" t="s">
        <v>1104</v>
      </c>
      <c r="G2338" s="375" t="s">
        <v>1105</v>
      </c>
      <c r="H2338" s="375" t="s">
        <v>868</v>
      </c>
      <c r="I2338" s="375" t="s">
        <v>869</v>
      </c>
      <c r="J2338" s="375">
        <v>10101.04048</v>
      </c>
      <c r="K2338" s="375">
        <v>1226.3377599999999</v>
      </c>
      <c r="L2338" s="375">
        <v>1705.98173</v>
      </c>
      <c r="M2338" s="375">
        <v>16026.304340000001</v>
      </c>
      <c r="N2338" s="372">
        <v>0.26400000000000001</v>
      </c>
      <c r="O2338" s="703">
        <v>0.51169668804425383</v>
      </c>
      <c r="P2338" s="562" t="s">
        <v>623</v>
      </c>
      <c r="Q2338" s="372" t="s">
        <v>623</v>
      </c>
      <c r="R2338" s="695">
        <v>20200427</v>
      </c>
      <c r="S2338" s="372" t="s">
        <v>15046</v>
      </c>
      <c r="T2338" s="696">
        <v>0.20900000000000002</v>
      </c>
      <c r="U2338" s="372" t="s">
        <v>15047</v>
      </c>
      <c r="V2338" s="722">
        <v>0</v>
      </c>
      <c r="W2338" s="722">
        <v>2.06</v>
      </c>
      <c r="X2338" s="722">
        <v>0</v>
      </c>
      <c r="Y2338" s="722">
        <v>0</v>
      </c>
      <c r="Z2338" s="382" t="s">
        <v>934</v>
      </c>
      <c r="AA2338" s="372">
        <v>71.814106600000002</v>
      </c>
      <c r="AB2338" s="372">
        <v>93.850178200000002</v>
      </c>
      <c r="AC2338" s="372">
        <v>91.393867299999997</v>
      </c>
      <c r="AD2338" s="372">
        <v>101.0104048</v>
      </c>
      <c r="AE2338" s="372">
        <v>0</v>
      </c>
      <c r="AF2338" s="372">
        <v>0</v>
      </c>
      <c r="AG2338" s="372">
        <v>0</v>
      </c>
      <c r="AH2338" s="372">
        <v>0</v>
      </c>
    </row>
    <row r="2339" spans="1:34">
      <c r="A2339" s="372" t="s">
        <v>15048</v>
      </c>
      <c r="B2339" s="372" t="s">
        <v>15049</v>
      </c>
      <c r="C2339" s="372" t="s">
        <v>16221</v>
      </c>
      <c r="D2339" s="374">
        <v>1101110511588</v>
      </c>
      <c r="E2339" s="372" t="s">
        <v>16222</v>
      </c>
      <c r="F2339" s="372" t="s">
        <v>3924</v>
      </c>
      <c r="G2339" s="375" t="s">
        <v>7859</v>
      </c>
      <c r="H2339" s="375" t="s">
        <v>902</v>
      </c>
      <c r="I2339" s="375" t="s">
        <v>869</v>
      </c>
      <c r="J2339" s="375">
        <v>6950.8696200000004</v>
      </c>
      <c r="K2339" s="375">
        <v>-10314.460929999999</v>
      </c>
      <c r="L2339" s="375">
        <v>-11550.830819999999</v>
      </c>
      <c r="M2339" s="375">
        <v>31280.05602</v>
      </c>
      <c r="N2339" s="372">
        <v>0.85599999999999998</v>
      </c>
      <c r="O2339" s="703">
        <v>0.22900056701978672</v>
      </c>
      <c r="P2339" s="562" t="s">
        <v>623</v>
      </c>
      <c r="Q2339" s="372" t="s">
        <v>623</v>
      </c>
      <c r="R2339" s="695">
        <v>19890307</v>
      </c>
      <c r="S2339" s="372" t="s">
        <v>15050</v>
      </c>
      <c r="T2339" s="696" t="s">
        <v>772</v>
      </c>
      <c r="U2339" s="372" t="s">
        <v>15051</v>
      </c>
      <c r="V2339" s="722">
        <v>0</v>
      </c>
      <c r="W2339" s="722">
        <v>1.1000000000000001</v>
      </c>
      <c r="X2339" s="722">
        <v>4.6399999999999997</v>
      </c>
      <c r="Y2339" s="722" t="s">
        <v>774</v>
      </c>
      <c r="Z2339" s="382" t="s">
        <v>934</v>
      </c>
      <c r="AA2339" s="372">
        <v>439.8008777</v>
      </c>
      <c r="AB2339" s="372">
        <v>264.65241420000001</v>
      </c>
      <c r="AC2339" s="372">
        <v>68.805197500000006</v>
      </c>
      <c r="AD2339" s="372">
        <v>69.508696200000003</v>
      </c>
      <c r="AE2339" s="372">
        <v>0</v>
      </c>
      <c r="AF2339" s="372">
        <v>0</v>
      </c>
      <c r="AG2339" s="372">
        <v>0</v>
      </c>
      <c r="AH2339" s="372">
        <v>0</v>
      </c>
    </row>
    <row r="2340" spans="1:34">
      <c r="A2340" s="372" t="s">
        <v>15052</v>
      </c>
      <c r="B2340" s="372" t="s">
        <v>15053</v>
      </c>
      <c r="C2340" s="372" t="s">
        <v>15054</v>
      </c>
      <c r="D2340" s="374">
        <v>1101110224727</v>
      </c>
      <c r="E2340" s="372" t="s">
        <v>15055</v>
      </c>
      <c r="F2340" s="372" t="s">
        <v>10011</v>
      </c>
      <c r="G2340" s="375" t="s">
        <v>10011</v>
      </c>
      <c r="H2340" s="375" t="s">
        <v>3127</v>
      </c>
      <c r="I2340" s="375" t="s">
        <v>869</v>
      </c>
      <c r="J2340" s="375">
        <v>88377.059729999994</v>
      </c>
      <c r="K2340" s="375">
        <v>1688.0089800000001</v>
      </c>
      <c r="L2340" s="375">
        <v>473.00578999999999</v>
      </c>
      <c r="M2340" s="375">
        <v>17470.99683</v>
      </c>
      <c r="N2340" s="372">
        <v>0.874</v>
      </c>
      <c r="O2340" s="703">
        <v>70.913321449704142</v>
      </c>
      <c r="P2340" s="562" t="s">
        <v>623</v>
      </c>
      <c r="Q2340" s="372" t="s">
        <v>623</v>
      </c>
      <c r="R2340" s="695">
        <v>19950630</v>
      </c>
      <c r="S2340" s="372" t="s">
        <v>15056</v>
      </c>
      <c r="T2340" s="696">
        <v>0.20900000000000002</v>
      </c>
      <c r="U2340" s="372" t="s">
        <v>15057</v>
      </c>
      <c r="V2340" s="722">
        <v>19.739999999999998</v>
      </c>
      <c r="W2340" s="722">
        <v>1.77</v>
      </c>
      <c r="X2340" s="722">
        <v>0.35</v>
      </c>
      <c r="Y2340" s="722">
        <v>103.52</v>
      </c>
      <c r="Z2340" s="382" t="s">
        <v>934</v>
      </c>
      <c r="AA2340" s="372">
        <v>627.44276549999995</v>
      </c>
      <c r="AB2340" s="372">
        <v>712.98676469999998</v>
      </c>
      <c r="AC2340" s="372">
        <v>734.2193426</v>
      </c>
      <c r="AD2340" s="372">
        <v>883.77059729999996</v>
      </c>
      <c r="AE2340" s="372">
        <v>0</v>
      </c>
      <c r="AF2340" s="372">
        <v>0</v>
      </c>
      <c r="AG2340" s="372">
        <v>0</v>
      </c>
      <c r="AH2340" s="372">
        <v>0</v>
      </c>
    </row>
    <row r="2341" spans="1:34">
      <c r="A2341" s="372" t="s">
        <v>15058</v>
      </c>
      <c r="B2341" s="372" t="s">
        <v>15059</v>
      </c>
      <c r="C2341" s="372" t="s">
        <v>15060</v>
      </c>
      <c r="D2341" s="374">
        <v>2042110000370</v>
      </c>
      <c r="E2341" s="372" t="s">
        <v>15061</v>
      </c>
      <c r="F2341" s="372" t="s">
        <v>2729</v>
      </c>
      <c r="G2341" s="375" t="s">
        <v>5245</v>
      </c>
      <c r="H2341" s="375" t="s">
        <v>868</v>
      </c>
      <c r="I2341" s="375" t="s">
        <v>869</v>
      </c>
      <c r="J2341" s="375">
        <v>41252.744460000002</v>
      </c>
      <c r="K2341" s="375">
        <v>-1576.8661099999999</v>
      </c>
      <c r="L2341" s="375">
        <v>1896.2137</v>
      </c>
      <c r="M2341" s="375">
        <v>106318.58414000001</v>
      </c>
      <c r="N2341" s="372">
        <v>0.84299999999999997</v>
      </c>
      <c r="O2341" s="703">
        <v>0</v>
      </c>
      <c r="P2341" s="562" t="s">
        <v>623</v>
      </c>
      <c r="Q2341" s="372" t="s">
        <v>623</v>
      </c>
      <c r="R2341" s="695">
        <v>20050119</v>
      </c>
      <c r="S2341" s="372" t="s">
        <v>15062</v>
      </c>
      <c r="T2341" s="696">
        <v>0.20900000000000002</v>
      </c>
      <c r="U2341" s="372" t="s">
        <v>15063</v>
      </c>
      <c r="V2341" s="722">
        <v>98.58</v>
      </c>
      <c r="W2341" s="722">
        <v>0.46</v>
      </c>
      <c r="X2341" s="722">
        <v>0.78</v>
      </c>
      <c r="Y2341" s="722">
        <v>20.57</v>
      </c>
      <c r="Z2341" s="382" t="s">
        <v>934</v>
      </c>
      <c r="AA2341" s="372">
        <v>395.873941</v>
      </c>
      <c r="AB2341" s="372">
        <v>560.85178640000004</v>
      </c>
      <c r="AC2341" s="372">
        <v>491.63419140000002</v>
      </c>
      <c r="AD2341" s="372">
        <v>412.52744460000002</v>
      </c>
      <c r="AE2341" s="372">
        <v>0</v>
      </c>
      <c r="AF2341" s="372">
        <v>0</v>
      </c>
      <c r="AG2341" s="372">
        <v>0</v>
      </c>
      <c r="AH2341" s="372">
        <v>0</v>
      </c>
    </row>
    <row r="2342" spans="1:34">
      <c r="A2342" s="372" t="s">
        <v>15064</v>
      </c>
      <c r="B2342" s="372" t="s">
        <v>15065</v>
      </c>
      <c r="C2342" s="372" t="s">
        <v>15066</v>
      </c>
      <c r="D2342" s="374">
        <v>1951110010951</v>
      </c>
      <c r="E2342" s="372" t="s">
        <v>15067</v>
      </c>
      <c r="F2342" s="372" t="s">
        <v>2771</v>
      </c>
      <c r="G2342" s="375" t="s">
        <v>9480</v>
      </c>
      <c r="H2342" s="375" t="s">
        <v>817</v>
      </c>
      <c r="I2342" s="375" t="s">
        <v>755</v>
      </c>
      <c r="J2342" s="375">
        <v>0</v>
      </c>
      <c r="K2342" s="375">
        <v>0</v>
      </c>
      <c r="L2342" s="375">
        <v>0</v>
      </c>
      <c r="M2342" s="375">
        <v>64990.661469999999</v>
      </c>
      <c r="N2342" s="372">
        <v>1.121</v>
      </c>
      <c r="O2342" s="703">
        <v>222.61009929860737</v>
      </c>
      <c r="P2342" s="562" t="s">
        <v>623</v>
      </c>
      <c r="Q2342" s="372" t="s">
        <v>623</v>
      </c>
      <c r="R2342" s="695">
        <v>20140722</v>
      </c>
      <c r="S2342" s="372" t="s">
        <v>15068</v>
      </c>
      <c r="T2342" s="696" t="s">
        <v>772</v>
      </c>
      <c r="U2342" s="372" t="s">
        <v>15069</v>
      </c>
      <c r="V2342" s="722">
        <v>0</v>
      </c>
      <c r="W2342" s="722">
        <v>0.62</v>
      </c>
      <c r="X2342" s="722">
        <v>0</v>
      </c>
      <c r="Y2342" s="722">
        <v>0</v>
      </c>
      <c r="Z2342" s="382" t="s">
        <v>934</v>
      </c>
      <c r="AA2342" s="372">
        <v>986.47266990000003</v>
      </c>
      <c r="AB2342" s="372">
        <v>1240.7683525</v>
      </c>
      <c r="AC2342" s="372">
        <v>1396.0422642999999</v>
      </c>
      <c r="AD2342" s="372">
        <v>1321.9770171</v>
      </c>
      <c r="AE2342" s="372">
        <v>0</v>
      </c>
      <c r="AF2342" s="372">
        <v>0</v>
      </c>
      <c r="AG2342" s="372">
        <v>0</v>
      </c>
      <c r="AH2342" s="372">
        <v>0</v>
      </c>
    </row>
    <row r="2343" spans="1:34">
      <c r="A2343" s="372" t="s">
        <v>15070</v>
      </c>
      <c r="B2343" s="372" t="s">
        <v>15071</v>
      </c>
      <c r="C2343" s="372" t="s">
        <v>15072</v>
      </c>
      <c r="D2343" s="374">
        <v>1345110037710</v>
      </c>
      <c r="E2343" s="372" t="s">
        <v>15073</v>
      </c>
      <c r="F2343" s="372" t="s">
        <v>3758</v>
      </c>
      <c r="G2343" s="375" t="s">
        <v>3759</v>
      </c>
      <c r="H2343" s="375" t="s">
        <v>868</v>
      </c>
      <c r="I2343" s="375" t="s">
        <v>869</v>
      </c>
      <c r="J2343" s="375">
        <v>42401.462050000002</v>
      </c>
      <c r="K2343" s="375">
        <v>-1843.75074</v>
      </c>
      <c r="L2343" s="375">
        <v>-4566.7077200000003</v>
      </c>
      <c r="M2343" s="375">
        <v>31938.454089999999</v>
      </c>
      <c r="N2343" s="372" t="s">
        <v>1033</v>
      </c>
      <c r="O2343" s="703">
        <v>42.02820851065335</v>
      </c>
      <c r="P2343" s="562" t="s">
        <v>623</v>
      </c>
      <c r="Q2343" s="372" t="s">
        <v>623</v>
      </c>
      <c r="R2343" s="695">
        <v>20070130</v>
      </c>
      <c r="S2343" s="372" t="s">
        <v>15074</v>
      </c>
      <c r="T2343" s="696" t="s">
        <v>772</v>
      </c>
      <c r="U2343" s="372" t="s">
        <v>15075</v>
      </c>
      <c r="V2343" s="722" t="s">
        <v>774</v>
      </c>
      <c r="W2343" s="722">
        <v>1.02</v>
      </c>
      <c r="X2343" s="722">
        <v>0.91</v>
      </c>
      <c r="Y2343" s="722" t="s">
        <v>774</v>
      </c>
      <c r="Z2343" s="382" t="s">
        <v>934</v>
      </c>
      <c r="AA2343" s="372">
        <v>433.1151036</v>
      </c>
      <c r="AB2343" s="372">
        <v>470.65982989999998</v>
      </c>
      <c r="AC2343" s="372">
        <v>501.6361473</v>
      </c>
      <c r="AD2343" s="372">
        <v>424.01462049999998</v>
      </c>
      <c r="AE2343" s="372">
        <v>0</v>
      </c>
      <c r="AF2343" s="372">
        <v>0</v>
      </c>
      <c r="AG2343" s="372">
        <v>0</v>
      </c>
      <c r="AH2343" s="372">
        <v>0</v>
      </c>
    </row>
    <row r="2344" spans="1:34">
      <c r="A2344" s="372" t="s">
        <v>15076</v>
      </c>
      <c r="B2344" s="372" t="s">
        <v>15077</v>
      </c>
      <c r="C2344" s="372" t="s">
        <v>15078</v>
      </c>
      <c r="D2344" s="374">
        <v>1101114422103</v>
      </c>
      <c r="E2344" s="372" t="s">
        <v>15079</v>
      </c>
      <c r="F2344" s="372" t="s">
        <v>1381</v>
      </c>
      <c r="G2344" s="375" t="s">
        <v>1381</v>
      </c>
      <c r="H2344" s="375" t="s">
        <v>1693</v>
      </c>
      <c r="I2344" s="375" t="s">
        <v>869</v>
      </c>
      <c r="J2344" s="375">
        <v>12157.59851</v>
      </c>
      <c r="K2344" s="375">
        <v>1604.36599</v>
      </c>
      <c r="L2344" s="375">
        <v>2383.3122100000001</v>
      </c>
      <c r="M2344" s="375">
        <v>27216.22392</v>
      </c>
      <c r="N2344" s="372">
        <v>0.71799999999999997</v>
      </c>
      <c r="O2344" s="703">
        <v>2.4312967851292466</v>
      </c>
      <c r="P2344" s="562" t="s">
        <v>623</v>
      </c>
      <c r="Q2344" s="372" t="s">
        <v>623</v>
      </c>
      <c r="R2344" s="695">
        <v>20180806</v>
      </c>
      <c r="S2344" s="372" t="s">
        <v>15080</v>
      </c>
      <c r="T2344" s="696">
        <v>0.20900000000000002</v>
      </c>
      <c r="U2344" s="372" t="s">
        <v>15081</v>
      </c>
      <c r="V2344" s="722">
        <v>0</v>
      </c>
      <c r="W2344" s="722">
        <v>0.99</v>
      </c>
      <c r="X2344" s="722">
        <v>0</v>
      </c>
      <c r="Y2344" s="722">
        <v>0</v>
      </c>
      <c r="Z2344" s="382" t="s">
        <v>934</v>
      </c>
      <c r="AA2344" s="372">
        <v>103.39381349999999</v>
      </c>
      <c r="AB2344" s="372">
        <v>106.675341</v>
      </c>
      <c r="AC2344" s="372">
        <v>125.09384180000001</v>
      </c>
      <c r="AD2344" s="372">
        <v>121.5759851</v>
      </c>
      <c r="AE2344" s="372">
        <v>0</v>
      </c>
      <c r="AF2344" s="372">
        <v>0</v>
      </c>
      <c r="AG2344" s="372">
        <v>0</v>
      </c>
      <c r="AH2344" s="372">
        <v>0</v>
      </c>
    </row>
    <row r="2345" spans="1:34">
      <c r="A2345" s="372" t="s">
        <v>15082</v>
      </c>
      <c r="B2345" s="372" t="s">
        <v>15083</v>
      </c>
      <c r="C2345" s="372" t="s">
        <v>15084</v>
      </c>
      <c r="D2345" s="374">
        <v>1701110141812</v>
      </c>
      <c r="E2345" s="372" t="s">
        <v>15085</v>
      </c>
      <c r="F2345" s="372" t="s">
        <v>1286</v>
      </c>
      <c r="G2345" s="375" t="s">
        <v>11861</v>
      </c>
      <c r="H2345" s="375" t="s">
        <v>1388</v>
      </c>
      <c r="I2345" s="375" t="s">
        <v>869</v>
      </c>
      <c r="J2345" s="375">
        <v>34347.681879999996</v>
      </c>
      <c r="K2345" s="375">
        <v>48.596150000000002</v>
      </c>
      <c r="L2345" s="375">
        <v>-4362.8383800000001</v>
      </c>
      <c r="M2345" s="375">
        <v>20294.670150000002</v>
      </c>
      <c r="N2345" s="372">
        <v>0.76600000000000001</v>
      </c>
      <c r="O2345" s="703">
        <v>28.717530056329359</v>
      </c>
      <c r="P2345" s="562" t="s">
        <v>16142</v>
      </c>
      <c r="Q2345" s="372" t="s">
        <v>16145</v>
      </c>
      <c r="R2345" s="695">
        <v>20101019</v>
      </c>
      <c r="S2345" s="372" t="s">
        <v>15086</v>
      </c>
      <c r="T2345" s="696" t="s">
        <v>772</v>
      </c>
      <c r="U2345" s="372" t="s">
        <v>16125</v>
      </c>
      <c r="V2345" s="722">
        <v>24.78</v>
      </c>
      <c r="W2345" s="722">
        <v>1.39</v>
      </c>
      <c r="X2345" s="722">
        <v>0.87</v>
      </c>
      <c r="Y2345" s="722" t="s">
        <v>774</v>
      </c>
      <c r="Z2345" s="382" t="s">
        <v>934</v>
      </c>
      <c r="AA2345" s="372">
        <v>277.72933810000001</v>
      </c>
      <c r="AB2345" s="372">
        <v>277.9730515</v>
      </c>
      <c r="AC2345" s="372">
        <v>378.85603129999998</v>
      </c>
      <c r="AD2345" s="372">
        <v>343.47681879999999</v>
      </c>
      <c r="AE2345" s="372">
        <v>0</v>
      </c>
      <c r="AF2345" s="372">
        <v>0</v>
      </c>
      <c r="AG2345" s="372">
        <v>0</v>
      </c>
      <c r="AH2345" s="372">
        <v>0</v>
      </c>
    </row>
    <row r="2346" spans="1:34">
      <c r="A2346" s="372" t="s">
        <v>15087</v>
      </c>
      <c r="B2346" s="372" t="s">
        <v>15088</v>
      </c>
      <c r="C2346" s="372" t="s">
        <v>15089</v>
      </c>
      <c r="D2346" s="374">
        <v>1941110002884</v>
      </c>
      <c r="E2346" s="372" t="s">
        <v>15090</v>
      </c>
      <c r="F2346" s="372" t="s">
        <v>1144</v>
      </c>
      <c r="G2346" s="375" t="s">
        <v>3158</v>
      </c>
      <c r="H2346" s="375" t="s">
        <v>868</v>
      </c>
      <c r="I2346" s="375" t="s">
        <v>869</v>
      </c>
      <c r="J2346" s="375">
        <v>27307.982899999999</v>
      </c>
      <c r="K2346" s="375">
        <v>3414.1614100000002</v>
      </c>
      <c r="L2346" s="375">
        <v>2904.3867100000002</v>
      </c>
      <c r="M2346" s="375">
        <v>35087.554479999999</v>
      </c>
      <c r="N2346" s="372">
        <v>1.0249999999999999</v>
      </c>
      <c r="O2346" s="703">
        <v>21.312649339095067</v>
      </c>
      <c r="P2346" s="562" t="s">
        <v>623</v>
      </c>
      <c r="Q2346" s="372" t="s">
        <v>623</v>
      </c>
      <c r="R2346" s="695">
        <v>20091110</v>
      </c>
      <c r="S2346" s="372" t="s">
        <v>15091</v>
      </c>
      <c r="T2346" s="696">
        <v>0.20900000000000002</v>
      </c>
      <c r="U2346" s="372" t="s">
        <v>15092</v>
      </c>
      <c r="V2346" s="722">
        <v>0</v>
      </c>
      <c r="W2346" s="722">
        <v>0.89</v>
      </c>
      <c r="X2346" s="722">
        <v>0</v>
      </c>
      <c r="Y2346" s="722">
        <v>0</v>
      </c>
      <c r="Z2346" s="382" t="s">
        <v>934</v>
      </c>
      <c r="AA2346" s="372">
        <v>215.5499547</v>
      </c>
      <c r="AB2346" s="372">
        <v>229.81429130000001</v>
      </c>
      <c r="AC2346" s="372">
        <v>248.59836849999999</v>
      </c>
      <c r="AD2346" s="372">
        <v>273.07982900000002</v>
      </c>
      <c r="AE2346" s="372">
        <v>0</v>
      </c>
      <c r="AF2346" s="372">
        <v>0</v>
      </c>
      <c r="AG2346" s="372">
        <v>0</v>
      </c>
      <c r="AH2346" s="372">
        <v>0</v>
      </c>
    </row>
    <row r="2347" spans="1:34">
      <c r="A2347" s="372" t="s">
        <v>15093</v>
      </c>
      <c r="B2347" s="372" t="s">
        <v>15094</v>
      </c>
      <c r="C2347" s="372" t="s">
        <v>15095</v>
      </c>
      <c r="D2347" s="374">
        <v>1101116136877</v>
      </c>
      <c r="E2347" s="372" t="s">
        <v>15096</v>
      </c>
      <c r="F2347" s="372" t="s">
        <v>3228</v>
      </c>
      <c r="G2347" s="375" t="s">
        <v>3228</v>
      </c>
      <c r="H2347" s="375" t="s">
        <v>3127</v>
      </c>
      <c r="I2347" s="375" t="s">
        <v>869</v>
      </c>
      <c r="J2347" s="375">
        <v>48415.13652</v>
      </c>
      <c r="K2347" s="375">
        <v>-1009.75661</v>
      </c>
      <c r="L2347" s="375">
        <v>-4817.34411</v>
      </c>
      <c r="M2347" s="375">
        <v>56300.982369999998</v>
      </c>
      <c r="N2347" s="372">
        <v>0.78400000000000003</v>
      </c>
      <c r="O2347" s="703">
        <v>99.941886908496883</v>
      </c>
      <c r="P2347" s="562" t="s">
        <v>623</v>
      </c>
      <c r="Q2347" s="372" t="s">
        <v>623</v>
      </c>
      <c r="R2347" s="695">
        <v>20190610</v>
      </c>
      <c r="S2347" s="372" t="s">
        <v>15097</v>
      </c>
      <c r="T2347" s="696" t="s">
        <v>772</v>
      </c>
      <c r="U2347" s="372" t="s">
        <v>15098</v>
      </c>
      <c r="V2347" s="722">
        <v>20.89</v>
      </c>
      <c r="W2347" s="722">
        <v>0.55000000000000004</v>
      </c>
      <c r="X2347" s="722">
        <v>0.67</v>
      </c>
      <c r="Y2347" s="722" t="s">
        <v>774</v>
      </c>
      <c r="Z2347" s="382" t="s">
        <v>934</v>
      </c>
      <c r="AA2347" s="372">
        <v>672.74849449999999</v>
      </c>
      <c r="AB2347" s="372">
        <v>746.74920150000003</v>
      </c>
      <c r="AC2347" s="372">
        <v>617.60652440000001</v>
      </c>
      <c r="AD2347" s="372">
        <v>484.15136519999999</v>
      </c>
      <c r="AE2347" s="372">
        <v>1118</v>
      </c>
      <c r="AF2347" s="372">
        <v>0</v>
      </c>
      <c r="AG2347" s="372">
        <v>0</v>
      </c>
      <c r="AH2347" s="372">
        <v>0</v>
      </c>
    </row>
    <row r="2348" spans="1:34">
      <c r="A2348" s="372" t="s">
        <v>15099</v>
      </c>
      <c r="B2348" s="372" t="s">
        <v>15100</v>
      </c>
      <c r="C2348" s="372" t="s">
        <v>15101</v>
      </c>
      <c r="D2348" s="374">
        <v>1101110340979</v>
      </c>
      <c r="E2348" s="372" t="s">
        <v>15102</v>
      </c>
      <c r="F2348" s="372" t="s">
        <v>852</v>
      </c>
      <c r="G2348" s="375" t="s">
        <v>852</v>
      </c>
      <c r="H2348" s="375" t="s">
        <v>3127</v>
      </c>
      <c r="I2348" s="375" t="s">
        <v>869</v>
      </c>
      <c r="J2348" s="375">
        <v>31352.678400000001</v>
      </c>
      <c r="K2348" s="375">
        <v>2912.4044899999999</v>
      </c>
      <c r="L2348" s="375">
        <v>-1227.46486</v>
      </c>
      <c r="M2348" s="375">
        <v>50021.740360000003</v>
      </c>
      <c r="N2348" s="372" t="s">
        <v>1033</v>
      </c>
      <c r="O2348" s="703">
        <v>11.357629372283769</v>
      </c>
      <c r="P2348" s="562" t="s">
        <v>16142</v>
      </c>
      <c r="Q2348" s="372" t="s">
        <v>623</v>
      </c>
      <c r="R2348" s="695">
        <v>19930414</v>
      </c>
      <c r="S2348" s="372" t="s">
        <v>15103</v>
      </c>
      <c r="T2348" s="696" t="s">
        <v>772</v>
      </c>
      <c r="U2348" s="372" t="s">
        <v>16126</v>
      </c>
      <c r="V2348" s="722">
        <v>8.25</v>
      </c>
      <c r="W2348" s="722">
        <v>0.72</v>
      </c>
      <c r="X2348" s="722">
        <v>1.1399999999999999</v>
      </c>
      <c r="Y2348" s="722" t="s">
        <v>774</v>
      </c>
      <c r="Z2348" s="382" t="s">
        <v>934</v>
      </c>
      <c r="AA2348" s="372">
        <v>241.48847509999999</v>
      </c>
      <c r="AB2348" s="372">
        <v>347.39693720000002</v>
      </c>
      <c r="AC2348" s="372">
        <v>256.43172340000001</v>
      </c>
      <c r="AD2348" s="372">
        <v>313.52678400000002</v>
      </c>
      <c r="AE2348" s="372">
        <v>0</v>
      </c>
      <c r="AF2348" s="372">
        <v>0</v>
      </c>
      <c r="AG2348" s="372">
        <v>0</v>
      </c>
      <c r="AH2348" s="372">
        <v>0</v>
      </c>
    </row>
    <row r="2349" spans="1:34">
      <c r="A2349" s="372" t="s">
        <v>15104</v>
      </c>
      <c r="B2349" s="372" t="s">
        <v>15105</v>
      </c>
      <c r="C2349" s="372" t="s">
        <v>15106</v>
      </c>
      <c r="D2349" s="374">
        <v>1101110111825</v>
      </c>
      <c r="E2349" s="372" t="s">
        <v>15107</v>
      </c>
      <c r="F2349" s="372" t="s">
        <v>830</v>
      </c>
      <c r="G2349" s="375" t="s">
        <v>1524</v>
      </c>
      <c r="H2349" s="375" t="s">
        <v>832</v>
      </c>
      <c r="I2349" s="375" t="s">
        <v>755</v>
      </c>
      <c r="J2349" s="375">
        <v>75594.416630000007</v>
      </c>
      <c r="K2349" s="375">
        <v>-39471.837749999999</v>
      </c>
      <c r="L2349" s="375">
        <v>-48761.756110000002</v>
      </c>
      <c r="M2349" s="375">
        <v>-23332.04048</v>
      </c>
      <c r="N2349" s="372">
        <v>0.80800000000000005</v>
      </c>
      <c r="O2349" s="703">
        <v>637.91908811475412</v>
      </c>
      <c r="P2349" s="562" t="s">
        <v>16142</v>
      </c>
      <c r="Q2349" s="372" t="s">
        <v>16145</v>
      </c>
      <c r="R2349" s="695">
        <v>19740528</v>
      </c>
      <c r="S2349" s="372" t="s">
        <v>15108</v>
      </c>
      <c r="T2349" s="696" t="s">
        <v>772</v>
      </c>
      <c r="U2349" s="372" t="s">
        <v>15109</v>
      </c>
      <c r="V2349" s="722">
        <v>0</v>
      </c>
      <c r="W2349" s="722" t="s">
        <v>774</v>
      </c>
      <c r="X2349" s="722">
        <v>0</v>
      </c>
      <c r="Y2349" s="722">
        <v>0</v>
      </c>
      <c r="Z2349" s="382" t="s">
        <v>934</v>
      </c>
      <c r="AA2349" s="372">
        <v>2547.2272634999999</v>
      </c>
      <c r="AB2349" s="372">
        <v>5824.2914565000001</v>
      </c>
      <c r="AC2349" s="372">
        <v>4271.8732148999998</v>
      </c>
      <c r="AD2349" s="372">
        <v>755.94416630000001</v>
      </c>
      <c r="AE2349" s="372">
        <v>0</v>
      </c>
      <c r="AF2349" s="372">
        <v>0</v>
      </c>
      <c r="AG2349" s="372">
        <v>0</v>
      </c>
      <c r="AH2349" s="372">
        <v>0</v>
      </c>
    </row>
    <row r="2350" spans="1:34">
      <c r="A2350" s="372" t="s">
        <v>15110</v>
      </c>
      <c r="B2350" s="372" t="s">
        <v>15111</v>
      </c>
      <c r="C2350" s="372" t="s">
        <v>15112</v>
      </c>
      <c r="D2350" s="374">
        <v>1347110002644</v>
      </c>
      <c r="E2350" s="372" t="s">
        <v>15113</v>
      </c>
      <c r="F2350" s="372" t="s">
        <v>852</v>
      </c>
      <c r="G2350" s="375" t="s">
        <v>852</v>
      </c>
      <c r="H2350" s="375" t="s">
        <v>853</v>
      </c>
      <c r="I2350" s="375" t="s">
        <v>755</v>
      </c>
      <c r="J2350" s="375">
        <v>26895.721819999999</v>
      </c>
      <c r="K2350" s="375">
        <v>-3999.44614</v>
      </c>
      <c r="L2350" s="375">
        <v>-2356.6018899999999</v>
      </c>
      <c r="M2350" s="375">
        <v>71642.478000000003</v>
      </c>
      <c r="N2350" s="372">
        <v>1.1240000000000001</v>
      </c>
      <c r="O2350" s="703">
        <v>28.511778870286015</v>
      </c>
      <c r="P2350" s="562" t="s">
        <v>623</v>
      </c>
      <c r="Q2350" s="372" t="s">
        <v>623</v>
      </c>
      <c r="R2350" s="695">
        <v>19760630</v>
      </c>
      <c r="S2350" s="372" t="s">
        <v>15114</v>
      </c>
      <c r="T2350" s="696" t="s">
        <v>772</v>
      </c>
      <c r="U2350" s="372" t="s">
        <v>16127</v>
      </c>
      <c r="V2350" s="722" t="s">
        <v>774</v>
      </c>
      <c r="W2350" s="722">
        <v>0.36</v>
      </c>
      <c r="X2350" s="722">
        <v>1.0900000000000001</v>
      </c>
      <c r="Y2350" s="722" t="s">
        <v>774</v>
      </c>
      <c r="Z2350" s="382" t="s">
        <v>934</v>
      </c>
      <c r="AA2350" s="372">
        <v>337.71091310000003</v>
      </c>
      <c r="AB2350" s="372">
        <v>259.02411940000002</v>
      </c>
      <c r="AC2350" s="372">
        <v>187.81761710000001</v>
      </c>
      <c r="AD2350" s="372">
        <v>268.9572182</v>
      </c>
      <c r="AE2350" s="372">
        <v>0</v>
      </c>
      <c r="AF2350" s="372">
        <v>0</v>
      </c>
      <c r="AG2350" s="372">
        <v>0</v>
      </c>
      <c r="AH2350" s="372">
        <v>0</v>
      </c>
    </row>
    <row r="2351" spans="1:34">
      <c r="A2351" s="372" t="s">
        <v>15115</v>
      </c>
      <c r="B2351" s="372" t="s">
        <v>15116</v>
      </c>
      <c r="C2351" s="372" t="s">
        <v>15117</v>
      </c>
      <c r="D2351" s="374">
        <v>1101111999444</v>
      </c>
      <c r="E2351" s="372" t="s">
        <v>15118</v>
      </c>
      <c r="F2351" s="372" t="s">
        <v>4682</v>
      </c>
      <c r="G2351" s="375" t="s">
        <v>4682</v>
      </c>
      <c r="H2351" s="375" t="s">
        <v>868</v>
      </c>
      <c r="I2351" s="375" t="s">
        <v>869</v>
      </c>
      <c r="J2351" s="375">
        <v>10471.94961</v>
      </c>
      <c r="K2351" s="375">
        <v>-4762.4025300000003</v>
      </c>
      <c r="L2351" s="375">
        <v>-5457.4413199999999</v>
      </c>
      <c r="M2351" s="375">
        <v>10847.11024</v>
      </c>
      <c r="N2351" s="372">
        <v>1.006</v>
      </c>
      <c r="O2351" s="703">
        <v>67.363161661217902</v>
      </c>
      <c r="P2351" s="562" t="s">
        <v>623</v>
      </c>
      <c r="Q2351" s="372" t="s">
        <v>623</v>
      </c>
      <c r="R2351" s="695">
        <v>20191224</v>
      </c>
      <c r="S2351" s="372" t="s">
        <v>15119</v>
      </c>
      <c r="T2351" s="696" t="s">
        <v>772</v>
      </c>
      <c r="U2351" s="372" t="s">
        <v>15120</v>
      </c>
      <c r="V2351" s="722" t="s">
        <v>774</v>
      </c>
      <c r="W2351" s="722">
        <v>2.2400000000000002</v>
      </c>
      <c r="X2351" s="722">
        <v>2.86</v>
      </c>
      <c r="Y2351" s="722" t="s">
        <v>774</v>
      </c>
      <c r="Z2351" s="382" t="s">
        <v>934</v>
      </c>
      <c r="AA2351" s="372">
        <v>98.153082999999995</v>
      </c>
      <c r="AB2351" s="372">
        <v>118.4017305</v>
      </c>
      <c r="AC2351" s="372">
        <v>106.31575429999999</v>
      </c>
      <c r="AD2351" s="372">
        <v>104.7194961</v>
      </c>
      <c r="AE2351" s="372">
        <v>0</v>
      </c>
      <c r="AF2351" s="372">
        <v>0</v>
      </c>
      <c r="AG2351" s="372">
        <v>0</v>
      </c>
      <c r="AH2351" s="372">
        <v>0</v>
      </c>
    </row>
    <row r="2352" spans="1:34">
      <c r="A2352" s="372" t="s">
        <v>15121</v>
      </c>
      <c r="B2352" s="372" t="s">
        <v>15122</v>
      </c>
      <c r="C2352" s="372" t="s">
        <v>15123</v>
      </c>
      <c r="D2352" s="374">
        <v>1201110040676</v>
      </c>
      <c r="E2352" s="372" t="s">
        <v>15124</v>
      </c>
      <c r="F2352" s="372" t="s">
        <v>8541</v>
      </c>
      <c r="G2352" s="375" t="s">
        <v>15125</v>
      </c>
      <c r="H2352" s="375" t="s">
        <v>868</v>
      </c>
      <c r="I2352" s="375" t="s">
        <v>869</v>
      </c>
      <c r="J2352" s="375">
        <v>23744.735669999998</v>
      </c>
      <c r="K2352" s="375">
        <v>-3946.2376800000002</v>
      </c>
      <c r="L2352" s="375">
        <v>-3773.4181199999998</v>
      </c>
      <c r="M2352" s="375">
        <v>16340.89372</v>
      </c>
      <c r="N2352" s="372">
        <v>0.78100000000000003</v>
      </c>
      <c r="O2352" s="703">
        <v>16.996399008549044</v>
      </c>
      <c r="P2352" s="562" t="s">
        <v>623</v>
      </c>
      <c r="Q2352" s="372" t="s">
        <v>623</v>
      </c>
      <c r="R2352" s="695">
        <v>20040204</v>
      </c>
      <c r="S2352" s="372" t="s">
        <v>15126</v>
      </c>
      <c r="T2352" s="696" t="s">
        <v>772</v>
      </c>
      <c r="U2352" s="372" t="s">
        <v>15127</v>
      </c>
      <c r="V2352" s="722" t="s">
        <v>774</v>
      </c>
      <c r="W2352" s="722">
        <v>1.61</v>
      </c>
      <c r="X2352" s="722">
        <v>1.35</v>
      </c>
      <c r="Y2352" s="722" t="s">
        <v>774</v>
      </c>
      <c r="Z2352" s="382" t="s">
        <v>934</v>
      </c>
      <c r="AA2352" s="372">
        <v>440.87850750000001</v>
      </c>
      <c r="AB2352" s="372">
        <v>386.48443900000001</v>
      </c>
      <c r="AC2352" s="372">
        <v>315.70718620000002</v>
      </c>
      <c r="AD2352" s="372">
        <v>237.4473567</v>
      </c>
      <c r="AE2352" s="372">
        <v>0</v>
      </c>
      <c r="AF2352" s="372">
        <v>0</v>
      </c>
      <c r="AG2352" s="372">
        <v>0</v>
      </c>
      <c r="AH2352" s="372">
        <v>0</v>
      </c>
    </row>
    <row r="2353" spans="1:34">
      <c r="A2353" s="372" t="s">
        <v>15128</v>
      </c>
      <c r="B2353" s="372" t="s">
        <v>15129</v>
      </c>
      <c r="C2353" s="372" t="s">
        <v>15130</v>
      </c>
      <c r="D2353" s="374">
        <v>1760110025872</v>
      </c>
      <c r="E2353" s="372" t="s">
        <v>15131</v>
      </c>
      <c r="F2353" s="372" t="s">
        <v>1368</v>
      </c>
      <c r="G2353" s="375" t="s">
        <v>1368</v>
      </c>
      <c r="H2353" s="375" t="s">
        <v>868</v>
      </c>
      <c r="I2353" s="375" t="s">
        <v>869</v>
      </c>
      <c r="J2353" s="375">
        <v>9608.0346399999999</v>
      </c>
      <c r="K2353" s="375">
        <v>-6528.5559300000004</v>
      </c>
      <c r="L2353" s="375">
        <v>-5857.8003799999997</v>
      </c>
      <c r="M2353" s="375">
        <v>34666.123720000003</v>
      </c>
      <c r="N2353" s="372">
        <v>0.56100000000000005</v>
      </c>
      <c r="O2353" s="703">
        <v>22.497006171214874</v>
      </c>
      <c r="P2353" s="562" t="s">
        <v>623</v>
      </c>
      <c r="Q2353" s="372" t="s">
        <v>623</v>
      </c>
      <c r="R2353" s="695">
        <v>20051005</v>
      </c>
      <c r="S2353" s="372" t="s">
        <v>2092</v>
      </c>
      <c r="T2353" s="696" t="s">
        <v>772</v>
      </c>
      <c r="U2353" s="372" t="s">
        <v>15132</v>
      </c>
      <c r="V2353" s="722" t="s">
        <v>774</v>
      </c>
      <c r="W2353" s="722">
        <v>1.06</v>
      </c>
      <c r="X2353" s="722">
        <v>3.81</v>
      </c>
      <c r="Y2353" s="722" t="s">
        <v>774</v>
      </c>
      <c r="Z2353" s="382" t="s">
        <v>934</v>
      </c>
      <c r="AA2353" s="372">
        <v>210.15637050000001</v>
      </c>
      <c r="AB2353" s="372">
        <v>125.4499024</v>
      </c>
      <c r="AC2353" s="372">
        <v>89.983685100000002</v>
      </c>
      <c r="AD2353" s="372">
        <v>96.080346399999996</v>
      </c>
      <c r="AE2353" s="372">
        <v>0</v>
      </c>
      <c r="AF2353" s="372">
        <v>0</v>
      </c>
      <c r="AG2353" s="372">
        <v>0</v>
      </c>
      <c r="AH2353" s="372">
        <v>0</v>
      </c>
    </row>
    <row r="2354" spans="1:34">
      <c r="A2354" s="372" t="s">
        <v>15133</v>
      </c>
      <c r="B2354" s="372" t="s">
        <v>15134</v>
      </c>
      <c r="C2354" s="372" t="s">
        <v>15135</v>
      </c>
      <c r="D2354" s="374">
        <v>1101118519055</v>
      </c>
      <c r="E2354" s="372" t="s">
        <v>15136</v>
      </c>
      <c r="F2354" s="372" t="s">
        <v>1151</v>
      </c>
      <c r="G2354" s="375" t="s">
        <v>1152</v>
      </c>
      <c r="H2354" s="375" t="s">
        <v>902</v>
      </c>
      <c r="I2354" s="375" t="s">
        <v>869</v>
      </c>
      <c r="J2354" s="375">
        <v>0</v>
      </c>
      <c r="K2354" s="375">
        <v>-63.016359999999999</v>
      </c>
      <c r="L2354" s="375">
        <v>473.36090000000002</v>
      </c>
      <c r="M2354" s="375">
        <v>27710.100350000001</v>
      </c>
      <c r="N2354" s="372" t="s">
        <v>1033</v>
      </c>
      <c r="O2354" s="703">
        <v>8.1653556514296088</v>
      </c>
      <c r="P2354" s="562" t="s">
        <v>623</v>
      </c>
      <c r="Q2354" s="372" t="s">
        <v>623</v>
      </c>
      <c r="R2354" s="695">
        <v>20230623</v>
      </c>
      <c r="S2354" s="372" t="s">
        <v>5525</v>
      </c>
      <c r="T2354" s="696">
        <v>0.20900000000000002</v>
      </c>
      <c r="U2354" s="372">
        <v>0</v>
      </c>
      <c r="V2354" s="722">
        <v>0</v>
      </c>
      <c r="W2354" s="722">
        <v>1.04</v>
      </c>
      <c r="X2354" s="722">
        <v>0</v>
      </c>
      <c r="Y2354" s="722">
        <v>0</v>
      </c>
      <c r="Z2354" s="382" t="s">
        <v>774</v>
      </c>
      <c r="AA2354" s="372">
        <v>0</v>
      </c>
      <c r="AB2354" s="372">
        <v>0</v>
      </c>
      <c r="AC2354" s="372">
        <v>0</v>
      </c>
      <c r="AD2354" s="372">
        <v>0</v>
      </c>
      <c r="AE2354" s="372">
        <v>0</v>
      </c>
      <c r="AF2354" s="372">
        <v>0</v>
      </c>
      <c r="AG2354" s="372">
        <v>0</v>
      </c>
      <c r="AH2354" s="372">
        <v>0</v>
      </c>
    </row>
    <row r="2355" spans="1:34">
      <c r="A2355" s="372" t="s">
        <v>15137</v>
      </c>
      <c r="B2355" s="372" t="s">
        <v>15138</v>
      </c>
      <c r="C2355" s="372" t="s">
        <v>15139</v>
      </c>
      <c r="D2355" s="374">
        <v>1243110009781</v>
      </c>
      <c r="E2355" s="372" t="s">
        <v>15140</v>
      </c>
      <c r="F2355" s="372" t="s">
        <v>1426</v>
      </c>
      <c r="G2355" s="375" t="s">
        <v>1426</v>
      </c>
      <c r="H2355" s="375" t="s">
        <v>1388</v>
      </c>
      <c r="I2355" s="375" t="s">
        <v>869</v>
      </c>
      <c r="J2355" s="375">
        <v>34586.691650000001</v>
      </c>
      <c r="K2355" s="375">
        <v>-3756.6205500000001</v>
      </c>
      <c r="L2355" s="375">
        <v>-14796.23227</v>
      </c>
      <c r="M2355" s="375">
        <v>38933.916519999999</v>
      </c>
      <c r="N2355" s="372">
        <v>0.78400000000000003</v>
      </c>
      <c r="O2355" s="703">
        <v>187.92041105515432</v>
      </c>
      <c r="P2355" s="562" t="s">
        <v>623</v>
      </c>
      <c r="Q2355" s="372" t="s">
        <v>623</v>
      </c>
      <c r="R2355" s="695">
        <v>19991201</v>
      </c>
      <c r="S2355" s="372" t="s">
        <v>15141</v>
      </c>
      <c r="T2355" s="696" t="s">
        <v>772</v>
      </c>
      <c r="U2355" s="372" t="s">
        <v>15142</v>
      </c>
      <c r="V2355" s="722" t="s">
        <v>774</v>
      </c>
      <c r="W2355" s="722">
        <v>0.76</v>
      </c>
      <c r="X2355" s="722">
        <v>0.86</v>
      </c>
      <c r="Y2355" s="722" t="s">
        <v>774</v>
      </c>
      <c r="Z2355" s="382" t="s">
        <v>934</v>
      </c>
      <c r="AA2355" s="372">
        <v>598.24246719999996</v>
      </c>
      <c r="AB2355" s="372">
        <v>691.19405630000006</v>
      </c>
      <c r="AC2355" s="372">
        <v>518.36203950000004</v>
      </c>
      <c r="AD2355" s="372">
        <v>345.8669165</v>
      </c>
      <c r="AE2355" s="372">
        <v>0</v>
      </c>
      <c r="AF2355" s="372">
        <v>0</v>
      </c>
      <c r="AG2355" s="372">
        <v>0</v>
      </c>
      <c r="AH2355" s="372">
        <v>0</v>
      </c>
    </row>
    <row r="2356" spans="1:34">
      <c r="A2356" s="372" t="s">
        <v>15143</v>
      </c>
      <c r="B2356" s="372" t="s">
        <v>15144</v>
      </c>
      <c r="C2356" s="372" t="s">
        <v>15145</v>
      </c>
      <c r="D2356" s="374">
        <v>1350110047883</v>
      </c>
      <c r="E2356" s="372" t="s">
        <v>15146</v>
      </c>
      <c r="F2356" s="372" t="s">
        <v>10547</v>
      </c>
      <c r="G2356" s="375" t="s">
        <v>15147</v>
      </c>
      <c r="H2356" s="375" t="s">
        <v>868</v>
      </c>
      <c r="I2356" s="375" t="s">
        <v>869</v>
      </c>
      <c r="J2356" s="375">
        <v>34871.199760000003</v>
      </c>
      <c r="K2356" s="375">
        <v>846.73775000000001</v>
      </c>
      <c r="L2356" s="375">
        <v>3109.7451299999998</v>
      </c>
      <c r="M2356" s="375">
        <v>47295.906490000001</v>
      </c>
      <c r="N2356" s="372">
        <v>0.86899999999999999</v>
      </c>
      <c r="O2356" s="703">
        <v>123.05792525325332</v>
      </c>
      <c r="P2356" s="562" t="s">
        <v>623</v>
      </c>
      <c r="Q2356" s="372" t="s">
        <v>623</v>
      </c>
      <c r="R2356" s="695">
        <v>20020423</v>
      </c>
      <c r="S2356" s="372" t="s">
        <v>15148</v>
      </c>
      <c r="T2356" s="696">
        <v>0.20900000000000002</v>
      </c>
      <c r="U2356" s="372" t="s">
        <v>15149</v>
      </c>
      <c r="V2356" s="722">
        <v>0</v>
      </c>
      <c r="W2356" s="722">
        <v>0.61</v>
      </c>
      <c r="X2356" s="722">
        <v>0</v>
      </c>
      <c r="Y2356" s="722">
        <v>0</v>
      </c>
      <c r="Z2356" s="382" t="s">
        <v>934</v>
      </c>
      <c r="AA2356" s="372">
        <v>259.10976799999997</v>
      </c>
      <c r="AB2356" s="372">
        <v>314.87005470000003</v>
      </c>
      <c r="AC2356" s="372">
        <v>368.70058879999999</v>
      </c>
      <c r="AD2356" s="372">
        <v>348.71199760000002</v>
      </c>
      <c r="AE2356" s="372">
        <v>0</v>
      </c>
      <c r="AF2356" s="372">
        <v>0</v>
      </c>
      <c r="AG2356" s="372">
        <v>0</v>
      </c>
      <c r="AH2356" s="372">
        <v>0</v>
      </c>
    </row>
    <row r="2357" spans="1:34">
      <c r="A2357" s="372" t="s">
        <v>15150</v>
      </c>
      <c r="B2357" s="372" t="s">
        <v>15151</v>
      </c>
      <c r="C2357" s="372" t="s">
        <v>15152</v>
      </c>
      <c r="D2357" s="374">
        <v>1101110028541</v>
      </c>
      <c r="E2357" s="372" t="s">
        <v>15153</v>
      </c>
      <c r="F2357" s="372" t="s">
        <v>7451</v>
      </c>
      <c r="G2357" s="375" t="s">
        <v>7451</v>
      </c>
      <c r="H2357" s="375" t="s">
        <v>754</v>
      </c>
      <c r="I2357" s="375" t="s">
        <v>755</v>
      </c>
      <c r="J2357" s="375">
        <v>53372.993649999997</v>
      </c>
      <c r="K2357" s="375">
        <v>-8228.6683300000004</v>
      </c>
      <c r="L2357" s="375">
        <v>-17991.104960000001</v>
      </c>
      <c r="M2357" s="375">
        <v>7148.3164699999998</v>
      </c>
      <c r="N2357" s="372">
        <v>1.135</v>
      </c>
      <c r="O2357" s="703">
        <v>119.58207695944341</v>
      </c>
      <c r="P2357" s="562" t="s">
        <v>623</v>
      </c>
      <c r="Q2357" s="372" t="s">
        <v>623</v>
      </c>
      <c r="R2357" s="695">
        <v>19731115</v>
      </c>
      <c r="S2357" s="372" t="s">
        <v>15154</v>
      </c>
      <c r="T2357" s="696" t="s">
        <v>772</v>
      </c>
      <c r="U2357" s="372" t="s">
        <v>15155</v>
      </c>
      <c r="V2357" s="722" t="s">
        <v>774</v>
      </c>
      <c r="W2357" s="722">
        <v>0.63</v>
      </c>
      <c r="X2357" s="722">
        <v>0.57999999999999996</v>
      </c>
      <c r="Y2357" s="722" t="s">
        <v>774</v>
      </c>
      <c r="Z2357" s="382" t="s">
        <v>934</v>
      </c>
      <c r="AA2357" s="372">
        <v>450.02237739999998</v>
      </c>
      <c r="AB2357" s="372">
        <v>416.40597680000002</v>
      </c>
      <c r="AC2357" s="372">
        <v>460.15093150000001</v>
      </c>
      <c r="AD2357" s="372">
        <v>533.72993650000001</v>
      </c>
      <c r="AE2357" s="372">
        <v>0</v>
      </c>
      <c r="AF2357" s="372">
        <v>0</v>
      </c>
      <c r="AG2357" s="372">
        <v>0</v>
      </c>
      <c r="AH2357" s="372">
        <v>0</v>
      </c>
    </row>
    <row r="2358" spans="1:34">
      <c r="A2358" s="372" t="s">
        <v>15156</v>
      </c>
      <c r="B2358" s="372" t="s">
        <v>15157</v>
      </c>
      <c r="C2358" s="372" t="s">
        <v>15158</v>
      </c>
      <c r="D2358" s="374">
        <v>1101110774376</v>
      </c>
      <c r="E2358" s="372" t="s">
        <v>15159</v>
      </c>
      <c r="F2358" s="372" t="s">
        <v>15160</v>
      </c>
      <c r="G2358" s="375" t="s">
        <v>15161</v>
      </c>
      <c r="H2358" s="375" t="s">
        <v>4894</v>
      </c>
      <c r="I2358" s="375" t="s">
        <v>869</v>
      </c>
      <c r="J2358" s="375">
        <v>179914.71986000001</v>
      </c>
      <c r="K2358" s="375">
        <v>3684.85079</v>
      </c>
      <c r="L2358" s="375">
        <v>2248.8012199999998</v>
      </c>
      <c r="M2358" s="375">
        <v>72775.556460000007</v>
      </c>
      <c r="N2358" s="372">
        <v>1.0109999999999999</v>
      </c>
      <c r="O2358" s="703">
        <v>114.17700022078859</v>
      </c>
      <c r="P2358" s="562" t="s">
        <v>623</v>
      </c>
      <c r="Q2358" s="372" t="s">
        <v>623</v>
      </c>
      <c r="R2358" s="695">
        <v>20011211</v>
      </c>
      <c r="S2358" s="372" t="s">
        <v>15162</v>
      </c>
      <c r="T2358" s="696">
        <v>0.20900000000000002</v>
      </c>
      <c r="U2358" s="372" t="s">
        <v>15163</v>
      </c>
      <c r="V2358" s="722">
        <v>8.07</v>
      </c>
      <c r="W2358" s="722">
        <v>0.48</v>
      </c>
      <c r="X2358" s="722">
        <v>0.16</v>
      </c>
      <c r="Y2358" s="722" t="s">
        <v>774</v>
      </c>
      <c r="Z2358" s="382" t="s">
        <v>934</v>
      </c>
      <c r="AA2358" s="372">
        <v>2342.8245299</v>
      </c>
      <c r="AB2358" s="372">
        <v>2208.1256834999999</v>
      </c>
      <c r="AC2358" s="372">
        <v>2267.5950186</v>
      </c>
      <c r="AD2358" s="372">
        <v>1799.1471985999999</v>
      </c>
      <c r="AE2358" s="372">
        <v>0</v>
      </c>
      <c r="AF2358" s="372">
        <v>0</v>
      </c>
      <c r="AG2358" s="372">
        <v>0</v>
      </c>
      <c r="AH2358" s="372">
        <v>0</v>
      </c>
    </row>
    <row r="2359" spans="1:34">
      <c r="A2359" s="372" t="s">
        <v>15164</v>
      </c>
      <c r="B2359" s="372" t="s">
        <v>15165</v>
      </c>
      <c r="C2359" s="372" t="s">
        <v>15166</v>
      </c>
      <c r="D2359" s="374">
        <v>0</v>
      </c>
      <c r="E2359" s="372" t="s">
        <v>15167</v>
      </c>
      <c r="F2359" s="372" t="s">
        <v>900</v>
      </c>
      <c r="G2359" s="375" t="s">
        <v>901</v>
      </c>
      <c r="H2359" s="375">
        <v>0</v>
      </c>
      <c r="I2359" s="375" t="s">
        <v>869</v>
      </c>
      <c r="J2359" s="375">
        <v>110922.33</v>
      </c>
      <c r="K2359" s="375">
        <v>3605.4810000000002</v>
      </c>
      <c r="L2359" s="375">
        <v>3865.4670000000001</v>
      </c>
      <c r="M2359" s="375">
        <v>117853.47500000001</v>
      </c>
      <c r="N2359" s="372">
        <v>0.84599999999999997</v>
      </c>
      <c r="O2359" s="703">
        <v>46.839387701625299</v>
      </c>
      <c r="P2359" s="562" t="s">
        <v>623</v>
      </c>
      <c r="Q2359" s="372" t="s">
        <v>623</v>
      </c>
      <c r="R2359" s="695">
        <v>20091223</v>
      </c>
      <c r="S2359" s="372" t="s">
        <v>15168</v>
      </c>
      <c r="T2359" s="696">
        <v>0.20900000000000002</v>
      </c>
      <c r="U2359" s="372" t="s">
        <v>15169</v>
      </c>
      <c r="V2359" s="722">
        <v>4.5599999999999996</v>
      </c>
      <c r="W2359" s="722">
        <v>0.28000000000000003</v>
      </c>
      <c r="X2359" s="722">
        <v>0.27</v>
      </c>
      <c r="Y2359" s="722">
        <v>13.7</v>
      </c>
      <c r="Z2359" s="382" t="s">
        <v>934</v>
      </c>
      <c r="AA2359" s="372">
        <v>991.95329000000004</v>
      </c>
      <c r="AB2359" s="372">
        <v>1184.4549300000001</v>
      </c>
      <c r="AC2359" s="372">
        <v>1241.2222099999999</v>
      </c>
      <c r="AD2359" s="372">
        <v>1109.2233000000001</v>
      </c>
      <c r="AE2359" s="372">
        <v>0</v>
      </c>
      <c r="AF2359" s="372">
        <v>0</v>
      </c>
      <c r="AG2359" s="372">
        <v>0</v>
      </c>
      <c r="AH2359" s="372">
        <v>0</v>
      </c>
    </row>
    <row r="2360" spans="1:34">
      <c r="A2360" s="372" t="s">
        <v>15170</v>
      </c>
      <c r="B2360" s="372" t="s">
        <v>15171</v>
      </c>
      <c r="C2360" s="372" t="s">
        <v>15172</v>
      </c>
      <c r="D2360" s="374">
        <v>1101110657275</v>
      </c>
      <c r="E2360" s="372" t="s">
        <v>15173</v>
      </c>
      <c r="F2360" s="372" t="s">
        <v>1774</v>
      </c>
      <c r="G2360" s="375" t="s">
        <v>6561</v>
      </c>
      <c r="H2360" s="375" t="s">
        <v>868</v>
      </c>
      <c r="I2360" s="375" t="s">
        <v>869</v>
      </c>
      <c r="J2360" s="375">
        <v>0</v>
      </c>
      <c r="K2360" s="375">
        <v>0</v>
      </c>
      <c r="L2360" s="375">
        <v>0</v>
      </c>
      <c r="M2360" s="375">
        <v>17322.48877</v>
      </c>
      <c r="N2360" s="372">
        <v>0.95699999999999996</v>
      </c>
      <c r="O2360" s="703">
        <v>41.021333987358652</v>
      </c>
      <c r="P2360" s="562" t="s">
        <v>623</v>
      </c>
      <c r="Q2360" s="372" t="s">
        <v>623</v>
      </c>
      <c r="R2360" s="695">
        <v>20011221</v>
      </c>
      <c r="S2360" s="372" t="s">
        <v>15174</v>
      </c>
      <c r="T2360" s="696" t="s">
        <v>772</v>
      </c>
      <c r="U2360" s="372" t="s">
        <v>15175</v>
      </c>
      <c r="V2360" s="722">
        <v>0</v>
      </c>
      <c r="W2360" s="722">
        <v>1.63</v>
      </c>
      <c r="X2360" s="722">
        <v>0</v>
      </c>
      <c r="Y2360" s="722">
        <v>0</v>
      </c>
      <c r="Z2360" s="382" t="s">
        <v>934</v>
      </c>
      <c r="AA2360" s="372">
        <v>36.565971099999999</v>
      </c>
      <c r="AB2360" s="372">
        <v>167.97820390000001</v>
      </c>
      <c r="AC2360" s="372">
        <v>89.888754399999996</v>
      </c>
      <c r="AD2360" s="372">
        <v>195.5289616</v>
      </c>
      <c r="AE2360" s="372">
        <v>0</v>
      </c>
      <c r="AF2360" s="372">
        <v>0</v>
      </c>
      <c r="AG2360" s="372">
        <v>0</v>
      </c>
      <c r="AH2360" s="372">
        <v>0</v>
      </c>
    </row>
    <row r="2361" spans="1:34">
      <c r="A2361" s="372" t="s">
        <v>15176</v>
      </c>
      <c r="B2361" s="372" t="s">
        <v>15177</v>
      </c>
      <c r="C2361" s="372" t="s">
        <v>15178</v>
      </c>
      <c r="D2361" s="374">
        <v>1101115779909</v>
      </c>
      <c r="E2361" s="372" t="s">
        <v>15179</v>
      </c>
      <c r="F2361" s="372" t="s">
        <v>1368</v>
      </c>
      <c r="G2361" s="375" t="s">
        <v>1368</v>
      </c>
      <c r="H2361" s="375" t="s">
        <v>868</v>
      </c>
      <c r="I2361" s="375" t="s">
        <v>869</v>
      </c>
      <c r="J2361" s="375">
        <v>17769.62847</v>
      </c>
      <c r="K2361" s="375">
        <v>-1090.42039</v>
      </c>
      <c r="L2361" s="375">
        <v>-963.75549000000001</v>
      </c>
      <c r="M2361" s="375">
        <v>35478.598059999997</v>
      </c>
      <c r="N2361" s="372">
        <v>0.83299999999999996</v>
      </c>
      <c r="O2361" s="703">
        <v>54.698502826279949</v>
      </c>
      <c r="P2361" s="562" t="s">
        <v>623</v>
      </c>
      <c r="Q2361" s="372" t="s">
        <v>623</v>
      </c>
      <c r="R2361" s="695">
        <v>20151008</v>
      </c>
      <c r="S2361" s="372" t="s">
        <v>15180</v>
      </c>
      <c r="T2361" s="696" t="s">
        <v>772</v>
      </c>
      <c r="U2361" s="372" t="s">
        <v>15181</v>
      </c>
      <c r="V2361" s="722">
        <v>0</v>
      </c>
      <c r="W2361" s="722">
        <v>0.77</v>
      </c>
      <c r="X2361" s="722">
        <v>0</v>
      </c>
      <c r="Y2361" s="722">
        <v>0</v>
      </c>
      <c r="Z2361" s="382" t="s">
        <v>934</v>
      </c>
      <c r="AA2361" s="372">
        <v>229.28127359999999</v>
      </c>
      <c r="AB2361" s="372">
        <v>227.0512822</v>
      </c>
      <c r="AC2361" s="372">
        <v>156.314515</v>
      </c>
      <c r="AD2361" s="372">
        <v>177.69628470000001</v>
      </c>
      <c r="AE2361" s="372">
        <v>0</v>
      </c>
      <c r="AF2361" s="372">
        <v>0</v>
      </c>
      <c r="AG2361" s="372">
        <v>0</v>
      </c>
      <c r="AH2361" s="372">
        <v>0</v>
      </c>
    </row>
    <row r="2362" spans="1:34">
      <c r="A2362" s="372" t="s">
        <v>15182</v>
      </c>
      <c r="B2362" s="372" t="s">
        <v>15183</v>
      </c>
      <c r="C2362" s="372" t="s">
        <v>15184</v>
      </c>
      <c r="D2362" s="374">
        <v>0</v>
      </c>
      <c r="E2362" s="372" t="s">
        <v>15185</v>
      </c>
      <c r="F2362" s="372" t="s">
        <v>900</v>
      </c>
      <c r="G2362" s="375" t="s">
        <v>901</v>
      </c>
      <c r="H2362" s="375">
        <v>0</v>
      </c>
      <c r="I2362" s="375" t="s">
        <v>869</v>
      </c>
      <c r="J2362" s="375">
        <v>109981.935</v>
      </c>
      <c r="K2362" s="375">
        <v>-139.464</v>
      </c>
      <c r="L2362" s="375">
        <v>-672.86</v>
      </c>
      <c r="M2362" s="375">
        <v>317507.321</v>
      </c>
      <c r="N2362" s="372">
        <v>0.93500000000000005</v>
      </c>
      <c r="O2362" s="703">
        <v>153.06626092137</v>
      </c>
      <c r="P2362" s="562" t="s">
        <v>623</v>
      </c>
      <c r="Q2362" s="372" t="s">
        <v>623</v>
      </c>
      <c r="R2362" s="695">
        <v>20160818</v>
      </c>
      <c r="S2362" s="372" t="s">
        <v>15186</v>
      </c>
      <c r="T2362" s="696" t="s">
        <v>772</v>
      </c>
      <c r="U2362" s="372" t="s">
        <v>15187</v>
      </c>
      <c r="V2362" s="722">
        <v>3.62</v>
      </c>
      <c r="W2362" s="722">
        <v>0.09</v>
      </c>
      <c r="X2362" s="722">
        <v>0.17</v>
      </c>
      <c r="Y2362" s="722" t="s">
        <v>774</v>
      </c>
      <c r="Z2362" s="382" t="s">
        <v>934</v>
      </c>
      <c r="AA2362" s="372">
        <v>1434.9206799999999</v>
      </c>
      <c r="AB2362" s="372">
        <v>1218.4498699999999</v>
      </c>
      <c r="AC2362" s="372">
        <v>1316.0206499999999</v>
      </c>
      <c r="AD2362" s="372">
        <v>1099.81935</v>
      </c>
      <c r="AE2362" s="372">
        <v>0</v>
      </c>
      <c r="AF2362" s="372">
        <v>0</v>
      </c>
      <c r="AG2362" s="372">
        <v>0</v>
      </c>
      <c r="AH2362" s="372">
        <v>0</v>
      </c>
    </row>
    <row r="2363" spans="1:34">
      <c r="A2363" s="372" t="s">
        <v>15188</v>
      </c>
      <c r="B2363" s="372" t="s">
        <v>15189</v>
      </c>
      <c r="C2363" s="372" t="s">
        <v>15190</v>
      </c>
      <c r="D2363" s="374">
        <v>1101110514011</v>
      </c>
      <c r="E2363" s="372" t="s">
        <v>15191</v>
      </c>
      <c r="F2363" s="372" t="s">
        <v>1761</v>
      </c>
      <c r="G2363" s="375" t="s">
        <v>1761</v>
      </c>
      <c r="H2363" s="375" t="s">
        <v>3127</v>
      </c>
      <c r="I2363" s="375" t="s">
        <v>869</v>
      </c>
      <c r="J2363" s="375">
        <v>20311.94843</v>
      </c>
      <c r="K2363" s="375">
        <v>-3991.779</v>
      </c>
      <c r="L2363" s="375">
        <v>-4492.88256</v>
      </c>
      <c r="M2363" s="375">
        <v>10513.976640000001</v>
      </c>
      <c r="N2363" s="372">
        <v>0.75600000000000001</v>
      </c>
      <c r="O2363" s="703">
        <v>2.485937501665175</v>
      </c>
      <c r="P2363" s="562" t="s">
        <v>623</v>
      </c>
      <c r="Q2363" s="372" t="s">
        <v>623</v>
      </c>
      <c r="R2363" s="695">
        <v>19920528</v>
      </c>
      <c r="S2363" s="372" t="s">
        <v>15192</v>
      </c>
      <c r="T2363" s="696" t="s">
        <v>772</v>
      </c>
      <c r="U2363" s="372" t="s">
        <v>15193</v>
      </c>
      <c r="V2363" s="722">
        <v>0</v>
      </c>
      <c r="W2363" s="722">
        <v>3.31</v>
      </c>
      <c r="X2363" s="722">
        <v>0</v>
      </c>
      <c r="Y2363" s="722">
        <v>0</v>
      </c>
      <c r="Z2363" s="382" t="s">
        <v>934</v>
      </c>
      <c r="AA2363" s="372">
        <v>42.179139200000002</v>
      </c>
      <c r="AB2363" s="372">
        <v>51.786220200000002</v>
      </c>
      <c r="AC2363" s="372">
        <v>184.79329680000001</v>
      </c>
      <c r="AD2363" s="372">
        <v>203.11948430000001</v>
      </c>
      <c r="AE2363" s="372">
        <v>0</v>
      </c>
      <c r="AF2363" s="372">
        <v>0</v>
      </c>
      <c r="AG2363" s="372">
        <v>0</v>
      </c>
      <c r="AH2363" s="372">
        <v>0</v>
      </c>
    </row>
    <row r="2364" spans="1:34">
      <c r="A2364" s="372" t="s">
        <v>15194</v>
      </c>
      <c r="B2364" s="372" t="s">
        <v>15195</v>
      </c>
      <c r="C2364" s="372" t="s">
        <v>15196</v>
      </c>
      <c r="D2364" s="374">
        <v>2849110088798</v>
      </c>
      <c r="E2364" s="372" t="s">
        <v>15197</v>
      </c>
      <c r="F2364" s="372" t="s">
        <v>2147</v>
      </c>
      <c r="G2364" s="375" t="s">
        <v>4273</v>
      </c>
      <c r="H2364" s="375" t="s">
        <v>868</v>
      </c>
      <c r="I2364" s="375" t="s">
        <v>869</v>
      </c>
      <c r="J2364" s="375">
        <v>0</v>
      </c>
      <c r="K2364" s="375">
        <v>0</v>
      </c>
      <c r="L2364" s="375">
        <v>0</v>
      </c>
      <c r="M2364" s="375">
        <v>17277.918020000001</v>
      </c>
      <c r="N2364" s="372">
        <v>0.40300000000000002</v>
      </c>
      <c r="O2364" s="703">
        <v>339.77319182306098</v>
      </c>
      <c r="P2364" s="562" t="s">
        <v>16142</v>
      </c>
      <c r="Q2364" s="372" t="s">
        <v>16145</v>
      </c>
      <c r="R2364" s="695">
        <v>20180529</v>
      </c>
      <c r="S2364" s="372" t="s">
        <v>15198</v>
      </c>
      <c r="T2364" s="696" t="s">
        <v>772</v>
      </c>
      <c r="U2364" s="372" t="s">
        <v>15199</v>
      </c>
      <c r="V2364" s="722">
        <v>0</v>
      </c>
      <c r="W2364" s="722">
        <v>3.67</v>
      </c>
      <c r="X2364" s="722">
        <v>0</v>
      </c>
      <c r="Y2364" s="722">
        <v>0</v>
      </c>
      <c r="Z2364" s="382" t="s">
        <v>934</v>
      </c>
      <c r="AA2364" s="372">
        <v>150.97617869999999</v>
      </c>
      <c r="AB2364" s="372">
        <v>180.20983100000001</v>
      </c>
      <c r="AC2364" s="372">
        <v>160.82925280000001</v>
      </c>
      <c r="AD2364" s="372">
        <v>179.9171882</v>
      </c>
      <c r="AE2364" s="372">
        <v>0</v>
      </c>
      <c r="AF2364" s="372">
        <v>0</v>
      </c>
      <c r="AG2364" s="372">
        <v>0</v>
      </c>
      <c r="AH2364" s="372">
        <v>0</v>
      </c>
    </row>
    <row r="2365" spans="1:34">
      <c r="A2365" s="372" t="s">
        <v>15200</v>
      </c>
      <c r="B2365" s="372" t="s">
        <v>15201</v>
      </c>
      <c r="C2365" s="372" t="s">
        <v>15202</v>
      </c>
      <c r="D2365" s="374">
        <v>1101110735766</v>
      </c>
      <c r="E2365" s="372" t="s">
        <v>15203</v>
      </c>
      <c r="F2365" s="372" t="s">
        <v>852</v>
      </c>
      <c r="G2365" s="375" t="s">
        <v>852</v>
      </c>
      <c r="H2365" s="375" t="s">
        <v>3127</v>
      </c>
      <c r="I2365" s="375" t="s">
        <v>869</v>
      </c>
      <c r="J2365" s="375">
        <v>115565.22699</v>
      </c>
      <c r="K2365" s="375">
        <v>60.322209999999998</v>
      </c>
      <c r="L2365" s="375">
        <v>2431.90751</v>
      </c>
      <c r="M2365" s="375">
        <v>47426.253810000002</v>
      </c>
      <c r="N2365" s="372">
        <v>1.1819999999999999</v>
      </c>
      <c r="O2365" s="703">
        <v>66.019436151700631</v>
      </c>
      <c r="P2365" s="562" t="s">
        <v>623</v>
      </c>
      <c r="Q2365" s="372" t="s">
        <v>623</v>
      </c>
      <c r="R2365" s="695">
        <v>20000704</v>
      </c>
      <c r="S2365" s="372" t="s">
        <v>15204</v>
      </c>
      <c r="T2365" s="696">
        <v>0.20900000000000002</v>
      </c>
      <c r="U2365" s="372" t="s">
        <v>15205</v>
      </c>
      <c r="V2365" s="722">
        <v>24.39</v>
      </c>
      <c r="W2365" s="722">
        <v>0.64</v>
      </c>
      <c r="X2365" s="722">
        <v>0.25</v>
      </c>
      <c r="Y2365" s="722">
        <v>14.67</v>
      </c>
      <c r="Z2365" s="382" t="s">
        <v>934</v>
      </c>
      <c r="AA2365" s="372">
        <v>1805.2685706</v>
      </c>
      <c r="AB2365" s="372">
        <v>1718.473735</v>
      </c>
      <c r="AC2365" s="372">
        <v>1053.7523507999999</v>
      </c>
      <c r="AD2365" s="372">
        <v>1155.6522699</v>
      </c>
      <c r="AE2365" s="372">
        <v>0</v>
      </c>
      <c r="AF2365" s="372">
        <v>0</v>
      </c>
      <c r="AG2365" s="372">
        <v>0</v>
      </c>
      <c r="AH2365" s="372">
        <v>0</v>
      </c>
    </row>
    <row r="2366" spans="1:34">
      <c r="A2366" s="372" t="s">
        <v>15206</v>
      </c>
      <c r="B2366" s="372" t="s">
        <v>15207</v>
      </c>
      <c r="C2366" s="372" t="s">
        <v>15208</v>
      </c>
      <c r="D2366" s="374">
        <v>1311110050086</v>
      </c>
      <c r="E2366" s="372" t="s">
        <v>15209</v>
      </c>
      <c r="F2366" s="372" t="s">
        <v>1286</v>
      </c>
      <c r="G2366" s="375" t="s">
        <v>1286</v>
      </c>
      <c r="H2366" s="375" t="s">
        <v>868</v>
      </c>
      <c r="I2366" s="375" t="s">
        <v>869</v>
      </c>
      <c r="J2366" s="375">
        <v>11647.34578</v>
      </c>
      <c r="K2366" s="375">
        <v>-3538.9180700000002</v>
      </c>
      <c r="L2366" s="375">
        <v>-2748.7427600000001</v>
      </c>
      <c r="M2366" s="375">
        <v>23205.712940000001</v>
      </c>
      <c r="N2366" s="372">
        <v>1.0069999999999999</v>
      </c>
      <c r="O2366" s="703">
        <v>6.2172661271736906</v>
      </c>
      <c r="P2366" s="562" t="s">
        <v>623</v>
      </c>
      <c r="Q2366" s="372" t="s">
        <v>623</v>
      </c>
      <c r="R2366" s="695">
        <v>20210521</v>
      </c>
      <c r="S2366" s="372" t="s">
        <v>15210</v>
      </c>
      <c r="T2366" s="696" t="s">
        <v>772</v>
      </c>
      <c r="U2366" s="372" t="s">
        <v>15211</v>
      </c>
      <c r="V2366" s="722">
        <v>0</v>
      </c>
      <c r="W2366" s="722">
        <v>1.23</v>
      </c>
      <c r="X2366" s="722">
        <v>0</v>
      </c>
      <c r="Y2366" s="722">
        <v>0</v>
      </c>
      <c r="Z2366" s="382" t="s">
        <v>934</v>
      </c>
      <c r="AA2366" s="372">
        <v>135.57858490000001</v>
      </c>
      <c r="AB2366" s="372">
        <v>125.2569013</v>
      </c>
      <c r="AC2366" s="372">
        <v>136.3766608</v>
      </c>
      <c r="AD2366" s="372">
        <v>116.47345780000001</v>
      </c>
      <c r="AE2366" s="372">
        <v>0</v>
      </c>
      <c r="AF2366" s="372">
        <v>0</v>
      </c>
      <c r="AG2366" s="372">
        <v>0</v>
      </c>
      <c r="AH2366" s="372">
        <v>0</v>
      </c>
    </row>
    <row r="2367" spans="1:34">
      <c r="A2367" s="372" t="s">
        <v>15212</v>
      </c>
      <c r="B2367" s="372" t="s">
        <v>15213</v>
      </c>
      <c r="C2367" s="372" t="s">
        <v>15214</v>
      </c>
      <c r="D2367" s="374">
        <v>1101118261911</v>
      </c>
      <c r="E2367" s="372" t="s">
        <v>15215</v>
      </c>
      <c r="F2367" s="372" t="s">
        <v>1151</v>
      </c>
      <c r="G2367" s="375" t="s">
        <v>1152</v>
      </c>
      <c r="H2367" s="375" t="s">
        <v>902</v>
      </c>
      <c r="I2367" s="375" t="s">
        <v>4455</v>
      </c>
      <c r="J2367" s="375">
        <v>0</v>
      </c>
      <c r="K2367" s="375">
        <v>-548.16309999999999</v>
      </c>
      <c r="L2367" s="375">
        <v>-236.97875999999999</v>
      </c>
      <c r="M2367" s="375">
        <v>9200.9536800000005</v>
      </c>
      <c r="N2367" s="372" t="s">
        <v>1033</v>
      </c>
      <c r="O2367" s="703" t="e">
        <v>#DIV/0!</v>
      </c>
      <c r="P2367" s="562" t="s">
        <v>623</v>
      </c>
      <c r="Q2367" s="372" t="s">
        <v>623</v>
      </c>
      <c r="R2367" s="695">
        <v>20220915</v>
      </c>
      <c r="S2367" s="372" t="e">
        <v>#N/A</v>
      </c>
      <c r="T2367" s="696" t="s">
        <v>772</v>
      </c>
      <c r="U2367" s="372">
        <v>0</v>
      </c>
      <c r="V2367" s="722">
        <v>0</v>
      </c>
      <c r="W2367" s="722">
        <v>1.71</v>
      </c>
      <c r="X2367" s="722">
        <v>0</v>
      </c>
      <c r="Y2367" s="722">
        <v>0</v>
      </c>
      <c r="Z2367" s="382" t="s">
        <v>774</v>
      </c>
      <c r="AA2367" s="372">
        <v>0</v>
      </c>
      <c r="AB2367" s="372">
        <v>0</v>
      </c>
      <c r="AC2367" s="372">
        <v>0</v>
      </c>
      <c r="AD2367" s="372">
        <v>0</v>
      </c>
      <c r="AE2367" s="372">
        <v>0</v>
      </c>
      <c r="AF2367" s="372">
        <v>0</v>
      </c>
      <c r="AG2367" s="372">
        <v>0</v>
      </c>
      <c r="AH2367" s="372">
        <v>0</v>
      </c>
    </row>
    <row r="2368" spans="1:34">
      <c r="A2368" s="372" t="s">
        <v>15216</v>
      </c>
      <c r="B2368" s="372" t="s">
        <v>15217</v>
      </c>
      <c r="C2368" s="372" t="s">
        <v>15218</v>
      </c>
      <c r="D2368" s="374">
        <v>1201110082793</v>
      </c>
      <c r="E2368" s="372" t="s">
        <v>15219</v>
      </c>
      <c r="F2368" s="372" t="s">
        <v>2139</v>
      </c>
      <c r="G2368" s="375" t="s">
        <v>8412</v>
      </c>
      <c r="H2368" s="375" t="s">
        <v>868</v>
      </c>
      <c r="I2368" s="375" t="s">
        <v>869</v>
      </c>
      <c r="J2368" s="375">
        <v>19639.701099999998</v>
      </c>
      <c r="K2368" s="375">
        <v>-2191.9845099999998</v>
      </c>
      <c r="L2368" s="375">
        <v>-1707.2877900000001</v>
      </c>
      <c r="M2368" s="375">
        <v>46171.188710000002</v>
      </c>
      <c r="N2368" s="372">
        <v>0.97</v>
      </c>
      <c r="O2368" s="703">
        <v>0</v>
      </c>
      <c r="P2368" s="562" t="s">
        <v>623</v>
      </c>
      <c r="Q2368" s="372" t="s">
        <v>623</v>
      </c>
      <c r="R2368" s="695">
        <v>20141229</v>
      </c>
      <c r="S2368" s="372" t="s">
        <v>15220</v>
      </c>
      <c r="T2368" s="696" t="s">
        <v>772</v>
      </c>
      <c r="U2368" s="372" t="s">
        <v>15221</v>
      </c>
      <c r="V2368" s="722">
        <v>0</v>
      </c>
      <c r="W2368" s="722">
        <v>0.61</v>
      </c>
      <c r="X2368" s="722">
        <v>0</v>
      </c>
      <c r="Y2368" s="722">
        <v>0</v>
      </c>
      <c r="Z2368" s="382" t="s">
        <v>934</v>
      </c>
      <c r="AA2368" s="372">
        <v>251.89340419999999</v>
      </c>
      <c r="AB2368" s="372">
        <v>281.37778580000003</v>
      </c>
      <c r="AC2368" s="372">
        <v>268.83136539999998</v>
      </c>
      <c r="AD2368" s="372">
        <v>196.39701099999999</v>
      </c>
      <c r="AE2368" s="372">
        <v>0</v>
      </c>
      <c r="AF2368" s="372">
        <v>0</v>
      </c>
      <c r="AG2368" s="372">
        <v>0</v>
      </c>
      <c r="AH2368" s="372">
        <v>0</v>
      </c>
    </row>
    <row r="2369" spans="1:34">
      <c r="A2369" s="372" t="s">
        <v>15222</v>
      </c>
      <c r="B2369" s="372" t="s">
        <v>15223</v>
      </c>
      <c r="C2369" s="372" t="s">
        <v>15224</v>
      </c>
      <c r="D2369" s="374">
        <v>1101111430498</v>
      </c>
      <c r="E2369" s="372" t="s">
        <v>15225</v>
      </c>
      <c r="F2369" s="372" t="s">
        <v>1585</v>
      </c>
      <c r="G2369" s="375" t="s">
        <v>1585</v>
      </c>
      <c r="H2369" s="375" t="s">
        <v>3127</v>
      </c>
      <c r="I2369" s="375" t="s">
        <v>869</v>
      </c>
      <c r="J2369" s="375">
        <v>0</v>
      </c>
      <c r="K2369" s="375">
        <v>0</v>
      </c>
      <c r="L2369" s="375">
        <v>0</v>
      </c>
      <c r="M2369" s="375">
        <v>128330.72394</v>
      </c>
      <c r="N2369" s="372">
        <v>1.17</v>
      </c>
      <c r="O2369" s="703">
        <v>9.5162477363700173</v>
      </c>
      <c r="P2369" s="562" t="s">
        <v>623</v>
      </c>
      <c r="Q2369" s="372" t="s">
        <v>623</v>
      </c>
      <c r="R2369" s="695">
        <v>20000607</v>
      </c>
      <c r="S2369" s="372" t="s">
        <v>15226</v>
      </c>
      <c r="T2369" s="696" t="s">
        <v>772</v>
      </c>
      <c r="U2369" s="372" t="s">
        <v>16128</v>
      </c>
      <c r="V2369" s="722">
        <v>0</v>
      </c>
      <c r="W2369" s="722">
        <v>0.51</v>
      </c>
      <c r="X2369" s="722">
        <v>0</v>
      </c>
      <c r="Y2369" s="722">
        <v>0</v>
      </c>
      <c r="Z2369" s="382" t="s">
        <v>934</v>
      </c>
      <c r="AA2369" s="372">
        <v>51.458013299999998</v>
      </c>
      <c r="AB2369" s="372">
        <v>87.220641000000001</v>
      </c>
      <c r="AC2369" s="372">
        <v>311.28632370000003</v>
      </c>
      <c r="AD2369" s="372">
        <v>273.2487418</v>
      </c>
      <c r="AE2369" s="372">
        <v>0</v>
      </c>
      <c r="AF2369" s="372">
        <v>0</v>
      </c>
      <c r="AG2369" s="372">
        <v>0</v>
      </c>
      <c r="AH2369" s="372">
        <v>0</v>
      </c>
    </row>
    <row r="2370" spans="1:34">
      <c r="A2370" s="372" t="s">
        <v>15227</v>
      </c>
      <c r="B2370" s="372" t="s">
        <v>15228</v>
      </c>
      <c r="C2370" s="372" t="s">
        <v>15229</v>
      </c>
      <c r="D2370" s="374">
        <v>1355110151022</v>
      </c>
      <c r="E2370" s="372" t="s">
        <v>15230</v>
      </c>
      <c r="F2370" s="372" t="s">
        <v>1985</v>
      </c>
      <c r="G2370" s="375" t="s">
        <v>1985</v>
      </c>
      <c r="H2370" s="375" t="s">
        <v>868</v>
      </c>
      <c r="I2370" s="375" t="s">
        <v>869</v>
      </c>
      <c r="J2370" s="375">
        <v>10281.647269999999</v>
      </c>
      <c r="K2370" s="375">
        <v>-2297.7091</v>
      </c>
      <c r="L2370" s="375">
        <v>-2153.1095700000001</v>
      </c>
      <c r="M2370" s="375">
        <v>37440.007729999998</v>
      </c>
      <c r="N2370" s="372" t="s">
        <v>1033</v>
      </c>
      <c r="O2370" s="703">
        <v>11.272074416625749</v>
      </c>
      <c r="P2370" s="562" t="s">
        <v>623</v>
      </c>
      <c r="Q2370" s="372" t="s">
        <v>623</v>
      </c>
      <c r="R2370" s="695">
        <v>20131108</v>
      </c>
      <c r="S2370" s="372" t="s">
        <v>15231</v>
      </c>
      <c r="T2370" s="696" t="s">
        <v>772</v>
      </c>
      <c r="U2370" s="372" t="s">
        <v>16129</v>
      </c>
      <c r="V2370" s="722">
        <v>0</v>
      </c>
      <c r="W2370" s="722">
        <v>0.98</v>
      </c>
      <c r="X2370" s="722">
        <v>0</v>
      </c>
      <c r="Y2370" s="722">
        <v>0</v>
      </c>
      <c r="Z2370" s="382" t="s">
        <v>934</v>
      </c>
      <c r="AA2370" s="372">
        <v>5.8719634999999997</v>
      </c>
      <c r="AB2370" s="372">
        <v>85.9868405</v>
      </c>
      <c r="AC2370" s="372">
        <v>149.54069860000001</v>
      </c>
      <c r="AD2370" s="372">
        <v>102.81647270000001</v>
      </c>
      <c r="AE2370" s="372">
        <v>0</v>
      </c>
      <c r="AF2370" s="372">
        <v>0</v>
      </c>
      <c r="AG2370" s="372">
        <v>0</v>
      </c>
      <c r="AH2370" s="372">
        <v>0</v>
      </c>
    </row>
    <row r="2371" spans="1:34">
      <c r="A2371" s="372" t="s">
        <v>15232</v>
      </c>
      <c r="B2371" s="372" t="s">
        <v>15233</v>
      </c>
      <c r="C2371" s="372" t="s">
        <v>16223</v>
      </c>
      <c r="D2371" s="374">
        <v>1101111651101</v>
      </c>
      <c r="E2371" s="372" t="s">
        <v>15234</v>
      </c>
      <c r="F2371" s="372" t="s">
        <v>1768</v>
      </c>
      <c r="G2371" s="375" t="s">
        <v>1768</v>
      </c>
      <c r="H2371" s="375" t="s">
        <v>868</v>
      </c>
      <c r="I2371" s="375" t="s">
        <v>869</v>
      </c>
      <c r="J2371" s="375">
        <v>2698.3308200000001</v>
      </c>
      <c r="K2371" s="375">
        <v>-7328.5199000000002</v>
      </c>
      <c r="L2371" s="375">
        <v>-9201.9168000000009</v>
      </c>
      <c r="M2371" s="375">
        <v>409.02120000000002</v>
      </c>
      <c r="N2371" s="372" t="s">
        <v>1033</v>
      </c>
      <c r="O2371" s="703">
        <v>8.0230997065226504</v>
      </c>
      <c r="P2371" s="562" t="s">
        <v>16142</v>
      </c>
      <c r="Q2371" s="372" t="s">
        <v>16145</v>
      </c>
      <c r="R2371" s="695">
        <v>20150617</v>
      </c>
      <c r="S2371" s="372" t="s">
        <v>15235</v>
      </c>
      <c r="T2371" s="696" t="s">
        <v>772</v>
      </c>
      <c r="U2371" s="372" t="s">
        <v>15236</v>
      </c>
      <c r="V2371" s="722" t="s">
        <v>774</v>
      </c>
      <c r="W2371" s="722">
        <v>18.670000000000002</v>
      </c>
      <c r="X2371" s="722">
        <v>2.88</v>
      </c>
      <c r="Y2371" s="722" t="s">
        <v>774</v>
      </c>
      <c r="Z2371" s="382" t="s">
        <v>934</v>
      </c>
      <c r="AA2371" s="372">
        <v>171.60454759999999</v>
      </c>
      <c r="AB2371" s="372">
        <v>132.69032179999999</v>
      </c>
      <c r="AC2371" s="372">
        <v>56.698316400000003</v>
      </c>
      <c r="AD2371" s="372">
        <v>26.9833082</v>
      </c>
      <c r="AE2371" s="372">
        <v>0</v>
      </c>
      <c r="AF2371" s="372">
        <v>0</v>
      </c>
      <c r="AG2371" s="372">
        <v>0</v>
      </c>
      <c r="AH2371" s="372">
        <v>0</v>
      </c>
    </row>
    <row r="2372" spans="1:34">
      <c r="A2372" s="372" t="s">
        <v>15237</v>
      </c>
      <c r="B2372" s="372" t="s">
        <v>15238</v>
      </c>
      <c r="C2372" s="372" t="s">
        <v>15239</v>
      </c>
      <c r="D2372" s="374">
        <v>1341110001672</v>
      </c>
      <c r="E2372" s="372" t="s">
        <v>15240</v>
      </c>
      <c r="F2372" s="372" t="s">
        <v>1368</v>
      </c>
      <c r="G2372" s="375" t="s">
        <v>1368</v>
      </c>
      <c r="H2372" s="375" t="s">
        <v>832</v>
      </c>
      <c r="I2372" s="375" t="s">
        <v>755</v>
      </c>
      <c r="J2372" s="375">
        <v>17033.83898</v>
      </c>
      <c r="K2372" s="375">
        <v>-10186.54269</v>
      </c>
      <c r="L2372" s="375">
        <v>-6787.3144700000003</v>
      </c>
      <c r="M2372" s="375">
        <v>39987.078990000002</v>
      </c>
      <c r="N2372" s="372">
        <v>1.3120000000000001</v>
      </c>
      <c r="O2372" s="703">
        <v>9.0505387609711683</v>
      </c>
      <c r="P2372" s="562" t="s">
        <v>623</v>
      </c>
      <c r="Q2372" s="372" t="s">
        <v>623</v>
      </c>
      <c r="R2372" s="695">
        <v>19950708</v>
      </c>
      <c r="S2372" s="372" t="s">
        <v>15241</v>
      </c>
      <c r="T2372" s="696" t="s">
        <v>772</v>
      </c>
      <c r="U2372" s="372" t="s">
        <v>15242</v>
      </c>
      <c r="V2372" s="722" t="s">
        <v>774</v>
      </c>
      <c r="W2372" s="722">
        <v>0.61</v>
      </c>
      <c r="X2372" s="722">
        <v>1.39</v>
      </c>
      <c r="Y2372" s="722" t="s">
        <v>774</v>
      </c>
      <c r="Z2372" s="382" t="s">
        <v>934</v>
      </c>
      <c r="AA2372" s="372">
        <v>305.19229489999998</v>
      </c>
      <c r="AB2372" s="372">
        <v>149.7779707</v>
      </c>
      <c r="AC2372" s="372">
        <v>62.462445000000002</v>
      </c>
      <c r="AD2372" s="372">
        <v>170.33838979999999</v>
      </c>
      <c r="AE2372" s="372">
        <v>0</v>
      </c>
      <c r="AF2372" s="372">
        <v>0</v>
      </c>
      <c r="AG2372" s="372">
        <v>0</v>
      </c>
      <c r="AH2372" s="372">
        <v>0</v>
      </c>
    </row>
    <row r="2373" spans="1:34">
      <c r="A2373" s="372" t="s">
        <v>15243</v>
      </c>
      <c r="B2373" s="372" t="s">
        <v>15244</v>
      </c>
      <c r="C2373" s="372" t="s">
        <v>15245</v>
      </c>
      <c r="D2373" s="374">
        <v>1101113313254</v>
      </c>
      <c r="E2373" s="372" t="s">
        <v>15246</v>
      </c>
      <c r="F2373" s="372" t="s">
        <v>5569</v>
      </c>
      <c r="G2373" s="375" t="s">
        <v>5569</v>
      </c>
      <c r="H2373" s="375" t="s">
        <v>868</v>
      </c>
      <c r="I2373" s="375" t="s">
        <v>869</v>
      </c>
      <c r="J2373" s="375">
        <v>0</v>
      </c>
      <c r="K2373" s="375">
        <v>0</v>
      </c>
      <c r="L2373" s="375">
        <v>0</v>
      </c>
      <c r="M2373" s="375">
        <v>13867.18845</v>
      </c>
      <c r="N2373" s="372" t="s">
        <v>1033</v>
      </c>
      <c r="O2373" s="703">
        <v>14.992410166845763</v>
      </c>
      <c r="P2373" s="562" t="s">
        <v>623</v>
      </c>
      <c r="Q2373" s="372" t="s">
        <v>623</v>
      </c>
      <c r="R2373" s="695">
        <v>20231103</v>
      </c>
      <c r="S2373" s="372" t="s">
        <v>15247</v>
      </c>
      <c r="T2373" s="696" t="s">
        <v>772</v>
      </c>
      <c r="U2373" s="372" t="s">
        <v>16130</v>
      </c>
      <c r="V2373" s="722">
        <v>0</v>
      </c>
      <c r="W2373" s="722">
        <v>1.9</v>
      </c>
      <c r="X2373" s="722">
        <v>0</v>
      </c>
      <c r="Y2373" s="722">
        <v>0</v>
      </c>
      <c r="Z2373" s="382" t="s">
        <v>934</v>
      </c>
      <c r="AA2373" s="372">
        <v>234.87287520000001</v>
      </c>
      <c r="AB2373" s="372">
        <v>252.21185489999999</v>
      </c>
      <c r="AC2373" s="372">
        <v>267.57764409999999</v>
      </c>
      <c r="AD2373" s="372">
        <v>222.6848009</v>
      </c>
      <c r="AE2373" s="372">
        <v>0</v>
      </c>
      <c r="AF2373" s="372">
        <v>0</v>
      </c>
      <c r="AG2373" s="372">
        <v>0</v>
      </c>
      <c r="AH2373" s="372">
        <v>0</v>
      </c>
    </row>
    <row r="2374" spans="1:34">
      <c r="A2374" s="372" t="s">
        <v>15248</v>
      </c>
      <c r="B2374" s="372" t="s">
        <v>15249</v>
      </c>
      <c r="C2374" s="372" t="s">
        <v>15250</v>
      </c>
      <c r="D2374" s="374">
        <v>1101110085541</v>
      </c>
      <c r="E2374" s="372" t="s">
        <v>15251</v>
      </c>
      <c r="F2374" s="372" t="s">
        <v>6673</v>
      </c>
      <c r="G2374" s="375" t="s">
        <v>6673</v>
      </c>
      <c r="H2374" s="375" t="s">
        <v>754</v>
      </c>
      <c r="I2374" s="375" t="s">
        <v>755</v>
      </c>
      <c r="J2374" s="375">
        <v>35279.149899999997</v>
      </c>
      <c r="K2374" s="375">
        <v>-32791.327060000003</v>
      </c>
      <c r="L2374" s="375">
        <v>-66577.966379999998</v>
      </c>
      <c r="M2374" s="375">
        <v>-126879.31159</v>
      </c>
      <c r="N2374" s="372">
        <v>1.014</v>
      </c>
      <c r="O2374" s="703">
        <v>204.71760993034945</v>
      </c>
      <c r="P2374" s="562" t="s">
        <v>16142</v>
      </c>
      <c r="Q2374" s="372" t="s">
        <v>16145</v>
      </c>
      <c r="R2374" s="695">
        <v>19750609</v>
      </c>
      <c r="S2374" s="372" t="s">
        <v>15252</v>
      </c>
      <c r="T2374" s="696" t="s">
        <v>772</v>
      </c>
      <c r="U2374" s="372" t="s">
        <v>15253</v>
      </c>
      <c r="V2374" s="722" t="s">
        <v>774</v>
      </c>
      <c r="W2374" s="722" t="s">
        <v>774</v>
      </c>
      <c r="X2374" s="722">
        <v>0.59</v>
      </c>
      <c r="Y2374" s="722" t="s">
        <v>774</v>
      </c>
      <c r="Z2374" s="382" t="s">
        <v>934</v>
      </c>
      <c r="AA2374" s="372">
        <v>4529.2840274</v>
      </c>
      <c r="AB2374" s="372">
        <v>4645.2702284999996</v>
      </c>
      <c r="AC2374" s="372">
        <v>502.05455160000002</v>
      </c>
      <c r="AD2374" s="372">
        <v>352.79149899999999</v>
      </c>
      <c r="AE2374" s="372">
        <v>0</v>
      </c>
      <c r="AF2374" s="372">
        <v>0</v>
      </c>
      <c r="AG2374" s="372">
        <v>0</v>
      </c>
      <c r="AH2374" s="372">
        <v>0</v>
      </c>
    </row>
    <row r="2375" spans="1:34">
      <c r="A2375" s="372" t="s">
        <v>15254</v>
      </c>
      <c r="B2375" s="372" t="s">
        <v>15255</v>
      </c>
      <c r="C2375" s="372" t="s">
        <v>15256</v>
      </c>
      <c r="D2375" s="374">
        <v>1101110260218</v>
      </c>
      <c r="E2375" s="372" t="s">
        <v>15257</v>
      </c>
      <c r="F2375" s="372" t="s">
        <v>1761</v>
      </c>
      <c r="G2375" s="375" t="s">
        <v>1761</v>
      </c>
      <c r="H2375" s="375" t="s">
        <v>3127</v>
      </c>
      <c r="I2375" s="375" t="s">
        <v>869</v>
      </c>
      <c r="J2375" s="375">
        <v>11308.94376</v>
      </c>
      <c r="K2375" s="375">
        <v>-13071.37851</v>
      </c>
      <c r="L2375" s="375">
        <v>-32501.58669</v>
      </c>
      <c r="M2375" s="375">
        <v>59749.053240000001</v>
      </c>
      <c r="N2375" s="372">
        <v>1.909</v>
      </c>
      <c r="O2375" s="703">
        <v>15.382239398241202</v>
      </c>
      <c r="P2375" s="562" t="s">
        <v>16142</v>
      </c>
      <c r="Q2375" s="372" t="s">
        <v>623</v>
      </c>
      <c r="R2375" s="695">
        <v>19970107</v>
      </c>
      <c r="S2375" s="372" t="s">
        <v>15258</v>
      </c>
      <c r="T2375" s="696" t="s">
        <v>772</v>
      </c>
      <c r="U2375" s="372" t="s">
        <v>15259</v>
      </c>
      <c r="V2375" s="722" t="s">
        <v>774</v>
      </c>
      <c r="W2375" s="722">
        <v>0.74</v>
      </c>
      <c r="X2375" s="722">
        <v>3.73</v>
      </c>
      <c r="Y2375" s="722" t="s">
        <v>774</v>
      </c>
      <c r="Z2375" s="382" t="s">
        <v>934</v>
      </c>
      <c r="AA2375" s="372">
        <v>155.7980446</v>
      </c>
      <c r="AB2375" s="372">
        <v>220.49905799999999</v>
      </c>
      <c r="AC2375" s="372">
        <v>83.486055699999994</v>
      </c>
      <c r="AD2375" s="372">
        <v>113.0894376</v>
      </c>
      <c r="AE2375" s="372">
        <v>0</v>
      </c>
      <c r="AF2375" s="372">
        <v>0</v>
      </c>
      <c r="AG2375" s="372">
        <v>0</v>
      </c>
      <c r="AH2375" s="372">
        <v>0</v>
      </c>
    </row>
    <row r="2376" spans="1:34">
      <c r="A2376" s="372" t="s">
        <v>15260</v>
      </c>
      <c r="B2376" s="372" t="s">
        <v>15261</v>
      </c>
      <c r="C2376" s="372" t="s">
        <v>15262</v>
      </c>
      <c r="D2376" s="374">
        <v>1101112090168</v>
      </c>
      <c r="E2376" s="372" t="s">
        <v>15263</v>
      </c>
      <c r="F2376" s="372" t="s">
        <v>2858</v>
      </c>
      <c r="G2376" s="375" t="s">
        <v>2858</v>
      </c>
      <c r="H2376" s="375" t="s">
        <v>1388</v>
      </c>
      <c r="I2376" s="375" t="s">
        <v>869</v>
      </c>
      <c r="J2376" s="375">
        <v>24805.176739999999</v>
      </c>
      <c r="K2376" s="375">
        <v>-501.46080000000001</v>
      </c>
      <c r="L2376" s="375">
        <v>324.36066</v>
      </c>
      <c r="M2376" s="375">
        <v>58433.632870000001</v>
      </c>
      <c r="N2376" s="372">
        <v>1.1599999999999999</v>
      </c>
      <c r="O2376" s="703">
        <v>16.7333516408208</v>
      </c>
      <c r="P2376" s="562" t="s">
        <v>623</v>
      </c>
      <c r="Q2376" s="372" t="s">
        <v>623</v>
      </c>
      <c r="R2376" s="695">
        <v>20070518</v>
      </c>
      <c r="S2376" s="372" t="s">
        <v>15264</v>
      </c>
      <c r="T2376" s="696">
        <v>0.20900000000000002</v>
      </c>
      <c r="U2376" s="372" t="s">
        <v>15265</v>
      </c>
      <c r="V2376" s="722" t="s">
        <v>774</v>
      </c>
      <c r="W2376" s="722">
        <v>0.46</v>
      </c>
      <c r="X2376" s="722">
        <v>1.0900000000000001</v>
      </c>
      <c r="Y2376" s="722">
        <v>13.51</v>
      </c>
      <c r="Z2376" s="382" t="s">
        <v>934</v>
      </c>
      <c r="AA2376" s="372">
        <v>243.53676350000001</v>
      </c>
      <c r="AB2376" s="372">
        <v>216.21261150000001</v>
      </c>
      <c r="AC2376" s="372">
        <v>186.4848346</v>
      </c>
      <c r="AD2376" s="372">
        <v>248.05176739999999</v>
      </c>
      <c r="AE2376" s="372">
        <v>0</v>
      </c>
      <c r="AF2376" s="372">
        <v>0</v>
      </c>
      <c r="AG2376" s="372">
        <v>0</v>
      </c>
      <c r="AH2376" s="372">
        <v>0</v>
      </c>
    </row>
    <row r="2377" spans="1:34">
      <c r="A2377" s="372" t="s">
        <v>15266</v>
      </c>
      <c r="B2377" s="372" t="s">
        <v>15267</v>
      </c>
      <c r="C2377" s="372" t="s">
        <v>15268</v>
      </c>
      <c r="D2377" s="374">
        <v>1101112915605</v>
      </c>
      <c r="E2377" s="372" t="s">
        <v>15269</v>
      </c>
      <c r="F2377" s="372" t="s">
        <v>10287</v>
      </c>
      <c r="G2377" s="375" t="s">
        <v>10287</v>
      </c>
      <c r="H2377" s="375" t="s">
        <v>1693</v>
      </c>
      <c r="I2377" s="375" t="s">
        <v>869</v>
      </c>
      <c r="J2377" s="375">
        <v>41680.901940000003</v>
      </c>
      <c r="K2377" s="375">
        <v>-6033.0302700000002</v>
      </c>
      <c r="L2377" s="375">
        <v>-6004.2706399999997</v>
      </c>
      <c r="M2377" s="375">
        <v>17147.434499999999</v>
      </c>
      <c r="N2377" s="372">
        <v>1.046</v>
      </c>
      <c r="O2377" s="703">
        <v>6.1216123620005014</v>
      </c>
      <c r="P2377" s="562" t="s">
        <v>623</v>
      </c>
      <c r="Q2377" s="372" t="s">
        <v>623</v>
      </c>
      <c r="R2377" s="695">
        <v>20040106</v>
      </c>
      <c r="S2377" s="372" t="s">
        <v>15270</v>
      </c>
      <c r="T2377" s="696" t="s">
        <v>772</v>
      </c>
      <c r="U2377" s="372" t="s">
        <v>15271</v>
      </c>
      <c r="V2377" s="722" t="s">
        <v>774</v>
      </c>
      <c r="W2377" s="722">
        <v>1.39</v>
      </c>
      <c r="X2377" s="722">
        <v>0.56999999999999995</v>
      </c>
      <c r="Y2377" s="722" t="s">
        <v>774</v>
      </c>
      <c r="Z2377" s="382" t="s">
        <v>934</v>
      </c>
      <c r="AA2377" s="372">
        <v>525.88843069999996</v>
      </c>
      <c r="AB2377" s="372">
        <v>594.62033380000003</v>
      </c>
      <c r="AC2377" s="372">
        <v>591.4653624</v>
      </c>
      <c r="AD2377" s="372">
        <v>416.80901940000001</v>
      </c>
      <c r="AE2377" s="372">
        <v>0</v>
      </c>
      <c r="AF2377" s="372">
        <v>0</v>
      </c>
      <c r="AG2377" s="372">
        <v>0</v>
      </c>
      <c r="AH2377" s="372">
        <v>0</v>
      </c>
    </row>
    <row r="2378" spans="1:34">
      <c r="A2378" s="372" t="s">
        <v>15272</v>
      </c>
      <c r="B2378" s="372" t="s">
        <v>15273</v>
      </c>
      <c r="C2378" s="372" t="s">
        <v>15274</v>
      </c>
      <c r="D2378" s="374">
        <v>1348110056871</v>
      </c>
      <c r="E2378" s="372" t="s">
        <v>15275</v>
      </c>
      <c r="F2378" s="372" t="s">
        <v>1195</v>
      </c>
      <c r="G2378" s="375" t="s">
        <v>3144</v>
      </c>
      <c r="H2378" s="375" t="s">
        <v>868</v>
      </c>
      <c r="I2378" s="375" t="s">
        <v>869</v>
      </c>
      <c r="J2378" s="375">
        <v>22697.492920000001</v>
      </c>
      <c r="K2378" s="375">
        <v>-14143.409149999999</v>
      </c>
      <c r="L2378" s="375">
        <v>-17572.856390000001</v>
      </c>
      <c r="M2378" s="375">
        <v>34852.993949999996</v>
      </c>
      <c r="N2378" s="372">
        <v>1.0780000000000001</v>
      </c>
      <c r="O2378" s="703">
        <v>129.84151006046039</v>
      </c>
      <c r="P2378" s="562" t="s">
        <v>623</v>
      </c>
      <c r="Q2378" s="372" t="s">
        <v>623</v>
      </c>
      <c r="R2378" s="695">
        <v>20050202</v>
      </c>
      <c r="S2378" s="372" t="s">
        <v>15276</v>
      </c>
      <c r="T2378" s="696" t="s">
        <v>772</v>
      </c>
      <c r="U2378" s="372" t="s">
        <v>15277</v>
      </c>
      <c r="V2378" s="722" t="s">
        <v>774</v>
      </c>
      <c r="W2378" s="722">
        <v>0.71</v>
      </c>
      <c r="X2378" s="722">
        <v>1.2</v>
      </c>
      <c r="Y2378" s="722" t="s">
        <v>774</v>
      </c>
      <c r="Z2378" s="382" t="s">
        <v>934</v>
      </c>
      <c r="AA2378" s="372">
        <v>1410.1631494000001</v>
      </c>
      <c r="AB2378" s="372">
        <v>1343.1687053999999</v>
      </c>
      <c r="AC2378" s="372">
        <v>568.61987339999996</v>
      </c>
      <c r="AD2378" s="372">
        <v>226.97492919999999</v>
      </c>
      <c r="AE2378" s="372">
        <v>0</v>
      </c>
      <c r="AF2378" s="372">
        <v>0</v>
      </c>
      <c r="AG2378" s="372">
        <v>0</v>
      </c>
      <c r="AH2378" s="372">
        <v>0</v>
      </c>
    </row>
    <row r="2379" spans="1:34">
      <c r="A2379" s="372" t="s">
        <v>15278</v>
      </c>
      <c r="B2379" s="372" t="s">
        <v>15279</v>
      </c>
      <c r="C2379" s="372" t="s">
        <v>15280</v>
      </c>
      <c r="D2379" s="374">
        <v>2013110006783</v>
      </c>
      <c r="E2379" s="372" t="s">
        <v>15281</v>
      </c>
      <c r="F2379" s="372" t="s">
        <v>1426</v>
      </c>
      <c r="G2379" s="375" t="s">
        <v>1426</v>
      </c>
      <c r="H2379" s="375" t="s">
        <v>1388</v>
      </c>
      <c r="I2379" s="375" t="s">
        <v>869</v>
      </c>
      <c r="J2379" s="375">
        <v>42204.969570000001</v>
      </c>
      <c r="K2379" s="375">
        <v>-1915.96208</v>
      </c>
      <c r="L2379" s="375">
        <v>-1022.75586</v>
      </c>
      <c r="M2379" s="375">
        <v>28927.622159999999</v>
      </c>
      <c r="N2379" s="372">
        <v>0.77900000000000003</v>
      </c>
      <c r="O2379" s="703">
        <v>84.901143053060906</v>
      </c>
      <c r="P2379" s="562" t="s">
        <v>623</v>
      </c>
      <c r="Q2379" s="372" t="s">
        <v>623</v>
      </c>
      <c r="R2379" s="695">
        <v>20000714</v>
      </c>
      <c r="S2379" s="372" t="s">
        <v>15282</v>
      </c>
      <c r="T2379" s="696" t="s">
        <v>772</v>
      </c>
      <c r="U2379" s="372" t="s">
        <v>15283</v>
      </c>
      <c r="V2379" s="722" t="s">
        <v>774</v>
      </c>
      <c r="W2379" s="722">
        <v>0.96</v>
      </c>
      <c r="X2379" s="722">
        <v>0.67</v>
      </c>
      <c r="Y2379" s="722" t="s">
        <v>774</v>
      </c>
      <c r="Z2379" s="382" t="s">
        <v>934</v>
      </c>
      <c r="AA2379" s="372">
        <v>413.60187000000002</v>
      </c>
      <c r="AB2379" s="372">
        <v>489.15234409999999</v>
      </c>
      <c r="AC2379" s="372">
        <v>405.44635499999998</v>
      </c>
      <c r="AD2379" s="372">
        <v>422.04969569999997</v>
      </c>
      <c r="AE2379" s="372">
        <v>0</v>
      </c>
      <c r="AF2379" s="372">
        <v>0</v>
      </c>
      <c r="AG2379" s="372">
        <v>0</v>
      </c>
      <c r="AH2379" s="372">
        <v>0</v>
      </c>
    </row>
    <row r="2380" spans="1:34">
      <c r="A2380" s="372" t="s">
        <v>15284</v>
      </c>
      <c r="B2380" s="372" t="s">
        <v>15285</v>
      </c>
      <c r="C2380" s="372" t="s">
        <v>15286</v>
      </c>
      <c r="D2380" s="374">
        <v>0</v>
      </c>
      <c r="E2380" s="372" t="s">
        <v>15287</v>
      </c>
      <c r="F2380" s="372" t="s">
        <v>900</v>
      </c>
      <c r="G2380" s="375" t="s">
        <v>901</v>
      </c>
      <c r="H2380" s="375">
        <v>0</v>
      </c>
      <c r="I2380" s="375" t="s">
        <v>869</v>
      </c>
      <c r="J2380" s="375">
        <v>362909.44300000003</v>
      </c>
      <c r="K2380" s="375">
        <v>14544.351000000001</v>
      </c>
      <c r="L2380" s="375">
        <v>16106.504000000001</v>
      </c>
      <c r="M2380" s="375">
        <v>211604.421</v>
      </c>
      <c r="N2380" s="372">
        <v>0.89100000000000001</v>
      </c>
      <c r="O2380" s="703">
        <v>187.68724081658522</v>
      </c>
      <c r="P2380" s="562" t="s">
        <v>623</v>
      </c>
      <c r="Q2380" s="372" t="s">
        <v>623</v>
      </c>
      <c r="R2380" s="695">
        <v>20160630</v>
      </c>
      <c r="S2380" s="372" t="s">
        <v>15288</v>
      </c>
      <c r="T2380" s="696">
        <v>0.20900000000000002</v>
      </c>
      <c r="U2380" s="372" t="s">
        <v>16131</v>
      </c>
      <c r="V2380" s="722">
        <v>1.32</v>
      </c>
      <c r="W2380" s="722">
        <v>0.13</v>
      </c>
      <c r="X2380" s="722">
        <v>0.08</v>
      </c>
      <c r="Y2380" s="722">
        <v>1.83</v>
      </c>
      <c r="Z2380" s="382" t="s">
        <v>934</v>
      </c>
      <c r="AA2380" s="372">
        <v>579.02886000000001</v>
      </c>
      <c r="AB2380" s="372">
        <v>294.67072000000002</v>
      </c>
      <c r="AC2380" s="372">
        <v>850.90992000000006</v>
      </c>
      <c r="AD2380" s="372">
        <v>3629.0944300000001</v>
      </c>
      <c r="AE2380" s="372">
        <v>0</v>
      </c>
      <c r="AF2380" s="372">
        <v>0</v>
      </c>
      <c r="AG2380" s="372">
        <v>0</v>
      </c>
      <c r="AH2380" s="372">
        <v>0</v>
      </c>
    </row>
    <row r="2381" spans="1:34">
      <c r="A2381" s="372" t="s">
        <v>15289</v>
      </c>
      <c r="B2381" s="372" t="s">
        <v>15290</v>
      </c>
      <c r="C2381" s="372" t="s">
        <v>15291</v>
      </c>
      <c r="D2381" s="374">
        <v>1345110052677</v>
      </c>
      <c r="E2381" s="372" t="s">
        <v>15292</v>
      </c>
      <c r="F2381" s="372" t="s">
        <v>1104</v>
      </c>
      <c r="G2381" s="375" t="s">
        <v>1105</v>
      </c>
      <c r="H2381" s="375" t="s">
        <v>868</v>
      </c>
      <c r="I2381" s="375" t="s">
        <v>869</v>
      </c>
      <c r="J2381" s="375">
        <v>28069.766609999999</v>
      </c>
      <c r="K2381" s="375">
        <v>-4023.1859300000001</v>
      </c>
      <c r="L2381" s="375">
        <v>-4410.61301</v>
      </c>
      <c r="M2381" s="375">
        <v>11531.44497</v>
      </c>
      <c r="N2381" s="372">
        <v>1.097</v>
      </c>
      <c r="O2381" s="703">
        <v>30.336325792987385</v>
      </c>
      <c r="P2381" s="562" t="s">
        <v>623</v>
      </c>
      <c r="Q2381" s="372" t="s">
        <v>623</v>
      </c>
      <c r="R2381" s="695">
        <v>20110803</v>
      </c>
      <c r="S2381" s="372" t="s">
        <v>15293</v>
      </c>
      <c r="T2381" s="696" t="s">
        <v>772</v>
      </c>
      <c r="U2381" s="372" t="s">
        <v>15294</v>
      </c>
      <c r="V2381" s="722" t="s">
        <v>774</v>
      </c>
      <c r="W2381" s="722">
        <v>1.71</v>
      </c>
      <c r="X2381" s="722">
        <v>0.9</v>
      </c>
      <c r="Y2381" s="722" t="s">
        <v>774</v>
      </c>
      <c r="Z2381" s="382" t="s">
        <v>934</v>
      </c>
      <c r="AA2381" s="372">
        <v>421.31838169999997</v>
      </c>
      <c r="AB2381" s="372">
        <v>384.08413619999999</v>
      </c>
      <c r="AC2381" s="372">
        <v>314.48829330000001</v>
      </c>
      <c r="AD2381" s="372">
        <v>280.69766609999999</v>
      </c>
      <c r="AE2381" s="372">
        <v>0</v>
      </c>
      <c r="AF2381" s="372">
        <v>0</v>
      </c>
      <c r="AG2381" s="372">
        <v>0</v>
      </c>
      <c r="AH2381" s="372">
        <v>0</v>
      </c>
    </row>
    <row r="2382" spans="1:34">
      <c r="A2382" s="372" t="s">
        <v>15295</v>
      </c>
      <c r="B2382" s="372" t="s">
        <v>15296</v>
      </c>
      <c r="C2382" s="372" t="s">
        <v>15297</v>
      </c>
      <c r="D2382" s="374">
        <v>1101110357403</v>
      </c>
      <c r="E2382" s="372" t="s">
        <v>15298</v>
      </c>
      <c r="F2382" s="372" t="s">
        <v>5680</v>
      </c>
      <c r="G2382" s="375" t="s">
        <v>5680</v>
      </c>
      <c r="H2382" s="375" t="s">
        <v>868</v>
      </c>
      <c r="I2382" s="375" t="s">
        <v>869</v>
      </c>
      <c r="J2382" s="375">
        <v>50963.849820000003</v>
      </c>
      <c r="K2382" s="375">
        <v>10773.303550000001</v>
      </c>
      <c r="L2382" s="375">
        <v>8284.0197800000005</v>
      </c>
      <c r="M2382" s="375">
        <v>38886.612119999998</v>
      </c>
      <c r="N2382" s="372">
        <v>0.81799999999999995</v>
      </c>
      <c r="O2382" s="703">
        <v>97.898159934723466</v>
      </c>
      <c r="P2382" s="562" t="s">
        <v>623</v>
      </c>
      <c r="Q2382" s="372" t="s">
        <v>623</v>
      </c>
      <c r="R2382" s="695">
        <v>19951227</v>
      </c>
      <c r="S2382" s="372" t="s">
        <v>15299</v>
      </c>
      <c r="T2382" s="696">
        <v>0.20900000000000002</v>
      </c>
      <c r="U2382" s="372" t="s">
        <v>15300</v>
      </c>
      <c r="V2382" s="722">
        <v>4.25</v>
      </c>
      <c r="W2382" s="722">
        <v>0.78</v>
      </c>
      <c r="X2382" s="722">
        <v>0.62</v>
      </c>
      <c r="Y2382" s="722">
        <v>3.83</v>
      </c>
      <c r="Z2382" s="382" t="s">
        <v>934</v>
      </c>
      <c r="AA2382" s="372">
        <v>633.5518591</v>
      </c>
      <c r="AB2382" s="372">
        <v>506.25242980000002</v>
      </c>
      <c r="AC2382" s="372">
        <v>586.84341329999995</v>
      </c>
      <c r="AD2382" s="372">
        <v>509.63849820000002</v>
      </c>
      <c r="AE2382" s="372">
        <v>0</v>
      </c>
      <c r="AF2382" s="372">
        <v>0</v>
      </c>
      <c r="AG2382" s="372">
        <v>0</v>
      </c>
      <c r="AH2382" s="372">
        <v>0</v>
      </c>
    </row>
    <row r="2383" spans="1:34">
      <c r="A2383" s="372" t="s">
        <v>15301</v>
      </c>
      <c r="B2383" s="372" t="s">
        <v>15302</v>
      </c>
      <c r="C2383" s="372" t="s">
        <v>15303</v>
      </c>
      <c r="D2383" s="374">
        <v>2001110418983</v>
      </c>
      <c r="E2383" s="372" t="s">
        <v>15304</v>
      </c>
      <c r="F2383" s="372" t="s">
        <v>1761</v>
      </c>
      <c r="G2383" s="375" t="s">
        <v>1761</v>
      </c>
      <c r="H2383" s="375" t="s">
        <v>3127</v>
      </c>
      <c r="I2383" s="375" t="s">
        <v>869</v>
      </c>
      <c r="J2383" s="375">
        <v>274309.38543999998</v>
      </c>
      <c r="K2383" s="375">
        <v>-106090.90676</v>
      </c>
      <c r="L2383" s="375">
        <v>-157102.43638</v>
      </c>
      <c r="M2383" s="375">
        <v>78749.665070000003</v>
      </c>
      <c r="N2383" s="372">
        <v>1.1000000000000001</v>
      </c>
      <c r="O2383" s="703">
        <v>412.53589703861849</v>
      </c>
      <c r="P2383" s="562" t="s">
        <v>16142</v>
      </c>
      <c r="Q2383" s="372" t="s">
        <v>16145</v>
      </c>
      <c r="R2383" s="695">
        <v>20220623</v>
      </c>
      <c r="S2383" s="372" t="s">
        <v>15305</v>
      </c>
      <c r="T2383" s="696" t="s">
        <v>772</v>
      </c>
      <c r="U2383" s="372" t="s">
        <v>15306</v>
      </c>
      <c r="V2383" s="722" t="s">
        <v>774</v>
      </c>
      <c r="W2383" s="722">
        <v>0.34</v>
      </c>
      <c r="X2383" s="722">
        <v>0.09</v>
      </c>
      <c r="Y2383" s="722" t="s">
        <v>774</v>
      </c>
      <c r="Z2383" s="382" t="s">
        <v>934</v>
      </c>
      <c r="AA2383" s="372">
        <v>4185.2707188000004</v>
      </c>
      <c r="AB2383" s="372">
        <v>4864.5466788000003</v>
      </c>
      <c r="AC2383" s="372">
        <v>4394.6173048999999</v>
      </c>
      <c r="AD2383" s="372">
        <v>2743.0938544000001</v>
      </c>
      <c r="AE2383" s="372">
        <v>5119</v>
      </c>
      <c r="AF2383" s="372">
        <v>5849</v>
      </c>
      <c r="AG2383" s="372">
        <v>0</v>
      </c>
      <c r="AH2383" s="372">
        <v>0</v>
      </c>
    </row>
    <row r="2384" spans="1:34">
      <c r="A2384" s="372" t="s">
        <v>15307</v>
      </c>
      <c r="B2384" s="372" t="s">
        <v>15308</v>
      </c>
      <c r="C2384" s="372" t="s">
        <v>15309</v>
      </c>
      <c r="D2384" s="374">
        <v>1115110015359</v>
      </c>
      <c r="E2384" s="372" t="s">
        <v>15310</v>
      </c>
      <c r="F2384" s="372" t="s">
        <v>4226</v>
      </c>
      <c r="G2384" s="375" t="s">
        <v>4226</v>
      </c>
      <c r="H2384" s="375" t="s">
        <v>1388</v>
      </c>
      <c r="I2384" s="375" t="s">
        <v>869</v>
      </c>
      <c r="J2384" s="375">
        <v>16680.293079999999</v>
      </c>
      <c r="K2384" s="375">
        <v>-2670.8064599999998</v>
      </c>
      <c r="L2384" s="375">
        <v>-2152.8655600000002</v>
      </c>
      <c r="M2384" s="375">
        <v>42722.598899999997</v>
      </c>
      <c r="N2384" s="372">
        <v>0.86499999999999999</v>
      </c>
      <c r="O2384" s="703">
        <v>2.1720018867033777</v>
      </c>
      <c r="P2384" s="562" t="s">
        <v>623</v>
      </c>
      <c r="Q2384" s="372" t="s">
        <v>623</v>
      </c>
      <c r="R2384" s="695">
        <v>20010718</v>
      </c>
      <c r="S2384" s="372" t="s">
        <v>15311</v>
      </c>
      <c r="T2384" s="696" t="s">
        <v>772</v>
      </c>
      <c r="U2384" s="372" t="s">
        <v>15312</v>
      </c>
      <c r="V2384" s="722">
        <v>0</v>
      </c>
      <c r="W2384" s="722">
        <v>0.62</v>
      </c>
      <c r="X2384" s="722">
        <v>0</v>
      </c>
      <c r="Y2384" s="722">
        <v>0</v>
      </c>
      <c r="Z2384" s="382" t="s">
        <v>934</v>
      </c>
      <c r="AA2384" s="372">
        <v>154.6608875</v>
      </c>
      <c r="AB2384" s="372">
        <v>145.89088150000001</v>
      </c>
      <c r="AC2384" s="372">
        <v>160.7785149</v>
      </c>
      <c r="AD2384" s="372">
        <v>166.80293080000001</v>
      </c>
      <c r="AE2384" s="372">
        <v>0</v>
      </c>
      <c r="AF2384" s="372">
        <v>0</v>
      </c>
      <c r="AG2384" s="372">
        <v>0</v>
      </c>
      <c r="AH2384" s="372">
        <v>0</v>
      </c>
    </row>
    <row r="2385" spans="1:34">
      <c r="A2385" s="372" t="s">
        <v>15313</v>
      </c>
      <c r="B2385" s="372" t="s">
        <v>15314</v>
      </c>
      <c r="C2385" s="372" t="s">
        <v>15315</v>
      </c>
      <c r="D2385" s="374">
        <v>1101112722761</v>
      </c>
      <c r="E2385" s="372" t="s">
        <v>15316</v>
      </c>
      <c r="F2385" s="372" t="s">
        <v>2692</v>
      </c>
      <c r="G2385" s="375" t="s">
        <v>15317</v>
      </c>
      <c r="H2385" s="375" t="s">
        <v>868</v>
      </c>
      <c r="I2385" s="375" t="s">
        <v>869</v>
      </c>
      <c r="J2385" s="375">
        <v>74045.039699999994</v>
      </c>
      <c r="K2385" s="375">
        <v>3549.7176300000001</v>
      </c>
      <c r="L2385" s="375">
        <v>2560.8806199999999</v>
      </c>
      <c r="M2385" s="375">
        <v>30251.830480000001</v>
      </c>
      <c r="N2385" s="372">
        <v>1.07</v>
      </c>
      <c r="O2385" s="703">
        <v>109.26496782520823</v>
      </c>
      <c r="P2385" s="562" t="s">
        <v>623</v>
      </c>
      <c r="Q2385" s="372" t="s">
        <v>623</v>
      </c>
      <c r="R2385" s="695">
        <v>20090417</v>
      </c>
      <c r="S2385" s="372" t="s">
        <v>15318</v>
      </c>
      <c r="T2385" s="696">
        <v>0.20900000000000002</v>
      </c>
      <c r="U2385" s="372" t="s">
        <v>15319</v>
      </c>
      <c r="V2385" s="722">
        <v>7.09</v>
      </c>
      <c r="W2385" s="722">
        <v>0.87</v>
      </c>
      <c r="X2385" s="722">
        <v>0.37</v>
      </c>
      <c r="Y2385" s="722">
        <v>13.67</v>
      </c>
      <c r="Z2385" s="382" t="s">
        <v>934</v>
      </c>
      <c r="AA2385" s="372">
        <v>684.27471309999999</v>
      </c>
      <c r="AB2385" s="372">
        <v>644.87015789999998</v>
      </c>
      <c r="AC2385" s="372">
        <v>731.62090460000002</v>
      </c>
      <c r="AD2385" s="372">
        <v>740.45039699999995</v>
      </c>
      <c r="AE2385" s="372">
        <v>0</v>
      </c>
      <c r="AF2385" s="372">
        <v>0</v>
      </c>
      <c r="AG2385" s="372">
        <v>0</v>
      </c>
      <c r="AH2385" s="372">
        <v>0</v>
      </c>
    </row>
    <row r="2386" spans="1:34">
      <c r="A2386" s="372" t="s">
        <v>15320</v>
      </c>
      <c r="B2386" s="372" t="s">
        <v>15321</v>
      </c>
      <c r="C2386" s="372" t="s">
        <v>15322</v>
      </c>
      <c r="D2386" s="374">
        <v>1101110028632</v>
      </c>
      <c r="E2386" s="372" t="s">
        <v>15323</v>
      </c>
      <c r="F2386" s="372" t="s">
        <v>2112</v>
      </c>
      <c r="G2386" s="375" t="s">
        <v>2458</v>
      </c>
      <c r="H2386" s="375" t="s">
        <v>817</v>
      </c>
      <c r="I2386" s="375" t="s">
        <v>755</v>
      </c>
      <c r="J2386" s="375">
        <v>106293.82975999999</v>
      </c>
      <c r="K2386" s="375">
        <v>672.77634</v>
      </c>
      <c r="L2386" s="375">
        <v>318.12984999999998</v>
      </c>
      <c r="M2386" s="375">
        <v>51265.33741</v>
      </c>
      <c r="N2386" s="372">
        <v>1.0209999999999999</v>
      </c>
      <c r="O2386" s="703">
        <v>54.242366986318466</v>
      </c>
      <c r="P2386" s="562" t="s">
        <v>623</v>
      </c>
      <c r="Q2386" s="372" t="s">
        <v>623</v>
      </c>
      <c r="R2386" s="695">
        <v>19881123</v>
      </c>
      <c r="S2386" s="372" t="s">
        <v>15324</v>
      </c>
      <c r="T2386" s="696">
        <v>0.20900000000000002</v>
      </c>
      <c r="U2386" s="372" t="s">
        <v>15325</v>
      </c>
      <c r="V2386" s="722">
        <v>0</v>
      </c>
      <c r="W2386" s="722">
        <v>0.5</v>
      </c>
      <c r="X2386" s="722">
        <v>0</v>
      </c>
      <c r="Y2386" s="722">
        <v>0</v>
      </c>
      <c r="Z2386" s="382" t="s">
        <v>934</v>
      </c>
      <c r="AA2386" s="372">
        <v>773.26954909999995</v>
      </c>
      <c r="AB2386" s="372">
        <v>1047.7070636000001</v>
      </c>
      <c r="AC2386" s="372">
        <v>1252.6399262</v>
      </c>
      <c r="AD2386" s="372">
        <v>1062.9382975999999</v>
      </c>
      <c r="AE2386" s="372">
        <v>0</v>
      </c>
      <c r="AF2386" s="372">
        <v>0</v>
      </c>
      <c r="AG2386" s="372">
        <v>0</v>
      </c>
      <c r="AH2386" s="372">
        <v>0</v>
      </c>
    </row>
    <row r="2387" spans="1:34">
      <c r="A2387" s="372" t="s">
        <v>15326</v>
      </c>
      <c r="B2387" s="372" t="s">
        <v>15327</v>
      </c>
      <c r="C2387" s="372" t="s">
        <v>15328</v>
      </c>
      <c r="D2387" s="374">
        <v>1101111194739</v>
      </c>
      <c r="E2387" s="372" t="s">
        <v>15329</v>
      </c>
      <c r="F2387" s="372" t="s">
        <v>10011</v>
      </c>
      <c r="G2387" s="375" t="s">
        <v>10011</v>
      </c>
      <c r="H2387" s="375" t="s">
        <v>3127</v>
      </c>
      <c r="I2387" s="375" t="s">
        <v>869</v>
      </c>
      <c r="J2387" s="375">
        <v>128819.48245</v>
      </c>
      <c r="K2387" s="375">
        <v>-634.86909000000003</v>
      </c>
      <c r="L2387" s="375">
        <v>-7566.32024</v>
      </c>
      <c r="M2387" s="375">
        <v>23225.320469999999</v>
      </c>
      <c r="N2387" s="372">
        <v>1.046</v>
      </c>
      <c r="O2387" s="703">
        <v>138.21042795926991</v>
      </c>
      <c r="P2387" s="562" t="s">
        <v>16142</v>
      </c>
      <c r="Q2387" s="372" t="s">
        <v>16145</v>
      </c>
      <c r="R2387" s="695">
        <v>20070718</v>
      </c>
      <c r="S2387" s="372" t="s">
        <v>15330</v>
      </c>
      <c r="T2387" s="696" t="s">
        <v>772</v>
      </c>
      <c r="U2387" s="372" t="s">
        <v>16132</v>
      </c>
      <c r="V2387" s="722">
        <v>99.91</v>
      </c>
      <c r="W2387" s="722">
        <v>1.24</v>
      </c>
      <c r="X2387" s="722">
        <v>0.26</v>
      </c>
      <c r="Y2387" s="722" t="s">
        <v>774</v>
      </c>
      <c r="Z2387" s="382" t="s">
        <v>934</v>
      </c>
      <c r="AA2387" s="372">
        <v>467.47521</v>
      </c>
      <c r="AB2387" s="372">
        <v>1043.0580210999999</v>
      </c>
      <c r="AC2387" s="372">
        <v>1213.0218835999999</v>
      </c>
      <c r="AD2387" s="372">
        <v>1288.1948245000001</v>
      </c>
      <c r="AE2387" s="372">
        <v>0</v>
      </c>
      <c r="AF2387" s="372">
        <v>0</v>
      </c>
      <c r="AG2387" s="372">
        <v>0</v>
      </c>
      <c r="AH2387" s="372">
        <v>0</v>
      </c>
    </row>
    <row r="2388" spans="1:34">
      <c r="A2388" s="372" t="s">
        <v>15331</v>
      </c>
      <c r="B2388" s="372" t="s">
        <v>15332</v>
      </c>
      <c r="C2388" s="372" t="s">
        <v>15333</v>
      </c>
      <c r="D2388" s="374">
        <v>1341110173489</v>
      </c>
      <c r="E2388" s="372" t="s">
        <v>15334</v>
      </c>
      <c r="F2388" s="372" t="s">
        <v>10990</v>
      </c>
      <c r="G2388" s="375" t="s">
        <v>10990</v>
      </c>
      <c r="H2388" s="375" t="s">
        <v>868</v>
      </c>
      <c r="I2388" s="375" t="s">
        <v>869</v>
      </c>
      <c r="J2388" s="375">
        <v>59576.122519999997</v>
      </c>
      <c r="K2388" s="375">
        <v>1247.6143099999999</v>
      </c>
      <c r="L2388" s="375">
        <v>-7015.1735900000003</v>
      </c>
      <c r="M2388" s="375">
        <v>102868.55443</v>
      </c>
      <c r="N2388" s="372">
        <v>1.103</v>
      </c>
      <c r="O2388" s="703">
        <v>216.34614427910267</v>
      </c>
      <c r="P2388" s="562" t="s">
        <v>623</v>
      </c>
      <c r="Q2388" s="372" t="s">
        <v>623</v>
      </c>
      <c r="R2388" s="695">
        <v>20090316</v>
      </c>
      <c r="S2388" s="372" t="s">
        <v>15335</v>
      </c>
      <c r="T2388" s="696" t="s">
        <v>772</v>
      </c>
      <c r="U2388" s="372" t="s">
        <v>15336</v>
      </c>
      <c r="V2388" s="722">
        <v>27.95</v>
      </c>
      <c r="W2388" s="722">
        <v>0.31</v>
      </c>
      <c r="X2388" s="722">
        <v>0.47</v>
      </c>
      <c r="Y2388" s="722" t="s">
        <v>774</v>
      </c>
      <c r="Z2388" s="382" t="s">
        <v>934</v>
      </c>
      <c r="AA2388" s="372">
        <v>1698.2261000999999</v>
      </c>
      <c r="AB2388" s="372">
        <v>503.58674680000001</v>
      </c>
      <c r="AC2388" s="372">
        <v>514.59059479999996</v>
      </c>
      <c r="AD2388" s="372">
        <v>595.76122520000001</v>
      </c>
      <c r="AE2388" s="372">
        <v>11399</v>
      </c>
      <c r="AF2388" s="372">
        <v>0</v>
      </c>
      <c r="AG2388" s="372">
        <v>0</v>
      </c>
      <c r="AH2388" s="372">
        <v>0</v>
      </c>
    </row>
    <row r="2389" spans="1:34">
      <c r="A2389" s="372" t="s">
        <v>15337</v>
      </c>
      <c r="B2389" s="372" t="s">
        <v>15338</v>
      </c>
      <c r="C2389" s="372" t="s">
        <v>16224</v>
      </c>
      <c r="D2389" s="374">
        <v>1101114865569</v>
      </c>
      <c r="E2389" s="372" t="s">
        <v>16225</v>
      </c>
      <c r="F2389" s="372" t="s">
        <v>16226</v>
      </c>
      <c r="G2389" s="375" t="s">
        <v>16226</v>
      </c>
      <c r="H2389" s="375" t="s">
        <v>1348</v>
      </c>
      <c r="I2389" s="375" t="s">
        <v>869</v>
      </c>
      <c r="J2389" s="375">
        <v>182319.78972</v>
      </c>
      <c r="K2389" s="375">
        <v>-6715.6373000000003</v>
      </c>
      <c r="L2389" s="375">
        <v>-33640.269130000001</v>
      </c>
      <c r="M2389" s="375">
        <v>14516.83121</v>
      </c>
      <c r="N2389" s="372">
        <v>0.78400000000000003</v>
      </c>
      <c r="O2389" s="703">
        <v>203.4580404002821</v>
      </c>
      <c r="P2389" s="562" t="s">
        <v>623</v>
      </c>
      <c r="Q2389" s="372" t="s">
        <v>623</v>
      </c>
      <c r="R2389" s="695">
        <v>20181115</v>
      </c>
      <c r="S2389" s="372" t="s">
        <v>15339</v>
      </c>
      <c r="T2389" s="696" t="s">
        <v>772</v>
      </c>
      <c r="U2389" s="372" t="s">
        <v>15340</v>
      </c>
      <c r="V2389" s="722" t="s">
        <v>774</v>
      </c>
      <c r="W2389" s="722">
        <v>3.39</v>
      </c>
      <c r="X2389" s="722">
        <v>0.24</v>
      </c>
      <c r="Y2389" s="722" t="s">
        <v>774</v>
      </c>
      <c r="Z2389" s="382" t="s">
        <v>934</v>
      </c>
      <c r="AA2389" s="372">
        <v>251.98828409999999</v>
      </c>
      <c r="AB2389" s="372">
        <v>132.34569859999999</v>
      </c>
      <c r="AC2389" s="372">
        <v>32.030520000000003</v>
      </c>
      <c r="AD2389" s="372">
        <v>1823.1978971999999</v>
      </c>
      <c r="AE2389" s="372">
        <v>0</v>
      </c>
      <c r="AF2389" s="372">
        <v>0</v>
      </c>
      <c r="AG2389" s="372">
        <v>0</v>
      </c>
      <c r="AH2389" s="372">
        <v>0</v>
      </c>
    </row>
    <row r="2390" spans="1:34">
      <c r="A2390" s="372" t="s">
        <v>15341</v>
      </c>
      <c r="B2390" s="372" t="s">
        <v>15342</v>
      </c>
      <c r="C2390" s="372" t="s">
        <v>15343</v>
      </c>
      <c r="D2390" s="374">
        <v>1101111860083</v>
      </c>
      <c r="E2390" s="372" t="s">
        <v>15344</v>
      </c>
      <c r="F2390" s="372" t="s">
        <v>6425</v>
      </c>
      <c r="G2390" s="375" t="s">
        <v>15345</v>
      </c>
      <c r="H2390" s="375" t="s">
        <v>868</v>
      </c>
      <c r="I2390" s="375" t="s">
        <v>869</v>
      </c>
      <c r="J2390" s="375">
        <v>10499.38222</v>
      </c>
      <c r="K2390" s="375">
        <v>1001.03539</v>
      </c>
      <c r="L2390" s="375">
        <v>1477.6542199999999</v>
      </c>
      <c r="M2390" s="375">
        <v>21604.73717</v>
      </c>
      <c r="N2390" s="372">
        <v>0.95</v>
      </c>
      <c r="O2390" s="703">
        <v>5.14594265973943</v>
      </c>
      <c r="P2390" s="562" t="s">
        <v>623</v>
      </c>
      <c r="Q2390" s="372" t="s">
        <v>623</v>
      </c>
      <c r="R2390" s="695">
        <v>20110427</v>
      </c>
      <c r="S2390" s="372" t="s">
        <v>15346</v>
      </c>
      <c r="T2390" s="696">
        <v>0.20900000000000002</v>
      </c>
      <c r="U2390" s="372" t="s">
        <v>15347</v>
      </c>
      <c r="V2390" s="722">
        <v>0</v>
      </c>
      <c r="W2390" s="722">
        <v>0.98</v>
      </c>
      <c r="X2390" s="722">
        <v>0</v>
      </c>
      <c r="Y2390" s="722">
        <v>0</v>
      </c>
      <c r="Z2390" s="382" t="s">
        <v>934</v>
      </c>
      <c r="AA2390" s="372">
        <v>107.38282820000001</v>
      </c>
      <c r="AB2390" s="372">
        <v>108.45632519999999</v>
      </c>
      <c r="AC2390" s="372">
        <v>111.0451118</v>
      </c>
      <c r="AD2390" s="372">
        <v>104.9938222</v>
      </c>
      <c r="AE2390" s="372">
        <v>0</v>
      </c>
      <c r="AF2390" s="372">
        <v>0</v>
      </c>
      <c r="AG2390" s="372">
        <v>0</v>
      </c>
      <c r="AH2390" s="372">
        <v>0</v>
      </c>
    </row>
    <row r="2391" spans="1:34">
      <c r="A2391" s="372" t="s">
        <v>15348</v>
      </c>
      <c r="B2391" s="372" t="s">
        <v>15349</v>
      </c>
      <c r="C2391" s="372" t="s">
        <v>15350</v>
      </c>
      <c r="D2391" s="374">
        <v>1101111015779</v>
      </c>
      <c r="E2391" s="372" t="s">
        <v>15351</v>
      </c>
      <c r="F2391" s="372" t="s">
        <v>1592</v>
      </c>
      <c r="G2391" s="375" t="s">
        <v>6376</v>
      </c>
      <c r="H2391" s="375" t="s">
        <v>868</v>
      </c>
      <c r="I2391" s="375" t="s">
        <v>869</v>
      </c>
      <c r="J2391" s="375">
        <v>122181.43586</v>
      </c>
      <c r="K2391" s="375">
        <v>-24645.655269999999</v>
      </c>
      <c r="L2391" s="375">
        <v>-27513.023700000002</v>
      </c>
      <c r="M2391" s="375">
        <v>42504.678959999997</v>
      </c>
      <c r="N2391" s="372">
        <v>1.083</v>
      </c>
      <c r="O2391" s="703">
        <v>332.94275493874983</v>
      </c>
      <c r="P2391" s="562" t="s">
        <v>623</v>
      </c>
      <c r="Q2391" s="372" t="s">
        <v>623</v>
      </c>
      <c r="R2391" s="695">
        <v>20101026</v>
      </c>
      <c r="S2391" s="372" t="s">
        <v>15352</v>
      </c>
      <c r="T2391" s="696" t="s">
        <v>772</v>
      </c>
      <c r="U2391" s="372" t="s">
        <v>15353</v>
      </c>
      <c r="V2391" s="722" t="s">
        <v>774</v>
      </c>
      <c r="W2391" s="722">
        <v>0.65</v>
      </c>
      <c r="X2391" s="722">
        <v>0.14000000000000001</v>
      </c>
      <c r="Y2391" s="722" t="s">
        <v>774</v>
      </c>
      <c r="Z2391" s="382" t="s">
        <v>934</v>
      </c>
      <c r="AA2391" s="372">
        <v>1393.5219669999999</v>
      </c>
      <c r="AB2391" s="372">
        <v>1327.9649821999999</v>
      </c>
      <c r="AC2391" s="372">
        <v>1311.5294305</v>
      </c>
      <c r="AD2391" s="372">
        <v>1221.8143586000001</v>
      </c>
      <c r="AE2391" s="372">
        <v>0</v>
      </c>
      <c r="AF2391" s="372">
        <v>0</v>
      </c>
      <c r="AG2391" s="372">
        <v>0</v>
      </c>
      <c r="AH2391" s="372">
        <v>0</v>
      </c>
    </row>
    <row r="2392" spans="1:34">
      <c r="A2392" s="372" t="s">
        <v>15354</v>
      </c>
      <c r="B2392" s="372" t="s">
        <v>15355</v>
      </c>
      <c r="C2392" s="372" t="s">
        <v>16227</v>
      </c>
      <c r="D2392" s="374">
        <v>1101114519281</v>
      </c>
      <c r="E2392" s="372" t="s">
        <v>16133</v>
      </c>
      <c r="F2392" s="372" t="s">
        <v>1761</v>
      </c>
      <c r="G2392" s="375" t="s">
        <v>1761</v>
      </c>
      <c r="H2392" s="375" t="s">
        <v>3127</v>
      </c>
      <c r="I2392" s="375" t="s">
        <v>869</v>
      </c>
      <c r="J2392" s="375">
        <v>27520.272870000001</v>
      </c>
      <c r="K2392" s="375">
        <v>293.84275000000002</v>
      </c>
      <c r="L2392" s="375">
        <v>-1317.33665</v>
      </c>
      <c r="M2392" s="375">
        <v>22416.885190000001</v>
      </c>
      <c r="N2392" s="372" t="s">
        <v>1033</v>
      </c>
      <c r="O2392" s="703">
        <v>0.98272561504203737</v>
      </c>
      <c r="P2392" s="562" t="s">
        <v>623</v>
      </c>
      <c r="Q2392" s="372" t="s">
        <v>623</v>
      </c>
      <c r="R2392" s="695">
        <v>20151224</v>
      </c>
      <c r="S2392" s="372" t="s">
        <v>15356</v>
      </c>
      <c r="T2392" s="696" t="s">
        <v>772</v>
      </c>
      <c r="U2392" s="372" t="s">
        <v>15357</v>
      </c>
      <c r="V2392" s="722">
        <v>0</v>
      </c>
      <c r="W2392" s="722">
        <v>1.18</v>
      </c>
      <c r="X2392" s="722">
        <v>0</v>
      </c>
      <c r="Y2392" s="722">
        <v>0</v>
      </c>
      <c r="Z2392" s="382" t="s">
        <v>934</v>
      </c>
      <c r="AA2392" s="372">
        <v>63.817214399999997</v>
      </c>
      <c r="AB2392" s="372">
        <v>166.77098599999999</v>
      </c>
      <c r="AC2392" s="372">
        <v>207.26718539999999</v>
      </c>
      <c r="AD2392" s="372">
        <v>275.20272870000002</v>
      </c>
      <c r="AE2392" s="372">
        <v>0</v>
      </c>
      <c r="AF2392" s="372">
        <v>0</v>
      </c>
      <c r="AG2392" s="372">
        <v>0</v>
      </c>
      <c r="AH2392" s="372">
        <v>0</v>
      </c>
    </row>
    <row r="2393" spans="1:34">
      <c r="A2393" s="372" t="s">
        <v>15358</v>
      </c>
      <c r="B2393" s="372" t="s">
        <v>15359</v>
      </c>
      <c r="C2393" s="372" t="s">
        <v>15360</v>
      </c>
      <c r="D2393" s="374">
        <v>0</v>
      </c>
      <c r="E2393" s="372" t="s">
        <v>15361</v>
      </c>
      <c r="F2393" s="372" t="s">
        <v>900</v>
      </c>
      <c r="G2393" s="375" t="s">
        <v>901</v>
      </c>
      <c r="H2393" s="375">
        <v>0</v>
      </c>
      <c r="I2393" s="375" t="s">
        <v>869</v>
      </c>
      <c r="J2393" s="375">
        <v>40978.836000000003</v>
      </c>
      <c r="K2393" s="375">
        <v>-164338.79500000001</v>
      </c>
      <c r="L2393" s="375">
        <v>-165836.772</v>
      </c>
      <c r="M2393" s="375">
        <v>133718.913</v>
      </c>
      <c r="N2393" s="372">
        <v>1.149</v>
      </c>
      <c r="O2393" s="703">
        <v>94.093558157116746</v>
      </c>
      <c r="P2393" s="562" t="s">
        <v>16142</v>
      </c>
      <c r="Q2393" s="372" t="s">
        <v>16145</v>
      </c>
      <c r="R2393" s="695">
        <v>20161019</v>
      </c>
      <c r="S2393" s="372" t="s">
        <v>15362</v>
      </c>
      <c r="T2393" s="696" t="s">
        <v>772</v>
      </c>
      <c r="U2393" s="372" t="s">
        <v>15363</v>
      </c>
      <c r="V2393" s="722" t="s">
        <v>774</v>
      </c>
      <c r="W2393" s="722">
        <v>0.21</v>
      </c>
      <c r="X2393" s="722">
        <v>0.69</v>
      </c>
      <c r="Y2393" s="722" t="s">
        <v>774</v>
      </c>
      <c r="Z2393" s="382" t="s">
        <v>934</v>
      </c>
      <c r="AA2393" s="372">
        <v>1284.0695000000001</v>
      </c>
      <c r="AB2393" s="372">
        <v>1170.9202600000001</v>
      </c>
      <c r="AC2393" s="372">
        <v>694.52400999999998</v>
      </c>
      <c r="AD2393" s="372">
        <v>409.78836000000001</v>
      </c>
      <c r="AE2393" s="372">
        <v>0</v>
      </c>
      <c r="AF2393" s="372">
        <v>0</v>
      </c>
      <c r="AG2393" s="372">
        <v>0</v>
      </c>
      <c r="AH2393" s="372">
        <v>0</v>
      </c>
    </row>
    <row r="2394" spans="1:34">
      <c r="A2394" s="372" t="s">
        <v>15364</v>
      </c>
      <c r="B2394" s="372" t="s">
        <v>15365</v>
      </c>
      <c r="C2394" s="372" t="s">
        <v>15366</v>
      </c>
      <c r="D2394" s="374">
        <v>1311110165843</v>
      </c>
      <c r="E2394" s="372" t="s">
        <v>15367</v>
      </c>
      <c r="F2394" s="372" t="s">
        <v>1782</v>
      </c>
      <c r="G2394" s="375" t="s">
        <v>1782</v>
      </c>
      <c r="H2394" s="375" t="s">
        <v>1388</v>
      </c>
      <c r="I2394" s="375" t="s">
        <v>869</v>
      </c>
      <c r="J2394" s="375">
        <v>13924.44803</v>
      </c>
      <c r="K2394" s="375">
        <v>-7727.6521199999997</v>
      </c>
      <c r="L2394" s="375">
        <v>-7217.1040999999996</v>
      </c>
      <c r="M2394" s="375">
        <v>18027.212630000002</v>
      </c>
      <c r="N2394" s="372">
        <v>1.089</v>
      </c>
      <c r="O2394" s="703">
        <v>18.106663297548835</v>
      </c>
      <c r="P2394" s="562" t="s">
        <v>623</v>
      </c>
      <c r="Q2394" s="372" t="s">
        <v>623</v>
      </c>
      <c r="R2394" s="695">
        <v>20121227</v>
      </c>
      <c r="S2394" s="372" t="s">
        <v>15368</v>
      </c>
      <c r="T2394" s="696" t="s">
        <v>772</v>
      </c>
      <c r="U2394" s="372" t="s">
        <v>15369</v>
      </c>
      <c r="V2394" s="722" t="s">
        <v>774</v>
      </c>
      <c r="W2394" s="722">
        <v>1.28</v>
      </c>
      <c r="X2394" s="722">
        <v>1.68</v>
      </c>
      <c r="Y2394" s="722" t="s">
        <v>774</v>
      </c>
      <c r="Z2394" s="382" t="s">
        <v>934</v>
      </c>
      <c r="AA2394" s="372">
        <v>252.82382480000001</v>
      </c>
      <c r="AB2394" s="372">
        <v>276.11573040000002</v>
      </c>
      <c r="AC2394" s="372">
        <v>132.61873900000001</v>
      </c>
      <c r="AD2394" s="372">
        <v>139.24448029999999</v>
      </c>
      <c r="AE2394" s="372">
        <v>0</v>
      </c>
      <c r="AF2394" s="372">
        <v>0</v>
      </c>
      <c r="AG2394" s="372">
        <v>0</v>
      </c>
      <c r="AH2394" s="372">
        <v>0</v>
      </c>
    </row>
    <row r="2395" spans="1:34">
      <c r="A2395" s="372" t="s">
        <v>15370</v>
      </c>
      <c r="B2395" s="372" t="s">
        <v>15371</v>
      </c>
      <c r="C2395" s="372" t="s">
        <v>15372</v>
      </c>
      <c r="D2395" s="374">
        <v>1101111574709</v>
      </c>
      <c r="E2395" s="372" t="s">
        <v>15373</v>
      </c>
      <c r="F2395" s="372" t="s">
        <v>1814</v>
      </c>
      <c r="G2395" s="375" t="s">
        <v>1815</v>
      </c>
      <c r="H2395" s="375" t="s">
        <v>1693</v>
      </c>
      <c r="I2395" s="375" t="s">
        <v>869</v>
      </c>
      <c r="J2395" s="375">
        <v>4941.1750599999996</v>
      </c>
      <c r="K2395" s="375">
        <v>-2990.5835099999999</v>
      </c>
      <c r="L2395" s="375">
        <v>-8424.5781100000004</v>
      </c>
      <c r="M2395" s="375">
        <v>8339.2134800000003</v>
      </c>
      <c r="N2395" s="372" t="s">
        <v>1033</v>
      </c>
      <c r="O2395" s="703">
        <v>49.380492997555287</v>
      </c>
      <c r="P2395" s="562" t="s">
        <v>16142</v>
      </c>
      <c r="Q2395" s="372" t="s">
        <v>16145</v>
      </c>
      <c r="R2395" s="695">
        <v>20160728</v>
      </c>
      <c r="S2395" s="372" t="s">
        <v>15374</v>
      </c>
      <c r="T2395" s="696" t="s">
        <v>772</v>
      </c>
      <c r="U2395" s="372" t="s">
        <v>15375</v>
      </c>
      <c r="V2395" s="722">
        <v>0</v>
      </c>
      <c r="W2395" s="722">
        <v>3.03</v>
      </c>
      <c r="X2395" s="722">
        <v>0</v>
      </c>
      <c r="Y2395" s="722">
        <v>0</v>
      </c>
      <c r="Z2395" s="382" t="s">
        <v>934</v>
      </c>
      <c r="AA2395" s="372">
        <v>333.28810850000002</v>
      </c>
      <c r="AB2395" s="372">
        <v>47.843672900000001</v>
      </c>
      <c r="AC2395" s="372">
        <v>34.939505799999999</v>
      </c>
      <c r="AD2395" s="372">
        <v>49.411750599999998</v>
      </c>
      <c r="AE2395" s="372">
        <v>0</v>
      </c>
      <c r="AF2395" s="372">
        <v>0</v>
      </c>
      <c r="AG2395" s="372">
        <v>0</v>
      </c>
      <c r="AH2395" s="372">
        <v>0</v>
      </c>
    </row>
    <row r="2396" spans="1:34">
      <c r="A2396" s="372" t="s">
        <v>15376</v>
      </c>
      <c r="B2396" s="372" t="s">
        <v>15377</v>
      </c>
      <c r="C2396" s="372" t="s">
        <v>15378</v>
      </c>
      <c r="D2396" s="374">
        <v>1101110175970</v>
      </c>
      <c r="E2396" s="372" t="s">
        <v>15379</v>
      </c>
      <c r="F2396" s="372" t="s">
        <v>8475</v>
      </c>
      <c r="G2396" s="375" t="s">
        <v>8476</v>
      </c>
      <c r="H2396" s="375" t="s">
        <v>853</v>
      </c>
      <c r="I2396" s="375" t="s">
        <v>755</v>
      </c>
      <c r="J2396" s="375">
        <v>311689.11283</v>
      </c>
      <c r="K2396" s="375">
        <v>-1816.6444100000001</v>
      </c>
      <c r="L2396" s="375">
        <v>-6010.5863099999997</v>
      </c>
      <c r="M2396" s="375">
        <v>45986.374239999997</v>
      </c>
      <c r="N2396" s="372">
        <v>1.0469999999999999</v>
      </c>
      <c r="O2396" s="703">
        <v>17.182621353289385</v>
      </c>
      <c r="P2396" s="562" t="s">
        <v>623</v>
      </c>
      <c r="Q2396" s="372" t="s">
        <v>623</v>
      </c>
      <c r="R2396" s="695">
        <v>19890531</v>
      </c>
      <c r="S2396" s="372" t="s">
        <v>15380</v>
      </c>
      <c r="T2396" s="696" t="s">
        <v>772</v>
      </c>
      <c r="U2396" s="372" t="s">
        <v>15381</v>
      </c>
      <c r="V2396" s="722">
        <v>10.71</v>
      </c>
      <c r="W2396" s="722">
        <v>0.6</v>
      </c>
      <c r="X2396" s="722">
        <v>0.08</v>
      </c>
      <c r="Y2396" s="722" t="s">
        <v>774</v>
      </c>
      <c r="Z2396" s="382" t="s">
        <v>934</v>
      </c>
      <c r="AA2396" s="372">
        <v>2448.2392324000002</v>
      </c>
      <c r="AB2396" s="372">
        <v>2629.4332700999998</v>
      </c>
      <c r="AC2396" s="372">
        <v>3142.4605756000001</v>
      </c>
      <c r="AD2396" s="372">
        <v>3116.8911283000002</v>
      </c>
      <c r="AE2396" s="372">
        <v>0</v>
      </c>
      <c r="AF2396" s="372">
        <v>0</v>
      </c>
      <c r="AG2396" s="372">
        <v>0</v>
      </c>
      <c r="AH2396" s="372">
        <v>0</v>
      </c>
    </row>
    <row r="2397" spans="1:34">
      <c r="A2397" s="372" t="s">
        <v>15382</v>
      </c>
      <c r="B2397" s="372" t="s">
        <v>15383</v>
      </c>
      <c r="C2397" s="372" t="s">
        <v>15384</v>
      </c>
      <c r="D2397" s="374">
        <v>1101111631476</v>
      </c>
      <c r="E2397" s="372" t="s">
        <v>15385</v>
      </c>
      <c r="F2397" s="372" t="s">
        <v>852</v>
      </c>
      <c r="G2397" s="375" t="s">
        <v>852</v>
      </c>
      <c r="H2397" s="375" t="s">
        <v>3127</v>
      </c>
      <c r="I2397" s="375" t="s">
        <v>869</v>
      </c>
      <c r="J2397" s="375">
        <v>35778.569040000002</v>
      </c>
      <c r="K2397" s="375">
        <v>129.52243999999999</v>
      </c>
      <c r="L2397" s="375">
        <v>2803.7655800000002</v>
      </c>
      <c r="M2397" s="375">
        <v>42980.172140000002</v>
      </c>
      <c r="N2397" s="372">
        <v>0.98799999999999999</v>
      </c>
      <c r="O2397" s="703">
        <v>34.084814855339438</v>
      </c>
      <c r="P2397" s="562" t="s">
        <v>623</v>
      </c>
      <c r="Q2397" s="372" t="s">
        <v>623</v>
      </c>
      <c r="R2397" s="695">
        <v>20021220</v>
      </c>
      <c r="S2397" s="372" t="s">
        <v>15386</v>
      </c>
      <c r="T2397" s="696">
        <v>0.20900000000000002</v>
      </c>
      <c r="U2397" s="372" t="s">
        <v>15387</v>
      </c>
      <c r="V2397" s="722">
        <v>0</v>
      </c>
      <c r="W2397" s="722">
        <v>0.63</v>
      </c>
      <c r="X2397" s="722">
        <v>0</v>
      </c>
      <c r="Y2397" s="722">
        <v>0</v>
      </c>
      <c r="Z2397" s="382" t="s">
        <v>934</v>
      </c>
      <c r="AA2397" s="372">
        <v>318.02152269999999</v>
      </c>
      <c r="AB2397" s="372">
        <v>373.0146168</v>
      </c>
      <c r="AC2397" s="372">
        <v>374.11357600000002</v>
      </c>
      <c r="AD2397" s="372">
        <v>357.78569040000002</v>
      </c>
      <c r="AE2397" s="372">
        <v>0</v>
      </c>
      <c r="AF2397" s="372">
        <v>0</v>
      </c>
      <c r="AG2397" s="372">
        <v>0</v>
      </c>
      <c r="AH2397" s="372">
        <v>0</v>
      </c>
    </row>
    <row r="2398" spans="1:34">
      <c r="A2398" s="372" t="s">
        <v>15388</v>
      </c>
      <c r="B2398" s="372" t="s">
        <v>15389</v>
      </c>
      <c r="C2398" s="372" t="s">
        <v>15390</v>
      </c>
      <c r="D2398" s="374">
        <v>1801110095637</v>
      </c>
      <c r="E2398" s="372" t="s">
        <v>15391</v>
      </c>
      <c r="F2398" s="372" t="s">
        <v>1048</v>
      </c>
      <c r="G2398" s="375" t="s">
        <v>3197</v>
      </c>
      <c r="H2398" s="375" t="s">
        <v>868</v>
      </c>
      <c r="I2398" s="375" t="s">
        <v>869</v>
      </c>
      <c r="J2398" s="375">
        <v>43633.590029999999</v>
      </c>
      <c r="K2398" s="375">
        <v>3232.6740599999998</v>
      </c>
      <c r="L2398" s="375">
        <v>3616.8693800000001</v>
      </c>
      <c r="M2398" s="375">
        <v>45429.618799999997</v>
      </c>
      <c r="N2398" s="372" t="s">
        <v>1033</v>
      </c>
      <c r="O2398" s="703">
        <v>0.25769428387925497</v>
      </c>
      <c r="P2398" s="562" t="s">
        <v>623</v>
      </c>
      <c r="Q2398" s="372" t="s">
        <v>623</v>
      </c>
      <c r="R2398" s="695">
        <v>20090805</v>
      </c>
      <c r="S2398" s="372" t="s">
        <v>15392</v>
      </c>
      <c r="T2398" s="696">
        <v>0.20900000000000002</v>
      </c>
      <c r="U2398" s="372" t="s">
        <v>15393</v>
      </c>
      <c r="V2398" s="722">
        <v>0</v>
      </c>
      <c r="W2398" s="722">
        <v>0.64</v>
      </c>
      <c r="X2398" s="722">
        <v>0</v>
      </c>
      <c r="Y2398" s="722">
        <v>0</v>
      </c>
      <c r="Z2398" s="382" t="s">
        <v>934</v>
      </c>
      <c r="AA2398" s="372">
        <v>334.95871529999999</v>
      </c>
      <c r="AB2398" s="372">
        <v>299.62986769999998</v>
      </c>
      <c r="AC2398" s="372">
        <v>360.15871820000001</v>
      </c>
      <c r="AD2398" s="372">
        <v>436.33590029999999</v>
      </c>
      <c r="AE2398" s="372">
        <v>0</v>
      </c>
      <c r="AF2398" s="372">
        <v>0</v>
      </c>
      <c r="AG2398" s="372">
        <v>0</v>
      </c>
      <c r="AH2398" s="372">
        <v>0</v>
      </c>
    </row>
    <row r="2399" spans="1:34">
      <c r="A2399" s="372" t="s">
        <v>15394</v>
      </c>
      <c r="B2399" s="372" t="s">
        <v>15395</v>
      </c>
      <c r="C2399" s="372" t="s">
        <v>15396</v>
      </c>
      <c r="D2399" s="374">
        <v>1648110019948</v>
      </c>
      <c r="E2399" s="372" t="s">
        <v>15397</v>
      </c>
      <c r="F2399" s="372" t="s">
        <v>1285</v>
      </c>
      <c r="G2399" s="375" t="s">
        <v>1285</v>
      </c>
      <c r="H2399" s="375" t="s">
        <v>1388</v>
      </c>
      <c r="I2399" s="375" t="s">
        <v>4455</v>
      </c>
      <c r="J2399" s="375">
        <v>21431.37052</v>
      </c>
      <c r="K2399" s="375">
        <v>-7023.3113899999998</v>
      </c>
      <c r="L2399" s="375">
        <v>-6972.0523599999997</v>
      </c>
      <c r="M2399" s="375">
        <v>-1300.8707099999999</v>
      </c>
      <c r="N2399" s="372" t="s">
        <v>1033</v>
      </c>
      <c r="O2399" s="703" t="e">
        <v>#DIV/0!</v>
      </c>
      <c r="P2399" s="562" t="s">
        <v>623</v>
      </c>
      <c r="Q2399" s="372" t="s">
        <v>623</v>
      </c>
      <c r="R2399" s="695">
        <v>20100721</v>
      </c>
      <c r="S2399" s="372" t="e">
        <v>#N/A</v>
      </c>
      <c r="T2399" s="696" t="s">
        <v>772</v>
      </c>
      <c r="U2399" s="372" t="s">
        <v>15398</v>
      </c>
      <c r="V2399" s="722" t="s">
        <v>774</v>
      </c>
      <c r="W2399" s="722" t="s">
        <v>774</v>
      </c>
      <c r="X2399" s="722">
        <v>1.1599999999999999</v>
      </c>
      <c r="Y2399" s="722" t="s">
        <v>774</v>
      </c>
      <c r="Z2399" s="382" t="s">
        <v>934</v>
      </c>
      <c r="AA2399" s="372">
        <v>476.37042179999997</v>
      </c>
      <c r="AB2399" s="372">
        <v>417.35529889999998</v>
      </c>
      <c r="AC2399" s="372">
        <v>289.89657879999999</v>
      </c>
      <c r="AD2399" s="372">
        <v>214.31370519999999</v>
      </c>
      <c r="AE2399" s="372">
        <v>0</v>
      </c>
      <c r="AF2399" s="372">
        <v>0</v>
      </c>
      <c r="AG2399" s="372">
        <v>0</v>
      </c>
      <c r="AH2399" s="372">
        <v>0</v>
      </c>
    </row>
    <row r="2400" spans="1:34">
      <c r="A2400" s="372" t="s">
        <v>15399</v>
      </c>
      <c r="B2400" s="372" t="s">
        <v>15400</v>
      </c>
      <c r="C2400" s="372" t="s">
        <v>15401</v>
      </c>
      <c r="D2400" s="374">
        <v>1601110023757</v>
      </c>
      <c r="E2400" s="372" t="s">
        <v>15402</v>
      </c>
      <c r="F2400" s="372" t="s">
        <v>11554</v>
      </c>
      <c r="G2400" s="375" t="s">
        <v>11554</v>
      </c>
      <c r="H2400" s="375" t="s">
        <v>1547</v>
      </c>
      <c r="I2400" s="375" t="s">
        <v>869</v>
      </c>
      <c r="J2400" s="375">
        <v>38527.506379999999</v>
      </c>
      <c r="K2400" s="375">
        <v>-4913.2628699999996</v>
      </c>
      <c r="L2400" s="375">
        <v>-18520.65826</v>
      </c>
      <c r="M2400" s="375">
        <v>42707.827369999999</v>
      </c>
      <c r="N2400" s="372">
        <v>1.083</v>
      </c>
      <c r="O2400" s="703">
        <v>37.916554463252943</v>
      </c>
      <c r="P2400" s="562" t="s">
        <v>623</v>
      </c>
      <c r="Q2400" s="372" t="s">
        <v>623</v>
      </c>
      <c r="R2400" s="695">
        <v>19970626</v>
      </c>
      <c r="S2400" s="372" t="s">
        <v>15403</v>
      </c>
      <c r="T2400" s="696" t="s">
        <v>772</v>
      </c>
      <c r="U2400" s="372" t="s">
        <v>15404</v>
      </c>
      <c r="V2400" s="722" t="s">
        <v>774</v>
      </c>
      <c r="W2400" s="722">
        <v>1.02</v>
      </c>
      <c r="X2400" s="722">
        <v>1.23</v>
      </c>
      <c r="Y2400" s="722" t="s">
        <v>774</v>
      </c>
      <c r="Z2400" s="382" t="s">
        <v>934</v>
      </c>
      <c r="AA2400" s="372">
        <v>164.2576272</v>
      </c>
      <c r="AB2400" s="372">
        <v>234.552954</v>
      </c>
      <c r="AC2400" s="372">
        <v>152.59393019999999</v>
      </c>
      <c r="AD2400" s="372">
        <v>385.2750638</v>
      </c>
      <c r="AE2400" s="372">
        <v>0</v>
      </c>
      <c r="AF2400" s="372">
        <v>0</v>
      </c>
      <c r="AG2400" s="372">
        <v>0</v>
      </c>
      <c r="AH2400" s="372">
        <v>0</v>
      </c>
    </row>
    <row r="2401" spans="1:34">
      <c r="A2401" s="372" t="s">
        <v>15405</v>
      </c>
      <c r="B2401" s="372" t="s">
        <v>15406</v>
      </c>
      <c r="C2401" s="372" t="s">
        <v>15407</v>
      </c>
      <c r="D2401" s="374">
        <v>1101116122470</v>
      </c>
      <c r="E2401" s="372" t="s">
        <v>15408</v>
      </c>
      <c r="F2401" s="372" t="s">
        <v>3758</v>
      </c>
      <c r="G2401" s="375" t="s">
        <v>3759</v>
      </c>
      <c r="H2401" s="375" t="s">
        <v>868</v>
      </c>
      <c r="I2401" s="375" t="s">
        <v>869</v>
      </c>
      <c r="J2401" s="375">
        <v>44115.964460000003</v>
      </c>
      <c r="K2401" s="375">
        <v>-8799.2467300000008</v>
      </c>
      <c r="L2401" s="375">
        <v>-9846.9780599999995</v>
      </c>
      <c r="M2401" s="375">
        <v>22035.134470000001</v>
      </c>
      <c r="N2401" s="372">
        <v>1.181</v>
      </c>
      <c r="O2401" s="703">
        <v>112.55541453507902</v>
      </c>
      <c r="P2401" s="562" t="s">
        <v>623</v>
      </c>
      <c r="Q2401" s="372" t="s">
        <v>623</v>
      </c>
      <c r="R2401" s="695">
        <v>20160929</v>
      </c>
      <c r="S2401" s="372" t="s">
        <v>9098</v>
      </c>
      <c r="T2401" s="696" t="s">
        <v>772</v>
      </c>
      <c r="U2401" s="372" t="s">
        <v>15409</v>
      </c>
      <c r="V2401" s="722" t="s">
        <v>774</v>
      </c>
      <c r="W2401" s="722">
        <v>1.08</v>
      </c>
      <c r="X2401" s="722">
        <v>0.55000000000000004</v>
      </c>
      <c r="Y2401" s="722" t="s">
        <v>774</v>
      </c>
      <c r="Z2401" s="382" t="s">
        <v>934</v>
      </c>
      <c r="AA2401" s="372">
        <v>573.36533080000004</v>
      </c>
      <c r="AB2401" s="372">
        <v>659.23294480000004</v>
      </c>
      <c r="AC2401" s="372">
        <v>531.67628109999998</v>
      </c>
      <c r="AD2401" s="372">
        <v>441.15964459999998</v>
      </c>
      <c r="AE2401" s="372">
        <v>0</v>
      </c>
      <c r="AF2401" s="372">
        <v>0</v>
      </c>
      <c r="AG2401" s="372">
        <v>0</v>
      </c>
      <c r="AH2401" s="372">
        <v>0</v>
      </c>
    </row>
    <row r="2402" spans="1:34">
      <c r="A2402" s="372" t="s">
        <v>15410</v>
      </c>
      <c r="B2402" s="372" t="s">
        <v>15411</v>
      </c>
      <c r="C2402" s="372" t="s">
        <v>15412</v>
      </c>
      <c r="D2402" s="374">
        <v>1101113411024</v>
      </c>
      <c r="E2402" s="372" t="s">
        <v>15413</v>
      </c>
      <c r="F2402" s="372" t="s">
        <v>852</v>
      </c>
      <c r="G2402" s="375" t="s">
        <v>852</v>
      </c>
      <c r="H2402" s="375" t="s">
        <v>853</v>
      </c>
      <c r="I2402" s="375" t="s">
        <v>755</v>
      </c>
      <c r="J2402" s="375">
        <v>56370.619270000003</v>
      </c>
      <c r="K2402" s="375">
        <v>3761.6751199999999</v>
      </c>
      <c r="L2402" s="375">
        <v>5442.0807100000002</v>
      </c>
      <c r="M2402" s="375">
        <v>107507.97624</v>
      </c>
      <c r="N2402" s="372">
        <v>0.92200000000000004</v>
      </c>
      <c r="O2402" s="703">
        <v>32.212242669291975</v>
      </c>
      <c r="P2402" s="562" t="s">
        <v>623</v>
      </c>
      <c r="Q2402" s="372" t="s">
        <v>623</v>
      </c>
      <c r="R2402" s="695">
        <v>20060328</v>
      </c>
      <c r="S2402" s="372" t="s">
        <v>15414</v>
      </c>
      <c r="T2402" s="696">
        <v>0.20900000000000002</v>
      </c>
      <c r="U2402" s="372" t="s">
        <v>15415</v>
      </c>
      <c r="V2402" s="722">
        <v>5.48</v>
      </c>
      <c r="W2402" s="722">
        <v>0.24</v>
      </c>
      <c r="X2402" s="722">
        <v>0.45</v>
      </c>
      <c r="Y2402" s="722">
        <v>5.78</v>
      </c>
      <c r="Z2402" s="382" t="s">
        <v>934</v>
      </c>
      <c r="AA2402" s="372">
        <v>544.69358169999998</v>
      </c>
      <c r="AB2402" s="372">
        <v>589.61462989999995</v>
      </c>
      <c r="AC2402" s="372">
        <v>634.17016269999999</v>
      </c>
      <c r="AD2402" s="372">
        <v>563.70619269999997</v>
      </c>
      <c r="AE2402" s="372">
        <v>0</v>
      </c>
      <c r="AF2402" s="372">
        <v>0</v>
      </c>
      <c r="AG2402" s="372">
        <v>0</v>
      </c>
      <c r="AH2402" s="372">
        <v>0</v>
      </c>
    </row>
    <row r="2403" spans="1:34">
      <c r="A2403" s="372" t="s">
        <v>15416</v>
      </c>
      <c r="B2403" s="372" t="s">
        <v>15417</v>
      </c>
      <c r="C2403" s="372" t="s">
        <v>15418</v>
      </c>
      <c r="D2403" s="374">
        <v>1101115649938</v>
      </c>
      <c r="E2403" s="372" t="s">
        <v>15419</v>
      </c>
      <c r="F2403" s="372" t="s">
        <v>3708</v>
      </c>
      <c r="G2403" s="375" t="s">
        <v>3708</v>
      </c>
      <c r="H2403" s="375" t="s">
        <v>1348</v>
      </c>
      <c r="I2403" s="375" t="s">
        <v>869</v>
      </c>
      <c r="J2403" s="375">
        <v>38615.630579999997</v>
      </c>
      <c r="K2403" s="375">
        <v>-4459.6647199999998</v>
      </c>
      <c r="L2403" s="375">
        <v>-5053.7349599999998</v>
      </c>
      <c r="M2403" s="375">
        <v>21972.072469999999</v>
      </c>
      <c r="N2403" s="372">
        <v>0.89300000000000002</v>
      </c>
      <c r="O2403" s="703">
        <v>236.06613485602031</v>
      </c>
      <c r="P2403" s="562" t="s">
        <v>623</v>
      </c>
      <c r="Q2403" s="372" t="s">
        <v>623</v>
      </c>
      <c r="R2403" s="695">
        <v>20150518</v>
      </c>
      <c r="S2403" s="372" t="s">
        <v>15420</v>
      </c>
      <c r="T2403" s="696" t="s">
        <v>772</v>
      </c>
      <c r="U2403" s="372" t="s">
        <v>15421</v>
      </c>
      <c r="V2403" s="722">
        <v>0</v>
      </c>
      <c r="W2403" s="722">
        <v>1.31</v>
      </c>
      <c r="X2403" s="722">
        <v>0</v>
      </c>
      <c r="Y2403" s="722">
        <v>0</v>
      </c>
      <c r="Z2403" s="382" t="s">
        <v>934</v>
      </c>
      <c r="AA2403" s="372">
        <v>373.43959599999999</v>
      </c>
      <c r="AB2403" s="372">
        <v>312.3778403</v>
      </c>
      <c r="AC2403" s="372">
        <v>469.17852690000001</v>
      </c>
      <c r="AD2403" s="372">
        <v>386.15630579999998</v>
      </c>
      <c r="AE2403" s="372">
        <v>0</v>
      </c>
      <c r="AF2403" s="372">
        <v>0</v>
      </c>
      <c r="AG2403" s="372">
        <v>0</v>
      </c>
      <c r="AH2403" s="372">
        <v>0</v>
      </c>
    </row>
    <row r="2404" spans="1:34">
      <c r="A2404" s="372" t="s">
        <v>15422</v>
      </c>
      <c r="B2404" s="372" t="s">
        <v>15423</v>
      </c>
      <c r="C2404" s="372" t="s">
        <v>15424</v>
      </c>
      <c r="D2404" s="374">
        <v>1101117222352</v>
      </c>
      <c r="E2404" s="372" t="s">
        <v>15425</v>
      </c>
      <c r="F2404" s="372" t="s">
        <v>3487</v>
      </c>
      <c r="G2404" s="375" t="s">
        <v>3487</v>
      </c>
      <c r="H2404" s="375" t="s">
        <v>3127</v>
      </c>
      <c r="I2404" s="375" t="s">
        <v>869</v>
      </c>
      <c r="J2404" s="375">
        <v>51588.558199999999</v>
      </c>
      <c r="K2404" s="375">
        <v>3977.3369299999999</v>
      </c>
      <c r="L2404" s="375">
        <v>3897.3040799999999</v>
      </c>
      <c r="M2404" s="375">
        <v>29917.620490000001</v>
      </c>
      <c r="N2404" s="372">
        <v>0.17799999999999999</v>
      </c>
      <c r="O2404" s="703">
        <v>29.919235995252929</v>
      </c>
      <c r="P2404" s="562" t="s">
        <v>623</v>
      </c>
      <c r="Q2404" s="372" t="s">
        <v>623</v>
      </c>
      <c r="R2404" s="695">
        <v>20191209</v>
      </c>
      <c r="S2404" s="372" t="s">
        <v>15426</v>
      </c>
      <c r="T2404" s="696">
        <v>0.20900000000000002</v>
      </c>
      <c r="U2404" s="372" t="s">
        <v>15427</v>
      </c>
      <c r="V2404" s="722">
        <v>0</v>
      </c>
      <c r="W2404" s="722">
        <v>0.92</v>
      </c>
      <c r="X2404" s="722">
        <v>0</v>
      </c>
      <c r="Y2404" s="722">
        <v>0</v>
      </c>
      <c r="Z2404" s="382" t="s">
        <v>934</v>
      </c>
      <c r="AA2404" s="372">
        <v>453.41737549999999</v>
      </c>
      <c r="AB2404" s="372">
        <v>496.7511887</v>
      </c>
      <c r="AC2404" s="372">
        <v>543.37267250000002</v>
      </c>
      <c r="AD2404" s="372">
        <v>515.885582</v>
      </c>
      <c r="AE2404" s="372">
        <v>0</v>
      </c>
      <c r="AF2404" s="372">
        <v>0</v>
      </c>
      <c r="AG2404" s="372">
        <v>0</v>
      </c>
      <c r="AH2404" s="372">
        <v>0</v>
      </c>
    </row>
    <row r="2405" spans="1:34">
      <c r="A2405" s="372" t="s">
        <v>15428</v>
      </c>
      <c r="B2405" s="372" t="s">
        <v>15429</v>
      </c>
      <c r="C2405" s="372" t="s">
        <v>15430</v>
      </c>
      <c r="D2405" s="374">
        <v>1101118699047</v>
      </c>
      <c r="E2405" s="372" t="s">
        <v>15431</v>
      </c>
      <c r="F2405" s="372" t="s">
        <v>1151</v>
      </c>
      <c r="G2405" s="375" t="s">
        <v>1152</v>
      </c>
      <c r="H2405" s="375" t="s">
        <v>902</v>
      </c>
      <c r="I2405" s="375" t="s">
        <v>869</v>
      </c>
      <c r="J2405" s="375">
        <v>0</v>
      </c>
      <c r="K2405" s="375">
        <v>0</v>
      </c>
      <c r="L2405" s="375">
        <v>0</v>
      </c>
      <c r="M2405" s="375">
        <v>25761.715759999999</v>
      </c>
      <c r="N2405" s="372" t="s">
        <v>1033</v>
      </c>
      <c r="O2405" s="703">
        <v>14.491770631538165</v>
      </c>
      <c r="P2405" s="562" t="s">
        <v>623</v>
      </c>
      <c r="Q2405" s="372" t="s">
        <v>623</v>
      </c>
      <c r="R2405" s="695">
        <v>20231103</v>
      </c>
      <c r="S2405" s="372" t="s">
        <v>9098</v>
      </c>
      <c r="T2405" s="696" t="s">
        <v>772</v>
      </c>
      <c r="U2405" s="372">
        <v>0</v>
      </c>
      <c r="V2405" s="722">
        <v>0</v>
      </c>
      <c r="W2405" s="722">
        <v>0.93</v>
      </c>
      <c r="X2405" s="722">
        <v>0</v>
      </c>
      <c r="Y2405" s="722">
        <v>0</v>
      </c>
      <c r="Z2405" s="382" t="s">
        <v>774</v>
      </c>
      <c r="AA2405" s="372">
        <v>0</v>
      </c>
      <c r="AB2405" s="372">
        <v>0</v>
      </c>
      <c r="AC2405" s="372">
        <v>0</v>
      </c>
      <c r="AD2405" s="372">
        <v>0</v>
      </c>
      <c r="AE2405" s="372">
        <v>0</v>
      </c>
      <c r="AF2405" s="372">
        <v>0</v>
      </c>
      <c r="AG2405" s="372">
        <v>0</v>
      </c>
      <c r="AH2405" s="372">
        <v>0</v>
      </c>
    </row>
    <row r="2406" spans="1:34">
      <c r="A2406" s="372" t="s">
        <v>15432</v>
      </c>
      <c r="B2406" s="372" t="s">
        <v>15433</v>
      </c>
      <c r="C2406" s="372" t="s">
        <v>15434</v>
      </c>
      <c r="D2406" s="374">
        <v>1801110002004</v>
      </c>
      <c r="E2406" s="372" t="s">
        <v>15435</v>
      </c>
      <c r="F2406" s="372" t="s">
        <v>2771</v>
      </c>
      <c r="G2406" s="375" t="s">
        <v>9480</v>
      </c>
      <c r="H2406" s="375" t="s">
        <v>868</v>
      </c>
      <c r="I2406" s="375" t="s">
        <v>869</v>
      </c>
      <c r="J2406" s="375">
        <v>21471.42729</v>
      </c>
      <c r="K2406" s="375">
        <v>-3313.2575999999999</v>
      </c>
      <c r="L2406" s="375">
        <v>-22357.500169999999</v>
      </c>
      <c r="M2406" s="375">
        <v>18137.193609999998</v>
      </c>
      <c r="N2406" s="372">
        <v>1.113</v>
      </c>
      <c r="O2406" s="703">
        <v>219.82968155494601</v>
      </c>
      <c r="P2406" s="562" t="s">
        <v>623</v>
      </c>
      <c r="Q2406" s="372" t="s">
        <v>16145</v>
      </c>
      <c r="R2406" s="695">
        <v>19941031</v>
      </c>
      <c r="S2406" s="372" t="s">
        <v>15436</v>
      </c>
      <c r="T2406" s="696" t="s">
        <v>772</v>
      </c>
      <c r="U2406" s="372" t="s">
        <v>15437</v>
      </c>
      <c r="V2406" s="722">
        <v>0</v>
      </c>
      <c r="W2406" s="722">
        <v>1.93</v>
      </c>
      <c r="X2406" s="722">
        <v>0</v>
      </c>
      <c r="Y2406" s="722">
        <v>0</v>
      </c>
      <c r="Z2406" s="382" t="s">
        <v>934</v>
      </c>
      <c r="AA2406" s="372">
        <v>219.2038593</v>
      </c>
      <c r="AB2406" s="372">
        <v>343.59397510000002</v>
      </c>
      <c r="AC2406" s="372">
        <v>322.21196750000001</v>
      </c>
      <c r="AD2406" s="372">
        <v>214.7142729</v>
      </c>
      <c r="AE2406" s="372">
        <v>0</v>
      </c>
      <c r="AF2406" s="372">
        <v>0</v>
      </c>
      <c r="AG2406" s="372">
        <v>0</v>
      </c>
      <c r="AH2406" s="372">
        <v>0</v>
      </c>
    </row>
    <row r="2407" spans="1:34">
      <c r="A2407" s="372" t="s">
        <v>15438</v>
      </c>
      <c r="B2407" s="372" t="s">
        <v>15439</v>
      </c>
      <c r="C2407" s="372" t="s">
        <v>15440</v>
      </c>
      <c r="D2407" s="374">
        <v>1101111100926</v>
      </c>
      <c r="E2407" s="372" t="s">
        <v>15441</v>
      </c>
      <c r="F2407" s="372" t="s">
        <v>4079</v>
      </c>
      <c r="G2407" s="375" t="s">
        <v>4079</v>
      </c>
      <c r="H2407" s="375" t="s">
        <v>868</v>
      </c>
      <c r="I2407" s="375" t="s">
        <v>869</v>
      </c>
      <c r="J2407" s="375">
        <v>9949.7917400000006</v>
      </c>
      <c r="K2407" s="375">
        <v>-1365.86274</v>
      </c>
      <c r="L2407" s="375">
        <v>-2531.1828799999998</v>
      </c>
      <c r="M2407" s="375">
        <v>12226.072260000001</v>
      </c>
      <c r="N2407" s="372">
        <v>0.86299999999999999</v>
      </c>
      <c r="O2407" s="703">
        <v>2.8238421352442531</v>
      </c>
      <c r="P2407" s="562" t="s">
        <v>623</v>
      </c>
      <c r="Q2407" s="372" t="s">
        <v>623</v>
      </c>
      <c r="R2407" s="695">
        <v>19991204</v>
      </c>
      <c r="S2407" s="372" t="s">
        <v>15442</v>
      </c>
      <c r="T2407" s="696" t="s">
        <v>772</v>
      </c>
      <c r="U2407" s="372" t="s">
        <v>15443</v>
      </c>
      <c r="V2407" s="722">
        <v>0</v>
      </c>
      <c r="W2407" s="722">
        <v>2.44</v>
      </c>
      <c r="X2407" s="722">
        <v>0</v>
      </c>
      <c r="Y2407" s="722">
        <v>0</v>
      </c>
      <c r="Z2407" s="382" t="s">
        <v>934</v>
      </c>
      <c r="AA2407" s="372">
        <v>41.387604199999998</v>
      </c>
      <c r="AB2407" s="372">
        <v>81.384812400000001</v>
      </c>
      <c r="AC2407" s="372">
        <v>94.888580399999995</v>
      </c>
      <c r="AD2407" s="372">
        <v>99.497917400000006</v>
      </c>
      <c r="AE2407" s="372">
        <v>0</v>
      </c>
      <c r="AF2407" s="372">
        <v>0</v>
      </c>
      <c r="AG2407" s="372">
        <v>0</v>
      </c>
      <c r="AH2407" s="372">
        <v>0</v>
      </c>
    </row>
    <row r="2408" spans="1:34">
      <c r="A2408" s="372" t="s">
        <v>15444</v>
      </c>
      <c r="B2408" s="372" t="s">
        <v>15445</v>
      </c>
      <c r="C2408" s="372" t="s">
        <v>15446</v>
      </c>
      <c r="D2408" s="374">
        <v>0</v>
      </c>
      <c r="E2408" s="372" t="s">
        <v>15447</v>
      </c>
      <c r="F2408" s="372" t="s">
        <v>900</v>
      </c>
      <c r="G2408" s="375" t="s">
        <v>901</v>
      </c>
      <c r="H2408" s="375">
        <v>0</v>
      </c>
      <c r="I2408" s="375" t="s">
        <v>869</v>
      </c>
      <c r="J2408" s="375">
        <v>177853.37299999999</v>
      </c>
      <c r="K2408" s="375">
        <v>-74084.131999999998</v>
      </c>
      <c r="L2408" s="375">
        <v>-79938.735000000001</v>
      </c>
      <c r="M2408" s="375">
        <v>258341.024</v>
      </c>
      <c r="N2408" s="372">
        <v>1.03</v>
      </c>
      <c r="O2408" s="703">
        <v>24.677624142503301</v>
      </c>
      <c r="P2408" s="562" t="s">
        <v>623</v>
      </c>
      <c r="Q2408" s="372" t="s">
        <v>623</v>
      </c>
      <c r="R2408" s="695">
        <v>20161104</v>
      </c>
      <c r="S2408" s="372" t="s">
        <v>15448</v>
      </c>
      <c r="T2408" s="696" t="s">
        <v>772</v>
      </c>
      <c r="U2408" s="372" t="s">
        <v>15449</v>
      </c>
      <c r="V2408" s="722" t="s">
        <v>774</v>
      </c>
      <c r="W2408" s="722">
        <v>0.12</v>
      </c>
      <c r="X2408" s="722">
        <v>0.16</v>
      </c>
      <c r="Y2408" s="722" t="s">
        <v>774</v>
      </c>
      <c r="Z2408" s="382" t="s">
        <v>934</v>
      </c>
      <c r="AA2408" s="372">
        <v>3022.03235</v>
      </c>
      <c r="AB2408" s="372">
        <v>2704.99001</v>
      </c>
      <c r="AC2408" s="372">
        <v>2255.0351500000002</v>
      </c>
      <c r="AD2408" s="372">
        <v>1778.5337300000001</v>
      </c>
      <c r="AE2408" s="372">
        <v>0</v>
      </c>
      <c r="AF2408" s="372">
        <v>0</v>
      </c>
      <c r="AG2408" s="372">
        <v>0</v>
      </c>
      <c r="AH2408" s="372">
        <v>0</v>
      </c>
    </row>
    <row r="2409" spans="1:34">
      <c r="A2409" s="372" t="s">
        <v>15450</v>
      </c>
      <c r="B2409" s="372" t="s">
        <v>15451</v>
      </c>
      <c r="C2409" s="372" t="s">
        <v>15452</v>
      </c>
      <c r="D2409" s="374">
        <v>1201110136459</v>
      </c>
      <c r="E2409" s="372" t="s">
        <v>15453</v>
      </c>
      <c r="F2409" s="372" t="s">
        <v>2888</v>
      </c>
      <c r="G2409" s="375" t="s">
        <v>2889</v>
      </c>
      <c r="H2409" s="375" t="s">
        <v>868</v>
      </c>
      <c r="I2409" s="375" t="s">
        <v>869</v>
      </c>
      <c r="J2409" s="375">
        <v>70700.646370000002</v>
      </c>
      <c r="K2409" s="375">
        <v>-3406.8262</v>
      </c>
      <c r="L2409" s="375">
        <v>-9561.6173299999991</v>
      </c>
      <c r="M2409" s="375">
        <v>63143.560669999999</v>
      </c>
      <c r="N2409" s="372">
        <v>0.82499999999999996</v>
      </c>
      <c r="O2409" s="703">
        <v>88.686112294125863</v>
      </c>
      <c r="P2409" s="562" t="s">
        <v>623</v>
      </c>
      <c r="Q2409" s="372" t="s">
        <v>623</v>
      </c>
      <c r="R2409" s="695">
        <v>20100127</v>
      </c>
      <c r="S2409" s="372" t="s">
        <v>15454</v>
      </c>
      <c r="T2409" s="696" t="s">
        <v>772</v>
      </c>
      <c r="U2409" s="372" t="s">
        <v>15455</v>
      </c>
      <c r="V2409" s="722">
        <v>39.65</v>
      </c>
      <c r="W2409" s="722">
        <v>0.38</v>
      </c>
      <c r="X2409" s="722">
        <v>0.35</v>
      </c>
      <c r="Y2409" s="722" t="s">
        <v>774</v>
      </c>
      <c r="Z2409" s="382" t="s">
        <v>934</v>
      </c>
      <c r="AA2409" s="372">
        <v>681.07383489999995</v>
      </c>
      <c r="AB2409" s="372">
        <v>849.92037889999995</v>
      </c>
      <c r="AC2409" s="372">
        <v>1040.7250101</v>
      </c>
      <c r="AD2409" s="372">
        <v>707.00646370000004</v>
      </c>
      <c r="AE2409" s="372">
        <v>0</v>
      </c>
      <c r="AF2409" s="372">
        <v>0</v>
      </c>
      <c r="AG2409" s="372">
        <v>0</v>
      </c>
      <c r="AH2409" s="372">
        <v>0</v>
      </c>
    </row>
    <row r="2410" spans="1:34">
      <c r="A2410" s="372" t="s">
        <v>15456</v>
      </c>
      <c r="B2410" s="372" t="s">
        <v>15457</v>
      </c>
      <c r="C2410" s="372" t="s">
        <v>15458</v>
      </c>
      <c r="D2410" s="374">
        <v>1101111644809</v>
      </c>
      <c r="E2410" s="372" t="s">
        <v>15459</v>
      </c>
      <c r="F2410" s="372" t="s">
        <v>2858</v>
      </c>
      <c r="G2410" s="375" t="s">
        <v>2858</v>
      </c>
      <c r="H2410" s="375" t="s">
        <v>1388</v>
      </c>
      <c r="I2410" s="375" t="s">
        <v>869</v>
      </c>
      <c r="J2410" s="375">
        <v>33661.402000000002</v>
      </c>
      <c r="K2410" s="375">
        <v>-1576.92563</v>
      </c>
      <c r="L2410" s="375">
        <v>-638.35760000000005</v>
      </c>
      <c r="M2410" s="375">
        <v>17509.403460000001</v>
      </c>
      <c r="N2410" s="372">
        <v>0.88100000000000001</v>
      </c>
      <c r="O2410" s="703">
        <v>3.524490059287682</v>
      </c>
      <c r="P2410" s="562" t="s">
        <v>623</v>
      </c>
      <c r="Q2410" s="372" t="s">
        <v>623</v>
      </c>
      <c r="R2410" s="695">
        <v>20040602</v>
      </c>
      <c r="S2410" s="372" t="s">
        <v>15460</v>
      </c>
      <c r="T2410" s="696" t="s">
        <v>772</v>
      </c>
      <c r="U2410" s="372" t="s">
        <v>15461</v>
      </c>
      <c r="V2410" s="722" t="s">
        <v>774</v>
      </c>
      <c r="W2410" s="722">
        <v>1.48</v>
      </c>
      <c r="X2410" s="722">
        <v>0.77</v>
      </c>
      <c r="Y2410" s="722" t="s">
        <v>774</v>
      </c>
      <c r="Z2410" s="382" t="s">
        <v>934</v>
      </c>
      <c r="AA2410" s="372">
        <v>429.58085139999997</v>
      </c>
      <c r="AB2410" s="372">
        <v>410.9189705</v>
      </c>
      <c r="AC2410" s="372">
        <v>351.82635210000001</v>
      </c>
      <c r="AD2410" s="372">
        <v>336.61401999999998</v>
      </c>
      <c r="AE2410" s="372">
        <v>0</v>
      </c>
      <c r="AF2410" s="372">
        <v>0</v>
      </c>
      <c r="AG2410" s="372">
        <v>0</v>
      </c>
      <c r="AH2410" s="372">
        <v>0</v>
      </c>
    </row>
    <row r="2411" spans="1:34">
      <c r="A2411" s="372" t="s">
        <v>15462</v>
      </c>
      <c r="B2411" s="372" t="s">
        <v>15463</v>
      </c>
      <c r="C2411" s="372" t="s">
        <v>15464</v>
      </c>
      <c r="D2411" s="374">
        <v>2001110105176</v>
      </c>
      <c r="E2411" s="372" t="s">
        <v>15465</v>
      </c>
      <c r="F2411" s="372" t="s">
        <v>6673</v>
      </c>
      <c r="G2411" s="375" t="s">
        <v>6673</v>
      </c>
      <c r="H2411" s="375" t="s">
        <v>868</v>
      </c>
      <c r="I2411" s="375" t="s">
        <v>869</v>
      </c>
      <c r="J2411" s="375">
        <v>14413.036040000001</v>
      </c>
      <c r="K2411" s="375">
        <v>-3022.99784</v>
      </c>
      <c r="L2411" s="375">
        <v>-3339.9195300000001</v>
      </c>
      <c r="M2411" s="375">
        <v>7303.8180300000004</v>
      </c>
      <c r="N2411" s="372">
        <v>0.753</v>
      </c>
      <c r="O2411" s="703">
        <v>58.807992212839665</v>
      </c>
      <c r="P2411" s="562" t="s">
        <v>623</v>
      </c>
      <c r="Q2411" s="372" t="s">
        <v>623</v>
      </c>
      <c r="R2411" s="695">
        <v>20191226</v>
      </c>
      <c r="S2411" s="372" t="s">
        <v>15466</v>
      </c>
      <c r="T2411" s="696" t="s">
        <v>772</v>
      </c>
      <c r="U2411" s="372" t="s">
        <v>15467</v>
      </c>
      <c r="V2411" s="722">
        <v>0</v>
      </c>
      <c r="W2411" s="722">
        <v>2.85</v>
      </c>
      <c r="X2411" s="722">
        <v>0</v>
      </c>
      <c r="Y2411" s="722">
        <v>0</v>
      </c>
      <c r="Z2411" s="382" t="s">
        <v>934</v>
      </c>
      <c r="AA2411" s="372">
        <v>218.53671349999999</v>
      </c>
      <c r="AB2411" s="372">
        <v>134.58885810000001</v>
      </c>
      <c r="AC2411" s="372">
        <v>213.00638509999999</v>
      </c>
      <c r="AD2411" s="372">
        <v>144.1303604</v>
      </c>
      <c r="AE2411" s="372">
        <v>0</v>
      </c>
      <c r="AF2411" s="372">
        <v>0</v>
      </c>
      <c r="AG2411" s="372">
        <v>0</v>
      </c>
      <c r="AH2411" s="372">
        <v>0</v>
      </c>
    </row>
    <row r="2412" spans="1:34">
      <c r="A2412" s="372" t="s">
        <v>15468</v>
      </c>
      <c r="B2412" s="372" t="s">
        <v>15469</v>
      </c>
      <c r="C2412" s="372" t="s">
        <v>15470</v>
      </c>
      <c r="D2412" s="374">
        <v>1101111279672</v>
      </c>
      <c r="E2412" s="372" t="s">
        <v>15471</v>
      </c>
      <c r="F2412" s="372" t="s">
        <v>1187</v>
      </c>
      <c r="G2412" s="375" t="s">
        <v>1188</v>
      </c>
      <c r="H2412" s="375" t="s">
        <v>1388</v>
      </c>
      <c r="I2412" s="375" t="s">
        <v>869</v>
      </c>
      <c r="J2412" s="375">
        <v>10294.38881</v>
      </c>
      <c r="K2412" s="375">
        <v>-2577.1402699999999</v>
      </c>
      <c r="L2412" s="375">
        <v>-1456.1218799999999</v>
      </c>
      <c r="M2412" s="375">
        <v>43522.074589999997</v>
      </c>
      <c r="N2412" s="372">
        <v>0.98499999999999999</v>
      </c>
      <c r="O2412" s="703">
        <v>0.34891941661411546</v>
      </c>
      <c r="P2412" s="562" t="s">
        <v>623</v>
      </c>
      <c r="Q2412" s="372" t="s">
        <v>623</v>
      </c>
      <c r="R2412" s="695">
        <v>20040107</v>
      </c>
      <c r="S2412" s="372" t="s">
        <v>15472</v>
      </c>
      <c r="T2412" s="696" t="s">
        <v>772</v>
      </c>
      <c r="U2412" s="372" t="s">
        <v>15473</v>
      </c>
      <c r="V2412" s="722" t="s">
        <v>774</v>
      </c>
      <c r="W2412" s="722">
        <v>0.55000000000000004</v>
      </c>
      <c r="X2412" s="722">
        <v>2.35</v>
      </c>
      <c r="Y2412" s="722" t="s">
        <v>774</v>
      </c>
      <c r="Z2412" s="382" t="s">
        <v>934</v>
      </c>
      <c r="AA2412" s="372">
        <v>327.01217079999998</v>
      </c>
      <c r="AB2412" s="372">
        <v>270.0163766</v>
      </c>
      <c r="AC2412" s="372">
        <v>165.25057609999999</v>
      </c>
      <c r="AD2412" s="372">
        <v>102.9438881</v>
      </c>
      <c r="AE2412" s="372">
        <v>0</v>
      </c>
      <c r="AF2412" s="372">
        <v>0</v>
      </c>
      <c r="AG2412" s="372">
        <v>0</v>
      </c>
      <c r="AH2412" s="372">
        <v>0</v>
      </c>
    </row>
    <row r="2413" spans="1:34">
      <c r="A2413" s="372" t="s">
        <v>15474</v>
      </c>
      <c r="B2413" s="372" t="s">
        <v>15475</v>
      </c>
      <c r="C2413" s="372" t="s">
        <v>15476</v>
      </c>
      <c r="D2413" s="374">
        <v>1801110378835</v>
      </c>
      <c r="E2413" s="372" t="s">
        <v>15477</v>
      </c>
      <c r="F2413" s="372" t="s">
        <v>2305</v>
      </c>
      <c r="G2413" s="375" t="s">
        <v>15478</v>
      </c>
      <c r="H2413" s="375" t="s">
        <v>868</v>
      </c>
      <c r="I2413" s="375" t="s">
        <v>869</v>
      </c>
      <c r="J2413" s="375">
        <v>36231.078600000001</v>
      </c>
      <c r="K2413" s="375">
        <v>2566.28017</v>
      </c>
      <c r="L2413" s="375">
        <v>1617.72768</v>
      </c>
      <c r="M2413" s="375">
        <v>34151.437539999999</v>
      </c>
      <c r="N2413" s="372">
        <v>1.0149999999999999</v>
      </c>
      <c r="O2413" s="703">
        <v>124.43745299545132</v>
      </c>
      <c r="P2413" s="562" t="s">
        <v>623</v>
      </c>
      <c r="Q2413" s="372" t="s">
        <v>623</v>
      </c>
      <c r="R2413" s="695">
        <v>20150824</v>
      </c>
      <c r="S2413" s="372" t="s">
        <v>15479</v>
      </c>
      <c r="T2413" s="696">
        <v>0.20900000000000002</v>
      </c>
      <c r="U2413" s="372" t="s">
        <v>15480</v>
      </c>
      <c r="V2413" s="722">
        <v>9.1</v>
      </c>
      <c r="W2413" s="722">
        <v>0.8</v>
      </c>
      <c r="X2413" s="722">
        <v>0.76</v>
      </c>
      <c r="Y2413" s="722">
        <v>27.35</v>
      </c>
      <c r="Z2413" s="382" t="s">
        <v>934</v>
      </c>
      <c r="AA2413" s="372">
        <v>325.64421279999999</v>
      </c>
      <c r="AB2413" s="372">
        <v>350.49221440000002</v>
      </c>
      <c r="AC2413" s="372">
        <v>340.28733039999997</v>
      </c>
      <c r="AD2413" s="372">
        <v>362.31078600000001</v>
      </c>
      <c r="AE2413" s="372">
        <v>0</v>
      </c>
      <c r="AF2413" s="372">
        <v>0</v>
      </c>
      <c r="AG2413" s="372">
        <v>0</v>
      </c>
      <c r="AH2413" s="372">
        <v>0</v>
      </c>
    </row>
    <row r="2414" spans="1:34">
      <c r="A2414" s="372" t="s">
        <v>15481</v>
      </c>
      <c r="B2414" s="372" t="s">
        <v>15482</v>
      </c>
      <c r="C2414" s="372" t="s">
        <v>15483</v>
      </c>
      <c r="D2414" s="374">
        <v>1101111261405</v>
      </c>
      <c r="E2414" s="372" t="s">
        <v>15484</v>
      </c>
      <c r="F2414" s="372" t="s">
        <v>5569</v>
      </c>
      <c r="G2414" s="375" t="s">
        <v>5569</v>
      </c>
      <c r="H2414" s="375" t="s">
        <v>868</v>
      </c>
      <c r="I2414" s="375" t="s">
        <v>869</v>
      </c>
      <c r="J2414" s="375">
        <v>16155.40403</v>
      </c>
      <c r="K2414" s="375">
        <v>-5490.9757499999996</v>
      </c>
      <c r="L2414" s="375">
        <v>-9334.1004799999992</v>
      </c>
      <c r="M2414" s="375">
        <v>19918.453549999998</v>
      </c>
      <c r="N2414" s="372">
        <v>0.95399999999999996</v>
      </c>
      <c r="O2414" s="703">
        <v>372.09188991181071</v>
      </c>
      <c r="P2414" s="562" t="s">
        <v>16142</v>
      </c>
      <c r="Q2414" s="372" t="s">
        <v>16145</v>
      </c>
      <c r="R2414" s="695">
        <v>20011109</v>
      </c>
      <c r="S2414" s="372" t="s">
        <v>15485</v>
      </c>
      <c r="T2414" s="696" t="s">
        <v>772</v>
      </c>
      <c r="U2414" s="372" t="s">
        <v>15486</v>
      </c>
      <c r="V2414" s="722" t="s">
        <v>774</v>
      </c>
      <c r="W2414" s="722">
        <v>1.18</v>
      </c>
      <c r="X2414" s="722">
        <v>1.46</v>
      </c>
      <c r="Y2414" s="722" t="s">
        <v>774</v>
      </c>
      <c r="Z2414" s="382" t="s">
        <v>934</v>
      </c>
      <c r="AA2414" s="372">
        <v>201.87928679999999</v>
      </c>
      <c r="AB2414" s="372">
        <v>251.38690750000001</v>
      </c>
      <c r="AC2414" s="372">
        <v>237.6651402</v>
      </c>
      <c r="AD2414" s="372">
        <v>161.5540403</v>
      </c>
      <c r="AE2414" s="372">
        <v>0</v>
      </c>
      <c r="AF2414" s="372">
        <v>0</v>
      </c>
      <c r="AG2414" s="372">
        <v>0</v>
      </c>
      <c r="AH2414" s="372">
        <v>0</v>
      </c>
    </row>
    <row r="2415" spans="1:34">
      <c r="A2415" s="372" t="s">
        <v>15487</v>
      </c>
      <c r="B2415" s="372" t="s">
        <v>15488</v>
      </c>
      <c r="C2415" s="372" t="s">
        <v>15489</v>
      </c>
      <c r="D2415" s="374">
        <v>1801110000602</v>
      </c>
      <c r="E2415" s="372" t="s">
        <v>15490</v>
      </c>
      <c r="F2415" s="372" t="s">
        <v>1854</v>
      </c>
      <c r="G2415" s="375" t="s">
        <v>1854</v>
      </c>
      <c r="H2415" s="375" t="s">
        <v>853</v>
      </c>
      <c r="I2415" s="375" t="s">
        <v>755</v>
      </c>
      <c r="J2415" s="375">
        <v>66291.75735</v>
      </c>
      <c r="K2415" s="375">
        <v>238.21678</v>
      </c>
      <c r="L2415" s="375">
        <v>-29125.365890000001</v>
      </c>
      <c r="M2415" s="375">
        <v>1170.0297800000001</v>
      </c>
      <c r="N2415" s="372">
        <v>0.77800000000000002</v>
      </c>
      <c r="O2415" s="703">
        <v>124.44524574735902</v>
      </c>
      <c r="P2415" s="562" t="s">
        <v>16142</v>
      </c>
      <c r="Q2415" s="372" t="s">
        <v>16145</v>
      </c>
      <c r="R2415" s="695">
        <v>19760601</v>
      </c>
      <c r="S2415" s="372" t="s">
        <v>15491</v>
      </c>
      <c r="T2415" s="696" t="s">
        <v>772</v>
      </c>
      <c r="U2415" s="372" t="s">
        <v>15492</v>
      </c>
      <c r="V2415" s="722">
        <v>14.1</v>
      </c>
      <c r="W2415" s="722">
        <v>3.61</v>
      </c>
      <c r="X2415" s="722">
        <v>0.34</v>
      </c>
      <c r="Y2415" s="722" t="s">
        <v>774</v>
      </c>
      <c r="Z2415" s="382" t="s">
        <v>934</v>
      </c>
      <c r="AA2415" s="372">
        <v>252.55946309999999</v>
      </c>
      <c r="AB2415" s="372">
        <v>352.17986680000001</v>
      </c>
      <c r="AC2415" s="372">
        <v>893.39914190000002</v>
      </c>
      <c r="AD2415" s="372">
        <v>662.9175735</v>
      </c>
      <c r="AE2415" s="372">
        <v>0</v>
      </c>
      <c r="AF2415" s="372">
        <v>0</v>
      </c>
      <c r="AG2415" s="372">
        <v>0</v>
      </c>
      <c r="AH2415" s="372">
        <v>0</v>
      </c>
    </row>
    <row r="2416" spans="1:34">
      <c r="A2416" s="372" t="s">
        <v>15493</v>
      </c>
      <c r="B2416" s="372" t="s">
        <v>15494</v>
      </c>
      <c r="C2416" s="372" t="s">
        <v>15495</v>
      </c>
      <c r="D2416" s="374">
        <v>1347110014590</v>
      </c>
      <c r="E2416" s="372" t="s">
        <v>15496</v>
      </c>
      <c r="F2416" s="372" t="s">
        <v>2147</v>
      </c>
      <c r="G2416" s="375" t="s">
        <v>4509</v>
      </c>
      <c r="H2416" s="375" t="s">
        <v>868</v>
      </c>
      <c r="I2416" s="375" t="s">
        <v>869</v>
      </c>
      <c r="J2416" s="375">
        <v>26878.17886</v>
      </c>
      <c r="K2416" s="375">
        <v>-14129.480659999999</v>
      </c>
      <c r="L2416" s="375">
        <v>-21398.14687</v>
      </c>
      <c r="M2416" s="375">
        <v>18979.41862</v>
      </c>
      <c r="N2416" s="372">
        <v>0.90200000000000002</v>
      </c>
      <c r="O2416" s="703">
        <v>80.334665510372176</v>
      </c>
      <c r="P2416" s="562" t="s">
        <v>623</v>
      </c>
      <c r="Q2416" s="372" t="s">
        <v>623</v>
      </c>
      <c r="R2416" s="695">
        <v>20000804</v>
      </c>
      <c r="S2416" s="372" t="s">
        <v>15497</v>
      </c>
      <c r="T2416" s="696" t="s">
        <v>772</v>
      </c>
      <c r="U2416" s="372" t="s">
        <v>15498</v>
      </c>
      <c r="V2416" s="722" t="s">
        <v>774</v>
      </c>
      <c r="W2416" s="722">
        <v>1.45</v>
      </c>
      <c r="X2416" s="722">
        <v>1.03</v>
      </c>
      <c r="Y2416" s="722" t="s">
        <v>774</v>
      </c>
      <c r="Z2416" s="382" t="s">
        <v>934</v>
      </c>
      <c r="AA2416" s="372">
        <v>228.5403365</v>
      </c>
      <c r="AB2416" s="372">
        <v>239.51090780000001</v>
      </c>
      <c r="AC2416" s="372">
        <v>233.9636788</v>
      </c>
      <c r="AD2416" s="372">
        <v>268.78178860000003</v>
      </c>
      <c r="AE2416" s="372">
        <v>0</v>
      </c>
      <c r="AF2416" s="372">
        <v>0</v>
      </c>
      <c r="AG2416" s="372">
        <v>0</v>
      </c>
      <c r="AH2416" s="372">
        <v>0</v>
      </c>
    </row>
    <row r="2417" spans="1:34">
      <c r="A2417" s="372" t="s">
        <v>15499</v>
      </c>
      <c r="B2417" s="372" t="s">
        <v>15500</v>
      </c>
      <c r="C2417" s="372" t="s">
        <v>15501</v>
      </c>
      <c r="D2417" s="374">
        <v>1311110060530</v>
      </c>
      <c r="E2417" s="372" t="s">
        <v>15502</v>
      </c>
      <c r="F2417" s="372" t="s">
        <v>1286</v>
      </c>
      <c r="G2417" s="375" t="s">
        <v>1465</v>
      </c>
      <c r="H2417" s="375" t="s">
        <v>1388</v>
      </c>
      <c r="I2417" s="375" t="s">
        <v>869</v>
      </c>
      <c r="J2417" s="375">
        <v>21295.259279999998</v>
      </c>
      <c r="K2417" s="375">
        <v>1026.10167</v>
      </c>
      <c r="L2417" s="375">
        <v>2637.2437199999999</v>
      </c>
      <c r="M2417" s="375">
        <v>12018.690350000001</v>
      </c>
      <c r="N2417" s="372" t="s">
        <v>1033</v>
      </c>
      <c r="O2417" s="703">
        <v>0.17984991260577468</v>
      </c>
      <c r="P2417" s="562" t="s">
        <v>623</v>
      </c>
      <c r="Q2417" s="372" t="s">
        <v>623</v>
      </c>
      <c r="R2417" s="695">
        <v>20100716</v>
      </c>
      <c r="S2417" s="372" t="s">
        <v>15503</v>
      </c>
      <c r="T2417" s="696">
        <v>0.20900000000000002</v>
      </c>
      <c r="U2417" s="372" t="s">
        <v>15504</v>
      </c>
      <c r="V2417" s="722">
        <v>0</v>
      </c>
      <c r="W2417" s="722">
        <v>2</v>
      </c>
      <c r="X2417" s="722">
        <v>0</v>
      </c>
      <c r="Y2417" s="722">
        <v>0</v>
      </c>
      <c r="Z2417" s="382" t="s">
        <v>934</v>
      </c>
      <c r="AA2417" s="372">
        <v>225.92325930000001</v>
      </c>
      <c r="AB2417" s="372">
        <v>214.17406009999999</v>
      </c>
      <c r="AC2417" s="372">
        <v>224.96607370000001</v>
      </c>
      <c r="AD2417" s="372">
        <v>212.95259279999999</v>
      </c>
      <c r="AE2417" s="372">
        <v>0</v>
      </c>
      <c r="AF2417" s="372">
        <v>0</v>
      </c>
      <c r="AG2417" s="372">
        <v>0</v>
      </c>
      <c r="AH2417" s="372">
        <v>0</v>
      </c>
    </row>
    <row r="2418" spans="1:34">
      <c r="A2418" s="372" t="s">
        <v>15505</v>
      </c>
      <c r="B2418" s="372" t="s">
        <v>15506</v>
      </c>
      <c r="C2418" s="372" t="s">
        <v>15507</v>
      </c>
      <c r="D2418" s="374">
        <v>1801110025882</v>
      </c>
      <c r="E2418" s="372" t="s">
        <v>15508</v>
      </c>
      <c r="F2418" s="372" t="s">
        <v>2771</v>
      </c>
      <c r="G2418" s="375" t="s">
        <v>9480</v>
      </c>
      <c r="H2418" s="375" t="s">
        <v>868</v>
      </c>
      <c r="I2418" s="375" t="s">
        <v>869</v>
      </c>
      <c r="J2418" s="375">
        <v>53679.071669999998</v>
      </c>
      <c r="K2418" s="375">
        <v>-7043.8415599999998</v>
      </c>
      <c r="L2418" s="375">
        <v>-7015.9672200000005</v>
      </c>
      <c r="M2418" s="375">
        <v>21950.374520000001</v>
      </c>
      <c r="N2418" s="372">
        <v>0.74399999999999999</v>
      </c>
      <c r="O2418" s="703">
        <v>249.96222938110685</v>
      </c>
      <c r="P2418" s="562" t="s">
        <v>623</v>
      </c>
      <c r="Q2418" s="372" t="s">
        <v>623</v>
      </c>
      <c r="R2418" s="695">
        <v>19951227</v>
      </c>
      <c r="S2418" s="372" t="s">
        <v>15509</v>
      </c>
      <c r="T2418" s="696" t="s">
        <v>772</v>
      </c>
      <c r="U2418" s="372" t="s">
        <v>15510</v>
      </c>
      <c r="V2418" s="722" t="s">
        <v>774</v>
      </c>
      <c r="W2418" s="722">
        <v>1.1399999999999999</v>
      </c>
      <c r="X2418" s="722">
        <v>0.47</v>
      </c>
      <c r="Y2418" s="722" t="s">
        <v>774</v>
      </c>
      <c r="Z2418" s="382" t="s">
        <v>934</v>
      </c>
      <c r="AA2418" s="372">
        <v>429.77717189999998</v>
      </c>
      <c r="AB2418" s="372">
        <v>545.85774330000004</v>
      </c>
      <c r="AC2418" s="372">
        <v>591.39993830000003</v>
      </c>
      <c r="AD2418" s="372">
        <v>536.79071669999996</v>
      </c>
      <c r="AE2418" s="372">
        <v>0</v>
      </c>
      <c r="AF2418" s="372">
        <v>0</v>
      </c>
      <c r="AG2418" s="372">
        <v>0</v>
      </c>
      <c r="AH2418" s="372">
        <v>0</v>
      </c>
    </row>
    <row r="2419" spans="1:34">
      <c r="A2419" s="372" t="s">
        <v>15511</v>
      </c>
      <c r="B2419" s="372" t="s">
        <v>15512</v>
      </c>
      <c r="C2419" s="372" t="s">
        <v>15513</v>
      </c>
      <c r="D2419" s="374">
        <v>1943110006189</v>
      </c>
      <c r="E2419" s="372" t="s">
        <v>15514</v>
      </c>
      <c r="F2419" s="372" t="s">
        <v>1889</v>
      </c>
      <c r="G2419" s="375" t="s">
        <v>7595</v>
      </c>
      <c r="H2419" s="375" t="s">
        <v>868</v>
      </c>
      <c r="I2419" s="375" t="s">
        <v>869</v>
      </c>
      <c r="J2419" s="375">
        <v>43727.516179999999</v>
      </c>
      <c r="K2419" s="375">
        <v>-7015.0406300000004</v>
      </c>
      <c r="L2419" s="375">
        <v>-7792.16572</v>
      </c>
      <c r="M2419" s="375">
        <v>40703.434860000001</v>
      </c>
      <c r="N2419" s="372" t="s">
        <v>1033</v>
      </c>
      <c r="O2419" s="703">
        <v>62.280252141658735</v>
      </c>
      <c r="P2419" s="562" t="s">
        <v>623</v>
      </c>
      <c r="Q2419" s="372" t="s">
        <v>623</v>
      </c>
      <c r="R2419" s="695">
        <v>20090519</v>
      </c>
      <c r="S2419" s="372" t="s">
        <v>15515</v>
      </c>
      <c r="T2419" s="696" t="s">
        <v>772</v>
      </c>
      <c r="U2419" s="372" t="s">
        <v>15516</v>
      </c>
      <c r="V2419" s="722">
        <v>0</v>
      </c>
      <c r="W2419" s="722">
        <v>0.52</v>
      </c>
      <c r="X2419" s="722">
        <v>0</v>
      </c>
      <c r="Y2419" s="722">
        <v>0</v>
      </c>
      <c r="Z2419" s="382" t="s">
        <v>934</v>
      </c>
      <c r="AA2419" s="372">
        <v>171.67829459999999</v>
      </c>
      <c r="AB2419" s="372">
        <v>147.82212480000001</v>
      </c>
      <c r="AC2419" s="372">
        <v>422.92335639999999</v>
      </c>
      <c r="AD2419" s="372">
        <v>437.27516179999998</v>
      </c>
      <c r="AE2419" s="372">
        <v>0</v>
      </c>
      <c r="AF2419" s="372">
        <v>0</v>
      </c>
      <c r="AG2419" s="372">
        <v>0</v>
      </c>
      <c r="AH2419" s="372">
        <v>0</v>
      </c>
    </row>
    <row r="2420" spans="1:34">
      <c r="A2420" s="372" t="s">
        <v>15517</v>
      </c>
      <c r="B2420" s="372" t="s">
        <v>15518</v>
      </c>
      <c r="C2420" s="372" t="s">
        <v>15519</v>
      </c>
      <c r="D2420" s="374">
        <v>1350110106150</v>
      </c>
      <c r="E2420" s="372" t="s">
        <v>15520</v>
      </c>
      <c r="F2420" s="372" t="s">
        <v>1814</v>
      </c>
      <c r="G2420" s="375" t="s">
        <v>1815</v>
      </c>
      <c r="H2420" s="375" t="s">
        <v>1693</v>
      </c>
      <c r="I2420" s="375" t="s">
        <v>869</v>
      </c>
      <c r="J2420" s="375">
        <v>0</v>
      </c>
      <c r="K2420" s="375">
        <v>0</v>
      </c>
      <c r="L2420" s="375">
        <v>0</v>
      </c>
      <c r="M2420" s="375">
        <v>24930.288830000001</v>
      </c>
      <c r="N2420" s="372">
        <v>0.89100000000000001</v>
      </c>
      <c r="O2420" s="703">
        <v>35.692350383100163</v>
      </c>
      <c r="P2420" s="562" t="s">
        <v>623</v>
      </c>
      <c r="Q2420" s="372" t="s">
        <v>623</v>
      </c>
      <c r="R2420" s="695">
        <v>20100609</v>
      </c>
      <c r="S2420" s="372" t="s">
        <v>15521</v>
      </c>
      <c r="T2420" s="696" t="s">
        <v>772</v>
      </c>
      <c r="U2420" s="372" t="s">
        <v>15522</v>
      </c>
      <c r="V2420" s="722">
        <v>0</v>
      </c>
      <c r="W2420" s="722">
        <v>1.05</v>
      </c>
      <c r="X2420" s="722">
        <v>0</v>
      </c>
      <c r="Y2420" s="722">
        <v>0</v>
      </c>
      <c r="Z2420" s="382" t="s">
        <v>934</v>
      </c>
      <c r="AA2420" s="372">
        <v>101.1828034</v>
      </c>
      <c r="AB2420" s="372">
        <v>110.0659375</v>
      </c>
      <c r="AC2420" s="372">
        <v>102.7564156</v>
      </c>
      <c r="AD2420" s="372">
        <v>347.6287087</v>
      </c>
      <c r="AE2420" s="372">
        <v>0</v>
      </c>
      <c r="AF2420" s="372">
        <v>0</v>
      </c>
      <c r="AG2420" s="372">
        <v>0</v>
      </c>
      <c r="AH2420" s="372">
        <v>0</v>
      </c>
    </row>
    <row r="2421" spans="1:34">
      <c r="A2421" s="372" t="s">
        <v>15523</v>
      </c>
      <c r="B2421" s="372" t="s">
        <v>15524</v>
      </c>
      <c r="C2421" s="372" t="s">
        <v>15525</v>
      </c>
      <c r="D2421" s="374">
        <v>1101113637810</v>
      </c>
      <c r="E2421" s="372" t="s">
        <v>15526</v>
      </c>
      <c r="F2421" s="372" t="s">
        <v>1285</v>
      </c>
      <c r="G2421" s="375" t="s">
        <v>1285</v>
      </c>
      <c r="H2421" s="375" t="s">
        <v>1388</v>
      </c>
      <c r="I2421" s="375" t="s">
        <v>869</v>
      </c>
      <c r="J2421" s="375">
        <v>29019.81093</v>
      </c>
      <c r="K2421" s="375">
        <v>914.35612000000003</v>
      </c>
      <c r="L2421" s="375">
        <v>741.14472999999998</v>
      </c>
      <c r="M2421" s="375">
        <v>26069.7804</v>
      </c>
      <c r="N2421" s="372">
        <v>0.69899999999999995</v>
      </c>
      <c r="O2421" s="703">
        <v>42.780136022535075</v>
      </c>
      <c r="P2421" s="562" t="s">
        <v>623</v>
      </c>
      <c r="Q2421" s="372" t="s">
        <v>623</v>
      </c>
      <c r="R2421" s="695">
        <v>20151224</v>
      </c>
      <c r="S2421" s="372" t="s">
        <v>15527</v>
      </c>
      <c r="T2421" s="696">
        <v>0.20900000000000002</v>
      </c>
      <c r="U2421" s="372" t="s">
        <v>15528</v>
      </c>
      <c r="V2421" s="722">
        <v>12.96</v>
      </c>
      <c r="W2421" s="722">
        <v>1.31</v>
      </c>
      <c r="X2421" s="722">
        <v>1.18</v>
      </c>
      <c r="Y2421" s="722" t="s">
        <v>774</v>
      </c>
      <c r="Z2421" s="382" t="s">
        <v>934</v>
      </c>
      <c r="AA2421" s="372">
        <v>764.49801360000004</v>
      </c>
      <c r="AB2421" s="372">
        <v>308.56482349999999</v>
      </c>
      <c r="AC2421" s="372">
        <v>331.51032020000002</v>
      </c>
      <c r="AD2421" s="372">
        <v>290.1981093</v>
      </c>
      <c r="AE2421" s="372">
        <v>0</v>
      </c>
      <c r="AF2421" s="372">
        <v>0</v>
      </c>
      <c r="AG2421" s="372">
        <v>0</v>
      </c>
      <c r="AH2421" s="372">
        <v>0</v>
      </c>
    </row>
    <row r="2422" spans="1:34">
      <c r="A2422" s="372" t="s">
        <v>15529</v>
      </c>
      <c r="B2422" s="372" t="s">
        <v>15530</v>
      </c>
      <c r="C2422" s="372" t="s">
        <v>15531</v>
      </c>
      <c r="D2422" s="374">
        <v>1311110191004</v>
      </c>
      <c r="E2422" s="372" t="s">
        <v>15532</v>
      </c>
      <c r="F2422" s="372" t="s">
        <v>770</v>
      </c>
      <c r="G2422" s="375" t="s">
        <v>770</v>
      </c>
      <c r="H2422" s="375" t="s">
        <v>1388</v>
      </c>
      <c r="I2422" s="375" t="s">
        <v>869</v>
      </c>
      <c r="J2422" s="375">
        <v>35246.976759999998</v>
      </c>
      <c r="K2422" s="375">
        <v>-4380.9175100000002</v>
      </c>
      <c r="L2422" s="375">
        <v>-43881.478219999997</v>
      </c>
      <c r="M2422" s="375">
        <v>29722.146489999999</v>
      </c>
      <c r="N2422" s="372">
        <v>0.36</v>
      </c>
      <c r="O2422" s="703">
        <v>136.7277672609633</v>
      </c>
      <c r="P2422" s="562" t="s">
        <v>16142</v>
      </c>
      <c r="Q2422" s="372" t="s">
        <v>16145</v>
      </c>
      <c r="R2422" s="695">
        <v>20150625</v>
      </c>
      <c r="S2422" s="372" t="s">
        <v>15533</v>
      </c>
      <c r="T2422" s="696" t="s">
        <v>772</v>
      </c>
      <c r="U2422" s="372" t="s">
        <v>16134</v>
      </c>
      <c r="V2422" s="722" t="s">
        <v>774</v>
      </c>
      <c r="W2422" s="722">
        <v>0.76</v>
      </c>
      <c r="X2422" s="722">
        <v>0.64</v>
      </c>
      <c r="Y2422" s="722" t="s">
        <v>774</v>
      </c>
      <c r="Z2422" s="382" t="s">
        <v>934</v>
      </c>
      <c r="AA2422" s="372">
        <v>286.33745199999998</v>
      </c>
      <c r="AB2422" s="372">
        <v>219.27544789999999</v>
      </c>
      <c r="AC2422" s="372">
        <v>160.7955747</v>
      </c>
      <c r="AD2422" s="372">
        <v>352.46976760000001</v>
      </c>
      <c r="AE2422" s="372">
        <v>0</v>
      </c>
      <c r="AF2422" s="372">
        <v>0</v>
      </c>
      <c r="AG2422" s="372">
        <v>0</v>
      </c>
      <c r="AH2422" s="372">
        <v>0</v>
      </c>
    </row>
    <row r="2423" spans="1:34">
      <c r="A2423" s="372" t="s">
        <v>15534</v>
      </c>
      <c r="B2423" s="372" t="s">
        <v>15535</v>
      </c>
      <c r="C2423" s="372" t="s">
        <v>15536</v>
      </c>
      <c r="D2423" s="374">
        <v>1201110330796</v>
      </c>
      <c r="E2423" s="372" t="s">
        <v>15537</v>
      </c>
      <c r="F2423" s="372" t="s">
        <v>1285</v>
      </c>
      <c r="G2423" s="375" t="s">
        <v>1285</v>
      </c>
      <c r="H2423" s="375" t="s">
        <v>1388</v>
      </c>
      <c r="I2423" s="375" t="s">
        <v>869</v>
      </c>
      <c r="J2423" s="375">
        <v>36261.410430000004</v>
      </c>
      <c r="K2423" s="375">
        <v>961.05593999999996</v>
      </c>
      <c r="L2423" s="375">
        <v>391.81984999999997</v>
      </c>
      <c r="M2423" s="375">
        <v>11291.65322</v>
      </c>
      <c r="N2423" s="372">
        <v>1.286</v>
      </c>
      <c r="O2423" s="703">
        <v>62.680123039835408</v>
      </c>
      <c r="P2423" s="562" t="s">
        <v>623</v>
      </c>
      <c r="Q2423" s="372" t="s">
        <v>623</v>
      </c>
      <c r="R2423" s="695">
        <v>20111102</v>
      </c>
      <c r="S2423" s="372" t="s">
        <v>15538</v>
      </c>
      <c r="T2423" s="696">
        <v>0.20900000000000002</v>
      </c>
      <c r="U2423" s="372" t="s">
        <v>15539</v>
      </c>
      <c r="V2423" s="722">
        <v>13.05</v>
      </c>
      <c r="W2423" s="722">
        <v>2.11</v>
      </c>
      <c r="X2423" s="722">
        <v>0.66</v>
      </c>
      <c r="Y2423" s="722">
        <v>60.71</v>
      </c>
      <c r="Z2423" s="382" t="s">
        <v>934</v>
      </c>
      <c r="AA2423" s="372">
        <v>220.4571861</v>
      </c>
      <c r="AB2423" s="372">
        <v>316.21537030000002</v>
      </c>
      <c r="AC2423" s="372">
        <v>430.4265805</v>
      </c>
      <c r="AD2423" s="372">
        <v>362.61410430000001</v>
      </c>
      <c r="AE2423" s="372">
        <v>0</v>
      </c>
      <c r="AF2423" s="372">
        <v>0</v>
      </c>
      <c r="AG2423" s="372">
        <v>0</v>
      </c>
      <c r="AH2423" s="372">
        <v>0</v>
      </c>
    </row>
    <row r="2424" spans="1:34">
      <c r="A2424" s="372" t="s">
        <v>15540</v>
      </c>
      <c r="B2424" s="372" t="s">
        <v>15541</v>
      </c>
      <c r="C2424" s="372" t="s">
        <v>15542</v>
      </c>
      <c r="D2424" s="374">
        <v>1101110192271</v>
      </c>
      <c r="E2424" s="372" t="s">
        <v>15543</v>
      </c>
      <c r="F2424" s="372" t="s">
        <v>2692</v>
      </c>
      <c r="G2424" s="375" t="s">
        <v>15317</v>
      </c>
      <c r="H2424" s="375" t="s">
        <v>868</v>
      </c>
      <c r="I2424" s="375" t="s">
        <v>869</v>
      </c>
      <c r="J2424" s="375">
        <v>65325.50202</v>
      </c>
      <c r="K2424" s="375">
        <v>653.43467999999996</v>
      </c>
      <c r="L2424" s="375">
        <v>2615.6152499999998</v>
      </c>
      <c r="M2424" s="375">
        <v>30180.07476</v>
      </c>
      <c r="N2424" s="372">
        <v>1.097</v>
      </c>
      <c r="O2424" s="703">
        <v>54.243757389026371</v>
      </c>
      <c r="P2424" s="562" t="s">
        <v>623</v>
      </c>
      <c r="Q2424" s="372" t="s">
        <v>623</v>
      </c>
      <c r="R2424" s="695">
        <v>20040630</v>
      </c>
      <c r="S2424" s="372" t="s">
        <v>15544</v>
      </c>
      <c r="T2424" s="696">
        <v>0.20900000000000002</v>
      </c>
      <c r="U2424" s="372" t="s">
        <v>15545</v>
      </c>
      <c r="V2424" s="722">
        <v>0</v>
      </c>
      <c r="W2424" s="722">
        <v>0.77</v>
      </c>
      <c r="X2424" s="722">
        <v>0</v>
      </c>
      <c r="Y2424" s="722">
        <v>0</v>
      </c>
      <c r="Z2424" s="382" t="s">
        <v>934</v>
      </c>
      <c r="AA2424" s="372">
        <v>671.48815930000001</v>
      </c>
      <c r="AB2424" s="372">
        <v>655.38381879999997</v>
      </c>
      <c r="AC2424" s="372">
        <v>704.95736690000001</v>
      </c>
      <c r="AD2424" s="372">
        <v>653.25502019999999</v>
      </c>
      <c r="AE2424" s="372">
        <v>0</v>
      </c>
      <c r="AF2424" s="372">
        <v>0</v>
      </c>
      <c r="AG2424" s="372">
        <v>0</v>
      </c>
      <c r="AH2424" s="372">
        <v>0</v>
      </c>
    </row>
    <row r="2425" spans="1:34">
      <c r="A2425" s="372" t="s">
        <v>15546</v>
      </c>
      <c r="B2425" s="372" t="s">
        <v>15547</v>
      </c>
      <c r="C2425" s="372" t="s">
        <v>15548</v>
      </c>
      <c r="D2425" s="374">
        <v>1648110015300</v>
      </c>
      <c r="E2425" s="372" t="s">
        <v>15549</v>
      </c>
      <c r="F2425" s="372" t="s">
        <v>1728</v>
      </c>
      <c r="G2425" s="375" t="s">
        <v>1729</v>
      </c>
      <c r="H2425" s="375" t="s">
        <v>868</v>
      </c>
      <c r="I2425" s="375" t="s">
        <v>869</v>
      </c>
      <c r="J2425" s="375">
        <v>353187.31712999998</v>
      </c>
      <c r="K2425" s="375">
        <v>-281218.78561999998</v>
      </c>
      <c r="L2425" s="375">
        <v>-280666.30394999997</v>
      </c>
      <c r="M2425" s="375">
        <v>-270639.49758999998</v>
      </c>
      <c r="N2425" s="372">
        <v>1.0329999999999999</v>
      </c>
      <c r="O2425" s="703">
        <v>980.39200669551633</v>
      </c>
      <c r="P2425" s="562" t="s">
        <v>16142</v>
      </c>
      <c r="Q2425" s="372" t="s">
        <v>16145</v>
      </c>
      <c r="R2425" s="695">
        <v>20160714</v>
      </c>
      <c r="S2425" s="372" t="s">
        <v>15550</v>
      </c>
      <c r="T2425" s="696" t="s">
        <v>772</v>
      </c>
      <c r="U2425" s="372" t="s">
        <v>16135</v>
      </c>
      <c r="V2425" s="722" t="s">
        <v>774</v>
      </c>
      <c r="W2425" s="722" t="s">
        <v>774</v>
      </c>
      <c r="X2425" s="722">
        <v>0.06</v>
      </c>
      <c r="Y2425" s="722" t="s">
        <v>774</v>
      </c>
      <c r="Z2425" s="382" t="s">
        <v>934</v>
      </c>
      <c r="AA2425" s="372">
        <v>8755.9420367999992</v>
      </c>
      <c r="AB2425" s="372">
        <v>10528.931842399999</v>
      </c>
      <c r="AC2425" s="372">
        <v>7820.8041653</v>
      </c>
      <c r="AD2425" s="372">
        <v>3531.8731713000002</v>
      </c>
      <c r="AE2425" s="372">
        <v>0</v>
      </c>
      <c r="AF2425" s="372">
        <v>0</v>
      </c>
      <c r="AG2425" s="372">
        <v>0</v>
      </c>
      <c r="AH2425" s="372">
        <v>0</v>
      </c>
    </row>
    <row r="2426" spans="1:34">
      <c r="A2426" s="372" t="s">
        <v>15551</v>
      </c>
      <c r="B2426" s="372" t="s">
        <v>15552</v>
      </c>
      <c r="C2426" s="372" t="s">
        <v>15553</v>
      </c>
      <c r="D2426" s="374">
        <v>1760110022266</v>
      </c>
      <c r="E2426" s="372" t="s">
        <v>15554</v>
      </c>
      <c r="F2426" s="372" t="s">
        <v>7094</v>
      </c>
      <c r="G2426" s="375" t="s">
        <v>7094</v>
      </c>
      <c r="H2426" s="375" t="s">
        <v>1348</v>
      </c>
      <c r="I2426" s="375" t="s">
        <v>869</v>
      </c>
      <c r="J2426" s="375">
        <v>11335.96184</v>
      </c>
      <c r="K2426" s="375">
        <v>-685.44843000000003</v>
      </c>
      <c r="L2426" s="375">
        <v>-1136.6866199999999</v>
      </c>
      <c r="M2426" s="375">
        <v>17204.514879999999</v>
      </c>
      <c r="N2426" s="372">
        <v>1.1120000000000001</v>
      </c>
      <c r="O2426" s="703">
        <v>2.2298036601626618</v>
      </c>
      <c r="P2426" s="562" t="s">
        <v>623</v>
      </c>
      <c r="Q2426" s="372" t="s">
        <v>623</v>
      </c>
      <c r="R2426" s="695">
        <v>20040625</v>
      </c>
      <c r="S2426" s="372" t="s">
        <v>15555</v>
      </c>
      <c r="T2426" s="696" t="s">
        <v>772</v>
      </c>
      <c r="U2426" s="372" t="s">
        <v>15556</v>
      </c>
      <c r="V2426" s="722">
        <v>0</v>
      </c>
      <c r="W2426" s="722">
        <v>1.19</v>
      </c>
      <c r="X2426" s="722">
        <v>0</v>
      </c>
      <c r="Y2426" s="722">
        <v>0</v>
      </c>
      <c r="Z2426" s="382" t="s">
        <v>934</v>
      </c>
      <c r="AA2426" s="372">
        <v>101.09533500000001</v>
      </c>
      <c r="AB2426" s="372">
        <v>94.212645300000005</v>
      </c>
      <c r="AC2426" s="372">
        <v>84.860179200000005</v>
      </c>
      <c r="AD2426" s="372">
        <v>113.3596184</v>
      </c>
      <c r="AE2426" s="372">
        <v>0</v>
      </c>
      <c r="AF2426" s="372">
        <v>0</v>
      </c>
      <c r="AG2426" s="372">
        <v>0</v>
      </c>
      <c r="AH2426" s="372">
        <v>0</v>
      </c>
    </row>
    <row r="2427" spans="1:34">
      <c r="A2427" s="372" t="s">
        <v>15557</v>
      </c>
      <c r="B2427" s="372" t="s">
        <v>15558</v>
      </c>
      <c r="C2427" s="372" t="s">
        <v>15559</v>
      </c>
      <c r="D2427" s="374">
        <v>1101118743802</v>
      </c>
      <c r="E2427" s="372" t="s">
        <v>15560</v>
      </c>
      <c r="F2427" s="372" t="s">
        <v>1151</v>
      </c>
      <c r="G2427" s="375" t="s">
        <v>1152</v>
      </c>
      <c r="H2427" s="375" t="s">
        <v>902</v>
      </c>
      <c r="I2427" s="375" t="s">
        <v>869</v>
      </c>
      <c r="J2427" s="375">
        <v>0</v>
      </c>
      <c r="K2427" s="375">
        <v>0</v>
      </c>
      <c r="L2427" s="375">
        <v>0</v>
      </c>
      <c r="M2427" s="375">
        <v>21382.073219999998</v>
      </c>
      <c r="N2427" s="372" t="s">
        <v>1033</v>
      </c>
      <c r="O2427" s="703">
        <v>14.478882008293773</v>
      </c>
      <c r="P2427" s="562" t="s">
        <v>623</v>
      </c>
      <c r="Q2427" s="372" t="s">
        <v>623</v>
      </c>
      <c r="R2427" s="695">
        <v>20231204</v>
      </c>
      <c r="S2427" s="372" t="s">
        <v>9098</v>
      </c>
      <c r="T2427" s="696" t="s">
        <v>772</v>
      </c>
      <c r="U2427" s="372">
        <v>0</v>
      </c>
      <c r="V2427" s="722">
        <v>0</v>
      </c>
      <c r="W2427" s="722">
        <v>0.99</v>
      </c>
      <c r="X2427" s="722">
        <v>0</v>
      </c>
      <c r="Y2427" s="722">
        <v>0</v>
      </c>
      <c r="Z2427" s="382" t="s">
        <v>774</v>
      </c>
      <c r="AA2427" s="372">
        <v>0</v>
      </c>
      <c r="AB2427" s="372">
        <v>0</v>
      </c>
      <c r="AC2427" s="372">
        <v>0</v>
      </c>
      <c r="AD2427" s="372">
        <v>0</v>
      </c>
      <c r="AE2427" s="372">
        <v>0</v>
      </c>
      <c r="AF2427" s="372">
        <v>0</v>
      </c>
      <c r="AG2427" s="372">
        <v>0</v>
      </c>
      <c r="AH2427" s="372">
        <v>0</v>
      </c>
    </row>
    <row r="2428" spans="1:34">
      <c r="A2428" s="372" t="s">
        <v>15561</v>
      </c>
      <c r="B2428" s="372" t="s">
        <v>15562</v>
      </c>
      <c r="C2428" s="372" t="s">
        <v>15563</v>
      </c>
      <c r="D2428" s="374">
        <v>1647110001608</v>
      </c>
      <c r="E2428" s="372" t="s">
        <v>15564</v>
      </c>
      <c r="F2428" s="372" t="s">
        <v>1187</v>
      </c>
      <c r="G2428" s="375" t="s">
        <v>1188</v>
      </c>
      <c r="H2428" s="375" t="s">
        <v>1388</v>
      </c>
      <c r="I2428" s="375" t="s">
        <v>869</v>
      </c>
      <c r="J2428" s="375">
        <v>52968.921280000002</v>
      </c>
      <c r="K2428" s="375">
        <v>-325.39208000000002</v>
      </c>
      <c r="L2428" s="375">
        <v>-3308.6515300000001</v>
      </c>
      <c r="M2428" s="375">
        <v>18827.777139999998</v>
      </c>
      <c r="N2428" s="372">
        <v>0.88300000000000001</v>
      </c>
      <c r="O2428" s="703">
        <v>98.009834807097349</v>
      </c>
      <c r="P2428" s="562" t="s">
        <v>623</v>
      </c>
      <c r="Q2428" s="372" t="s">
        <v>623</v>
      </c>
      <c r="R2428" s="695">
        <v>20030813</v>
      </c>
      <c r="S2428" s="372" t="s">
        <v>15565</v>
      </c>
      <c r="T2428" s="696" t="s">
        <v>772</v>
      </c>
      <c r="U2428" s="372" t="s">
        <v>15566</v>
      </c>
      <c r="V2428" s="722">
        <v>13.04</v>
      </c>
      <c r="W2428" s="722">
        <v>1.21</v>
      </c>
      <c r="X2428" s="722">
        <v>0.43</v>
      </c>
      <c r="Y2428" s="722" t="s">
        <v>774</v>
      </c>
      <c r="Z2428" s="382" t="s">
        <v>934</v>
      </c>
      <c r="AA2428" s="372">
        <v>466.10840839999997</v>
      </c>
      <c r="AB2428" s="372">
        <v>736.98612049999997</v>
      </c>
      <c r="AC2428" s="372">
        <v>624.84795889999998</v>
      </c>
      <c r="AD2428" s="372">
        <v>529.68921279999995</v>
      </c>
      <c r="AE2428" s="372">
        <v>0</v>
      </c>
      <c r="AF2428" s="372">
        <v>0</v>
      </c>
      <c r="AG2428" s="372">
        <v>0</v>
      </c>
      <c r="AH2428" s="372">
        <v>0</v>
      </c>
    </row>
    <row r="2429" spans="1:34">
      <c r="A2429" s="372" t="s">
        <v>15567</v>
      </c>
      <c r="B2429" s="372" t="s">
        <v>15568</v>
      </c>
      <c r="C2429" s="372" t="s">
        <v>15569</v>
      </c>
      <c r="D2429" s="374">
        <v>1101110674724</v>
      </c>
      <c r="E2429" s="372" t="s">
        <v>15570</v>
      </c>
      <c r="F2429" s="372" t="s">
        <v>1381</v>
      </c>
      <c r="G2429" s="375" t="s">
        <v>1381</v>
      </c>
      <c r="H2429" s="375" t="s">
        <v>1693</v>
      </c>
      <c r="I2429" s="375" t="s">
        <v>869</v>
      </c>
      <c r="J2429" s="375">
        <v>6967.04126</v>
      </c>
      <c r="K2429" s="375">
        <v>-2124.13024</v>
      </c>
      <c r="L2429" s="375">
        <v>-1942.9239299999999</v>
      </c>
      <c r="M2429" s="375">
        <v>21540.992760000001</v>
      </c>
      <c r="N2429" s="372" t="s">
        <v>1033</v>
      </c>
      <c r="O2429" s="703">
        <v>0</v>
      </c>
      <c r="P2429" s="562" t="s">
        <v>623</v>
      </c>
      <c r="Q2429" s="372" t="s">
        <v>623</v>
      </c>
      <c r="R2429" s="695">
        <v>20010622</v>
      </c>
      <c r="S2429" s="372" t="s">
        <v>15571</v>
      </c>
      <c r="T2429" s="696" t="s">
        <v>772</v>
      </c>
      <c r="U2429" s="372" t="s">
        <v>15572</v>
      </c>
      <c r="V2429" s="722">
        <v>0</v>
      </c>
      <c r="W2429" s="722">
        <v>1.17</v>
      </c>
      <c r="X2429" s="722">
        <v>0</v>
      </c>
      <c r="Y2429" s="722">
        <v>0</v>
      </c>
      <c r="Z2429" s="382" t="s">
        <v>934</v>
      </c>
      <c r="AA2429" s="372">
        <v>250.67702449999999</v>
      </c>
      <c r="AB2429" s="372">
        <v>112.54669389999999</v>
      </c>
      <c r="AC2429" s="372">
        <v>114.0606032</v>
      </c>
      <c r="AD2429" s="372">
        <v>69.670412600000006</v>
      </c>
      <c r="AE2429" s="372">
        <v>0</v>
      </c>
      <c r="AF2429" s="372">
        <v>0</v>
      </c>
      <c r="AG2429" s="372">
        <v>0</v>
      </c>
      <c r="AH2429" s="372">
        <v>0</v>
      </c>
    </row>
    <row r="2430" spans="1:34">
      <c r="A2430" s="372" t="s">
        <v>15573</v>
      </c>
      <c r="B2430" s="372" t="s">
        <v>15574</v>
      </c>
      <c r="C2430" s="372" t="s">
        <v>15575</v>
      </c>
      <c r="D2430" s="374">
        <v>1701110031873</v>
      </c>
      <c r="E2430" s="372" t="s">
        <v>15576</v>
      </c>
      <c r="F2430" s="372" t="s">
        <v>1368</v>
      </c>
      <c r="G2430" s="375" t="s">
        <v>1368</v>
      </c>
      <c r="H2430" s="375" t="s">
        <v>868</v>
      </c>
      <c r="I2430" s="375" t="s">
        <v>869</v>
      </c>
      <c r="J2430" s="375">
        <v>7041.9123300000001</v>
      </c>
      <c r="K2430" s="375">
        <v>-8594.3061600000001</v>
      </c>
      <c r="L2430" s="375">
        <v>-9274.2635300000002</v>
      </c>
      <c r="M2430" s="375">
        <v>9790.4451100000006</v>
      </c>
      <c r="N2430" s="372">
        <v>0.73599999999999999</v>
      </c>
      <c r="O2430" s="703">
        <v>10.754059635148728</v>
      </c>
      <c r="P2430" s="562" t="s">
        <v>623</v>
      </c>
      <c r="Q2430" s="372" t="s">
        <v>623</v>
      </c>
      <c r="R2430" s="695">
        <v>20020820</v>
      </c>
      <c r="S2430" s="372" t="s">
        <v>15577</v>
      </c>
      <c r="T2430" s="696" t="s">
        <v>772</v>
      </c>
      <c r="U2430" s="372" t="s">
        <v>15578</v>
      </c>
      <c r="V2430" s="722">
        <v>0</v>
      </c>
      <c r="W2430" s="722">
        <v>1.97</v>
      </c>
      <c r="X2430" s="722">
        <v>0</v>
      </c>
      <c r="Y2430" s="722">
        <v>0</v>
      </c>
      <c r="Z2430" s="382" t="s">
        <v>934</v>
      </c>
      <c r="AA2430" s="372">
        <v>134.2593267</v>
      </c>
      <c r="AB2430" s="372">
        <v>210.03250969999999</v>
      </c>
      <c r="AC2430" s="372">
        <v>47.172203500000002</v>
      </c>
      <c r="AD2430" s="372">
        <v>70.419123299999995</v>
      </c>
      <c r="AE2430" s="372">
        <v>0</v>
      </c>
      <c r="AF2430" s="372">
        <v>0</v>
      </c>
      <c r="AG2430" s="372">
        <v>0</v>
      </c>
      <c r="AH2430" s="372">
        <v>0</v>
      </c>
    </row>
    <row r="2431" spans="1:34">
      <c r="A2431" s="372" t="s">
        <v>15579</v>
      </c>
      <c r="B2431" s="372" t="s">
        <v>15580</v>
      </c>
      <c r="C2431" s="372" t="s">
        <v>15581</v>
      </c>
      <c r="D2431" s="374">
        <v>1101117685386</v>
      </c>
      <c r="E2431" s="372" t="s">
        <v>15582</v>
      </c>
      <c r="F2431" s="372" t="s">
        <v>1151</v>
      </c>
      <c r="G2431" s="375" t="s">
        <v>1152</v>
      </c>
      <c r="H2431" s="375" t="s">
        <v>902</v>
      </c>
      <c r="I2431" s="375" t="s">
        <v>4455</v>
      </c>
      <c r="J2431" s="375">
        <v>0</v>
      </c>
      <c r="K2431" s="375">
        <v>-64.175299999999993</v>
      </c>
      <c r="L2431" s="375">
        <v>133.31313</v>
      </c>
      <c r="M2431" s="375">
        <v>7834.5452400000004</v>
      </c>
      <c r="N2431" s="372">
        <v>0.45400000000000001</v>
      </c>
      <c r="O2431" s="703" t="e">
        <v>#DIV/0!</v>
      </c>
      <c r="P2431" s="562" t="s">
        <v>623</v>
      </c>
      <c r="Q2431" s="372" t="s">
        <v>623</v>
      </c>
      <c r="R2431" s="695">
        <v>20210305</v>
      </c>
      <c r="S2431" s="372" t="e">
        <v>#N/A</v>
      </c>
      <c r="T2431" s="696">
        <v>9.9000000000000005E-2</v>
      </c>
      <c r="U2431" s="372">
        <v>0</v>
      </c>
      <c r="V2431" s="722">
        <v>0</v>
      </c>
      <c r="W2431" s="722">
        <v>2.57</v>
      </c>
      <c r="X2431" s="722">
        <v>0</v>
      </c>
      <c r="Y2431" s="722">
        <v>0</v>
      </c>
      <c r="Z2431" s="382" t="s">
        <v>774</v>
      </c>
      <c r="AA2431" s="372">
        <v>0</v>
      </c>
      <c r="AB2431" s="372">
        <v>0</v>
      </c>
      <c r="AC2431" s="372">
        <v>0</v>
      </c>
      <c r="AD2431" s="372">
        <v>0</v>
      </c>
      <c r="AE2431" s="372">
        <v>0</v>
      </c>
      <c r="AF2431" s="372">
        <v>0</v>
      </c>
      <c r="AG2431" s="372">
        <v>0</v>
      </c>
      <c r="AH2431" s="372">
        <v>0</v>
      </c>
    </row>
    <row r="2432" spans="1:34">
      <c r="A2432" s="372" t="s">
        <v>15583</v>
      </c>
      <c r="B2432" s="372" t="s">
        <v>15584</v>
      </c>
      <c r="C2432" s="372" t="s">
        <v>15585</v>
      </c>
      <c r="D2432" s="374">
        <v>1101118336946</v>
      </c>
      <c r="E2432" s="372" t="s">
        <v>15586</v>
      </c>
      <c r="F2432" s="372" t="s">
        <v>1151</v>
      </c>
      <c r="G2432" s="375" t="s">
        <v>1152</v>
      </c>
      <c r="H2432" s="375" t="s">
        <v>902</v>
      </c>
      <c r="I2432" s="375" t="s">
        <v>4455</v>
      </c>
      <c r="J2432" s="375">
        <v>0</v>
      </c>
      <c r="K2432" s="375">
        <v>-102.12385999999999</v>
      </c>
      <c r="L2432" s="375">
        <v>179.29831999999999</v>
      </c>
      <c r="M2432" s="375">
        <v>10493.697759999999</v>
      </c>
      <c r="N2432" s="372" t="s">
        <v>1033</v>
      </c>
      <c r="O2432" s="703">
        <v>6.8668703113429279</v>
      </c>
      <c r="P2432" s="562" t="s">
        <v>623</v>
      </c>
      <c r="Q2432" s="372" t="s">
        <v>623</v>
      </c>
      <c r="R2432" s="695">
        <v>20220922</v>
      </c>
      <c r="S2432" s="372" t="e">
        <v>#N/A</v>
      </c>
      <c r="T2432" s="696">
        <v>9.9000000000000005E-2</v>
      </c>
      <c r="U2432" s="372">
        <v>0</v>
      </c>
      <c r="V2432" s="722">
        <v>0</v>
      </c>
      <c r="W2432" s="722">
        <v>1.45</v>
      </c>
      <c r="X2432" s="722">
        <v>0</v>
      </c>
      <c r="Y2432" s="722">
        <v>0</v>
      </c>
      <c r="Z2432" s="382" t="s">
        <v>774</v>
      </c>
      <c r="AA2432" s="372">
        <v>0</v>
      </c>
      <c r="AB2432" s="372">
        <v>0</v>
      </c>
      <c r="AC2432" s="372">
        <v>0</v>
      </c>
      <c r="AD2432" s="372">
        <v>0</v>
      </c>
      <c r="AE2432" s="372">
        <v>0</v>
      </c>
      <c r="AF2432" s="372">
        <v>0</v>
      </c>
      <c r="AG2432" s="372">
        <v>0</v>
      </c>
      <c r="AH2432" s="372">
        <v>0</v>
      </c>
    </row>
    <row r="2433" spans="1:34">
      <c r="A2433" s="372" t="s">
        <v>15588</v>
      </c>
      <c r="B2433" s="372" t="s">
        <v>15589</v>
      </c>
      <c r="C2433" s="372" t="s">
        <v>15590</v>
      </c>
      <c r="D2433" s="374">
        <v>1501110031257</v>
      </c>
      <c r="E2433" s="372" t="s">
        <v>15591</v>
      </c>
      <c r="F2433" s="372" t="s">
        <v>1673</v>
      </c>
      <c r="G2433" s="375" t="s">
        <v>1673</v>
      </c>
      <c r="H2433" s="375" t="s">
        <v>1388</v>
      </c>
      <c r="I2433" s="375" t="s">
        <v>869</v>
      </c>
      <c r="J2433" s="375">
        <v>8926.7075000000004</v>
      </c>
      <c r="K2433" s="375">
        <v>-348.85599999999999</v>
      </c>
      <c r="L2433" s="375">
        <v>-136.82884000000001</v>
      </c>
      <c r="M2433" s="375">
        <v>15273.91683</v>
      </c>
      <c r="N2433" s="372">
        <v>0.98199999999999998</v>
      </c>
      <c r="O2433" s="703">
        <v>0.13397630443292996</v>
      </c>
      <c r="P2433" s="562" t="s">
        <v>623</v>
      </c>
      <c r="Q2433" s="372" t="s">
        <v>623</v>
      </c>
      <c r="R2433" s="695">
        <v>20080502</v>
      </c>
      <c r="S2433" s="372" t="s">
        <v>15592</v>
      </c>
      <c r="T2433" s="696" t="s">
        <v>772</v>
      </c>
      <c r="U2433" s="372" t="s">
        <v>15593</v>
      </c>
      <c r="V2433" s="722">
        <v>0</v>
      </c>
      <c r="W2433" s="722">
        <v>1.31</v>
      </c>
      <c r="X2433" s="722">
        <v>0</v>
      </c>
      <c r="Y2433" s="722">
        <v>0</v>
      </c>
      <c r="Z2433" s="382" t="s">
        <v>934</v>
      </c>
      <c r="AA2433" s="372">
        <v>120.8653812</v>
      </c>
      <c r="AB2433" s="372">
        <v>123.8495909</v>
      </c>
      <c r="AC2433" s="372">
        <v>117.3031172</v>
      </c>
      <c r="AD2433" s="372">
        <v>89.267075000000006</v>
      </c>
      <c r="AE2433" s="372">
        <v>0</v>
      </c>
      <c r="AF2433" s="372">
        <v>0</v>
      </c>
      <c r="AG2433" s="372">
        <v>0</v>
      </c>
      <c r="AH2433" s="372">
        <v>0</v>
      </c>
    </row>
    <row r="2434" spans="1:34">
      <c r="A2434" s="372" t="s">
        <v>15594</v>
      </c>
      <c r="B2434" s="372" t="s">
        <v>15595</v>
      </c>
      <c r="C2434" s="372" t="s">
        <v>15596</v>
      </c>
      <c r="D2434" s="374">
        <v>1201110041327</v>
      </c>
      <c r="E2434" s="372" t="s">
        <v>15597</v>
      </c>
      <c r="F2434" s="372" t="s">
        <v>5935</v>
      </c>
      <c r="G2434" s="375" t="s">
        <v>5935</v>
      </c>
      <c r="H2434" s="375" t="s">
        <v>1388</v>
      </c>
      <c r="I2434" s="375" t="s">
        <v>869</v>
      </c>
      <c r="J2434" s="375">
        <v>63616.324289999997</v>
      </c>
      <c r="K2434" s="375">
        <v>-9535.741</v>
      </c>
      <c r="L2434" s="375">
        <v>-15245.97279</v>
      </c>
      <c r="M2434" s="375">
        <v>48590.458879999998</v>
      </c>
      <c r="N2434" s="372">
        <v>0.81399999999999995</v>
      </c>
      <c r="O2434" s="703">
        <v>366.99556417691849</v>
      </c>
      <c r="P2434" s="562" t="s">
        <v>623</v>
      </c>
      <c r="Q2434" s="372" t="s">
        <v>623</v>
      </c>
      <c r="R2434" s="695">
        <v>20020712</v>
      </c>
      <c r="S2434" s="372" t="s">
        <v>15598</v>
      </c>
      <c r="T2434" s="696" t="s">
        <v>772</v>
      </c>
      <c r="U2434" s="372" t="s">
        <v>15599</v>
      </c>
      <c r="V2434" s="722" t="s">
        <v>774</v>
      </c>
      <c r="W2434" s="722">
        <v>0.37</v>
      </c>
      <c r="X2434" s="722">
        <v>0.34</v>
      </c>
      <c r="Y2434" s="722" t="s">
        <v>774</v>
      </c>
      <c r="Z2434" s="382" t="s">
        <v>934</v>
      </c>
      <c r="AA2434" s="372">
        <v>783.06082049999998</v>
      </c>
      <c r="AB2434" s="372">
        <v>936.81678890000001</v>
      </c>
      <c r="AC2434" s="372">
        <v>731.21511669999995</v>
      </c>
      <c r="AD2434" s="372">
        <v>636.1632429</v>
      </c>
      <c r="AE2434" s="372">
        <v>0</v>
      </c>
      <c r="AF2434" s="372">
        <v>0</v>
      </c>
      <c r="AG2434" s="372">
        <v>0</v>
      </c>
      <c r="AH2434" s="372">
        <v>0</v>
      </c>
    </row>
    <row r="2435" spans="1:34">
      <c r="A2435" s="372" t="s">
        <v>15600</v>
      </c>
      <c r="B2435" s="372" t="s">
        <v>15601</v>
      </c>
      <c r="C2435" s="372" t="s">
        <v>15602</v>
      </c>
      <c r="D2435" s="374">
        <v>1101118468989</v>
      </c>
      <c r="E2435" s="372" t="s">
        <v>15603</v>
      </c>
      <c r="F2435" s="372" t="s">
        <v>1151</v>
      </c>
      <c r="G2435" s="375" t="s">
        <v>1152</v>
      </c>
      <c r="H2435" s="375" t="s">
        <v>902</v>
      </c>
      <c r="I2435" s="375" t="s">
        <v>869</v>
      </c>
      <c r="J2435" s="375">
        <v>0</v>
      </c>
      <c r="K2435" s="375">
        <v>-36.691229999999997</v>
      </c>
      <c r="L2435" s="375">
        <v>496.75101999999998</v>
      </c>
      <c r="M2435" s="375">
        <v>18701.520550000001</v>
      </c>
      <c r="N2435" s="372" t="s">
        <v>1033</v>
      </c>
      <c r="O2435" s="703">
        <v>7.012921396030225</v>
      </c>
      <c r="P2435" s="562" t="s">
        <v>623</v>
      </c>
      <c r="Q2435" s="372" t="s">
        <v>623</v>
      </c>
      <c r="R2435" s="695">
        <v>20230228</v>
      </c>
      <c r="S2435" s="372" t="s">
        <v>11584</v>
      </c>
      <c r="T2435" s="696">
        <v>0.20900000000000002</v>
      </c>
      <c r="U2435" s="372">
        <v>0</v>
      </c>
      <c r="V2435" s="722">
        <v>0</v>
      </c>
      <c r="W2435" s="722">
        <v>1.03</v>
      </c>
      <c r="X2435" s="722">
        <v>0</v>
      </c>
      <c r="Y2435" s="722">
        <v>0</v>
      </c>
      <c r="Z2435" s="382" t="s">
        <v>774</v>
      </c>
      <c r="AA2435" s="372">
        <v>0</v>
      </c>
      <c r="AB2435" s="372">
        <v>0</v>
      </c>
      <c r="AC2435" s="372">
        <v>0</v>
      </c>
      <c r="AD2435" s="372">
        <v>0</v>
      </c>
      <c r="AE2435" s="372">
        <v>0</v>
      </c>
      <c r="AF2435" s="372">
        <v>0</v>
      </c>
      <c r="AG2435" s="372">
        <v>0</v>
      </c>
      <c r="AH2435" s="372">
        <v>0</v>
      </c>
    </row>
    <row r="2436" spans="1:34">
      <c r="A2436" s="372" t="s">
        <v>15604</v>
      </c>
      <c r="B2436" s="372" t="s">
        <v>15605</v>
      </c>
      <c r="C2436" s="372" t="s">
        <v>15606</v>
      </c>
      <c r="D2436" s="374">
        <v>1101110766703</v>
      </c>
      <c r="E2436" s="372" t="s">
        <v>15607</v>
      </c>
      <c r="F2436" s="372" t="s">
        <v>5824</v>
      </c>
      <c r="G2436" s="375" t="s">
        <v>5824</v>
      </c>
      <c r="H2436" s="375" t="s">
        <v>823</v>
      </c>
      <c r="I2436" s="375" t="s">
        <v>4455</v>
      </c>
      <c r="J2436" s="375">
        <v>0</v>
      </c>
      <c r="K2436" s="375">
        <v>0</v>
      </c>
      <c r="L2436" s="375">
        <v>0</v>
      </c>
      <c r="M2436" s="375">
        <v>0</v>
      </c>
      <c r="N2436" s="372" t="s">
        <v>1033</v>
      </c>
      <c r="O2436" s="703">
        <v>0</v>
      </c>
      <c r="P2436" s="562" t="s">
        <v>623</v>
      </c>
      <c r="Q2436" s="372" t="s">
        <v>16145</v>
      </c>
      <c r="R2436" s="695">
        <v>20001221</v>
      </c>
      <c r="S2436" s="372" t="e">
        <v>#N/A</v>
      </c>
      <c r="T2436" s="696" t="s">
        <v>772</v>
      </c>
      <c r="U2436" s="372" t="s">
        <v>15608</v>
      </c>
      <c r="V2436" s="722">
        <v>0</v>
      </c>
      <c r="W2436" s="722">
        <v>0</v>
      </c>
      <c r="X2436" s="722">
        <v>0</v>
      </c>
      <c r="Y2436" s="722">
        <v>0</v>
      </c>
      <c r="Z2436" s="382" t="s">
        <v>774</v>
      </c>
      <c r="AA2436" s="372">
        <v>98.5785178</v>
      </c>
      <c r="AB2436" s="372">
        <v>247.9788461</v>
      </c>
      <c r="AC2436" s="372">
        <v>319.12090430000001</v>
      </c>
      <c r="AD2436" s="372">
        <v>0</v>
      </c>
      <c r="AE2436" s="372">
        <v>0</v>
      </c>
      <c r="AF2436" s="372">
        <v>0</v>
      </c>
      <c r="AG2436" s="372">
        <v>0</v>
      </c>
      <c r="AH2436" s="372">
        <v>0</v>
      </c>
    </row>
    <row r="2437" spans="1:34">
      <c r="A2437" s="372" t="s">
        <v>15609</v>
      </c>
      <c r="B2437" s="372" t="s">
        <v>15610</v>
      </c>
      <c r="C2437" s="372" t="s">
        <v>15611</v>
      </c>
      <c r="D2437" s="374">
        <v>1101118611934</v>
      </c>
      <c r="E2437" s="372" t="s">
        <v>15612</v>
      </c>
      <c r="F2437" s="372" t="s">
        <v>1151</v>
      </c>
      <c r="G2437" s="375" t="s">
        <v>1152</v>
      </c>
      <c r="H2437" s="375" t="s">
        <v>902</v>
      </c>
      <c r="I2437" s="375" t="s">
        <v>869</v>
      </c>
      <c r="J2437" s="375">
        <v>0</v>
      </c>
      <c r="K2437" s="375">
        <v>0</v>
      </c>
      <c r="L2437" s="375">
        <v>0</v>
      </c>
      <c r="M2437" s="375">
        <v>14011.14336</v>
      </c>
      <c r="N2437" s="372" t="s">
        <v>1033</v>
      </c>
      <c r="O2437" s="703">
        <v>5.1474388320923961</v>
      </c>
      <c r="P2437" s="562" t="s">
        <v>16142</v>
      </c>
      <c r="Q2437" s="372" t="s">
        <v>623</v>
      </c>
      <c r="R2437" s="695">
        <v>20230904</v>
      </c>
      <c r="S2437" s="372" t="s">
        <v>15613</v>
      </c>
      <c r="T2437" s="696" t="s">
        <v>772</v>
      </c>
      <c r="U2437" s="372">
        <v>0</v>
      </c>
      <c r="V2437" s="722">
        <v>0</v>
      </c>
      <c r="W2437" s="722">
        <v>1.22</v>
      </c>
      <c r="X2437" s="722">
        <v>0</v>
      </c>
      <c r="Y2437" s="722">
        <v>0</v>
      </c>
      <c r="Z2437" s="382" t="s">
        <v>774</v>
      </c>
      <c r="AA2437" s="372">
        <v>0</v>
      </c>
      <c r="AB2437" s="372">
        <v>0</v>
      </c>
      <c r="AC2437" s="372">
        <v>0</v>
      </c>
      <c r="AD2437" s="372">
        <v>0</v>
      </c>
      <c r="AE2437" s="372">
        <v>0</v>
      </c>
      <c r="AF2437" s="372">
        <v>0</v>
      </c>
      <c r="AG2437" s="372">
        <v>0</v>
      </c>
      <c r="AH2437" s="372">
        <v>0</v>
      </c>
    </row>
    <row r="2438" spans="1:34">
      <c r="A2438" s="372" t="s">
        <v>15614</v>
      </c>
      <c r="B2438" s="372" t="s">
        <v>15615</v>
      </c>
      <c r="C2438" s="372" t="s">
        <v>15616</v>
      </c>
      <c r="D2438" s="374">
        <v>1101115680643</v>
      </c>
      <c r="E2438" s="372" t="s">
        <v>15617</v>
      </c>
      <c r="F2438" s="372" t="s">
        <v>15618</v>
      </c>
      <c r="G2438" s="375" t="s">
        <v>15618</v>
      </c>
      <c r="H2438" s="375">
        <v>0</v>
      </c>
      <c r="I2438" s="375" t="s">
        <v>869</v>
      </c>
      <c r="J2438" s="375">
        <v>52334.472739999997</v>
      </c>
      <c r="K2438" s="375">
        <v>-5982.05818</v>
      </c>
      <c r="L2438" s="375">
        <v>-18223.16173</v>
      </c>
      <c r="M2438" s="375">
        <v>772.01661000000001</v>
      </c>
      <c r="N2438" s="372">
        <v>0.45800000000000002</v>
      </c>
      <c r="O2438" s="703">
        <v>167.40934152819227</v>
      </c>
      <c r="P2438" s="562" t="s">
        <v>16142</v>
      </c>
      <c r="Q2438" s="372" t="s">
        <v>16145</v>
      </c>
      <c r="R2438" s="695">
        <v>20150610</v>
      </c>
      <c r="S2438" s="372" t="s">
        <v>15619</v>
      </c>
      <c r="T2438" s="696" t="s">
        <v>772</v>
      </c>
      <c r="U2438" s="372" t="s">
        <v>15620</v>
      </c>
      <c r="V2438" s="722">
        <v>0</v>
      </c>
      <c r="W2438" s="722">
        <v>11.78</v>
      </c>
      <c r="X2438" s="722">
        <v>0</v>
      </c>
      <c r="Y2438" s="722">
        <v>0</v>
      </c>
      <c r="Z2438" s="382" t="s">
        <v>934</v>
      </c>
      <c r="AA2438" s="372">
        <v>809.28722909999999</v>
      </c>
      <c r="AB2438" s="372">
        <v>666.25427149999996</v>
      </c>
      <c r="AC2438" s="372">
        <v>608.63892669999996</v>
      </c>
      <c r="AD2438" s="372">
        <v>523.34472740000001</v>
      </c>
      <c r="AE2438" s="372">
        <v>0</v>
      </c>
      <c r="AF2438" s="372">
        <v>0</v>
      </c>
      <c r="AG2438" s="372">
        <v>0</v>
      </c>
      <c r="AH2438" s="372">
        <v>0</v>
      </c>
    </row>
    <row r="2439" spans="1:34">
      <c r="A2439" s="372" t="s">
        <v>15621</v>
      </c>
      <c r="B2439" s="372" t="s">
        <v>15622</v>
      </c>
      <c r="C2439" s="372" t="s">
        <v>15623</v>
      </c>
      <c r="D2439" s="374">
        <v>1101118277942</v>
      </c>
      <c r="E2439" s="372" t="s">
        <v>15624</v>
      </c>
      <c r="F2439" s="372" t="s">
        <v>1151</v>
      </c>
      <c r="G2439" s="375" t="s">
        <v>1152</v>
      </c>
      <c r="H2439" s="375" t="s">
        <v>902</v>
      </c>
      <c r="I2439" s="375" t="s">
        <v>869</v>
      </c>
      <c r="J2439" s="375">
        <v>0</v>
      </c>
      <c r="K2439" s="375">
        <v>-43.867989999999999</v>
      </c>
      <c r="L2439" s="375">
        <v>469.14082000000002</v>
      </c>
      <c r="M2439" s="375">
        <v>15453.42136</v>
      </c>
      <c r="N2439" s="372" t="s">
        <v>1033</v>
      </c>
      <c r="O2439" s="703">
        <v>10.61220978493804</v>
      </c>
      <c r="P2439" s="562" t="s">
        <v>16142</v>
      </c>
      <c r="Q2439" s="372" t="s">
        <v>623</v>
      </c>
      <c r="R2439" s="695">
        <v>20220929</v>
      </c>
      <c r="S2439" s="372" t="s">
        <v>9098</v>
      </c>
      <c r="T2439" s="696">
        <v>0.20900000000000002</v>
      </c>
      <c r="U2439" s="372">
        <v>0</v>
      </c>
      <c r="V2439" s="722">
        <v>0</v>
      </c>
      <c r="W2439" s="722">
        <v>1.1299999999999999</v>
      </c>
      <c r="X2439" s="722">
        <v>0</v>
      </c>
      <c r="Y2439" s="722">
        <v>0</v>
      </c>
      <c r="Z2439" s="382" t="s">
        <v>774</v>
      </c>
      <c r="AA2439" s="372">
        <v>0</v>
      </c>
      <c r="AB2439" s="372">
        <v>0</v>
      </c>
      <c r="AC2439" s="372">
        <v>0</v>
      </c>
      <c r="AD2439" s="372">
        <v>0</v>
      </c>
      <c r="AE2439" s="372">
        <v>0</v>
      </c>
      <c r="AF2439" s="372">
        <v>0</v>
      </c>
      <c r="AG2439" s="372">
        <v>0</v>
      </c>
      <c r="AH2439" s="372">
        <v>0</v>
      </c>
    </row>
    <row r="2440" spans="1:34">
      <c r="A2440" s="372" t="s">
        <v>15625</v>
      </c>
      <c r="B2440" s="372" t="s">
        <v>15626</v>
      </c>
      <c r="C2440" s="372" t="s">
        <v>15627</v>
      </c>
      <c r="D2440" s="374">
        <v>1101118734116</v>
      </c>
      <c r="E2440" s="372" t="s">
        <v>15628</v>
      </c>
      <c r="F2440" s="372" t="s">
        <v>1151</v>
      </c>
      <c r="G2440" s="375" t="s">
        <v>1152</v>
      </c>
      <c r="H2440" s="375" t="s">
        <v>902</v>
      </c>
      <c r="I2440" s="375" t="s">
        <v>869</v>
      </c>
      <c r="J2440" s="375">
        <v>0</v>
      </c>
      <c r="K2440" s="375">
        <v>0</v>
      </c>
      <c r="L2440" s="375">
        <v>0</v>
      </c>
      <c r="M2440" s="375">
        <v>17401.38049</v>
      </c>
      <c r="N2440" s="372" t="s">
        <v>1033</v>
      </c>
      <c r="O2440" s="703">
        <v>12.688275674942343</v>
      </c>
      <c r="P2440" s="562" t="s">
        <v>623</v>
      </c>
      <c r="Q2440" s="372" t="s">
        <v>623</v>
      </c>
      <c r="R2440" s="695">
        <v>20231201</v>
      </c>
      <c r="S2440" s="372" t="s">
        <v>15629</v>
      </c>
      <c r="T2440" s="696" t="s">
        <v>772</v>
      </c>
      <c r="U2440" s="372">
        <v>0</v>
      </c>
      <c r="V2440" s="722">
        <v>0</v>
      </c>
      <c r="W2440" s="722">
        <v>1</v>
      </c>
      <c r="X2440" s="722">
        <v>0</v>
      </c>
      <c r="Y2440" s="722">
        <v>0</v>
      </c>
      <c r="Z2440" s="382" t="s">
        <v>774</v>
      </c>
      <c r="AA2440" s="372">
        <v>0</v>
      </c>
      <c r="AB2440" s="372">
        <v>0</v>
      </c>
      <c r="AC2440" s="372">
        <v>0</v>
      </c>
      <c r="AD2440" s="372">
        <v>0</v>
      </c>
      <c r="AE2440" s="372">
        <v>0</v>
      </c>
      <c r="AF2440" s="372">
        <v>0</v>
      </c>
      <c r="AG2440" s="372">
        <v>0</v>
      </c>
      <c r="AH2440" s="372">
        <v>0</v>
      </c>
    </row>
    <row r="2441" spans="1:34">
      <c r="A2441" s="372" t="s">
        <v>15630</v>
      </c>
      <c r="B2441" s="372" t="s">
        <v>15631</v>
      </c>
      <c r="C2441" s="372" t="s">
        <v>15632</v>
      </c>
      <c r="D2441" s="374">
        <v>1101118367313</v>
      </c>
      <c r="E2441" s="372" t="s">
        <v>15633</v>
      </c>
      <c r="F2441" s="372" t="s">
        <v>1151</v>
      </c>
      <c r="G2441" s="375" t="s">
        <v>1152</v>
      </c>
      <c r="H2441" s="375" t="s">
        <v>902</v>
      </c>
      <c r="I2441" s="375" t="s">
        <v>869</v>
      </c>
      <c r="J2441" s="375">
        <v>0</v>
      </c>
      <c r="K2441" s="375">
        <v>-65.383979999999994</v>
      </c>
      <c r="L2441" s="375">
        <v>684.60125000000005</v>
      </c>
      <c r="M2441" s="375">
        <v>16935.79363</v>
      </c>
      <c r="N2441" s="372" t="s">
        <v>1033</v>
      </c>
      <c r="O2441" s="703">
        <v>7.8293423364075538</v>
      </c>
      <c r="P2441" s="562" t="s">
        <v>623</v>
      </c>
      <c r="Q2441" s="372" t="s">
        <v>623</v>
      </c>
      <c r="R2441" s="695">
        <v>20221201</v>
      </c>
      <c r="S2441" s="372" t="s">
        <v>1151</v>
      </c>
      <c r="T2441" s="696">
        <v>0.20900000000000002</v>
      </c>
      <c r="U2441" s="372">
        <v>0</v>
      </c>
      <c r="V2441" s="722">
        <v>0</v>
      </c>
      <c r="W2441" s="722">
        <v>1.04</v>
      </c>
      <c r="X2441" s="722">
        <v>0</v>
      </c>
      <c r="Y2441" s="722">
        <v>0</v>
      </c>
      <c r="Z2441" s="382" t="s">
        <v>774</v>
      </c>
      <c r="AA2441" s="372">
        <v>0</v>
      </c>
      <c r="AB2441" s="372">
        <v>0</v>
      </c>
      <c r="AC2441" s="372">
        <v>0</v>
      </c>
      <c r="AD2441" s="372">
        <v>0</v>
      </c>
      <c r="AE2441" s="372">
        <v>0</v>
      </c>
      <c r="AF2441" s="372">
        <v>0</v>
      </c>
      <c r="AG2441" s="372">
        <v>0</v>
      </c>
      <c r="AH2441" s="372">
        <v>0</v>
      </c>
    </row>
    <row r="2442" spans="1:34">
      <c r="A2442" s="372" t="s">
        <v>15634</v>
      </c>
      <c r="B2442" s="372" t="s">
        <v>15635</v>
      </c>
      <c r="C2442" s="372" t="s">
        <v>15636</v>
      </c>
      <c r="D2442" s="374">
        <v>1101118173760</v>
      </c>
      <c r="E2442" s="372" t="s">
        <v>15637</v>
      </c>
      <c r="F2442" s="372" t="s">
        <v>1151</v>
      </c>
      <c r="G2442" s="375" t="s">
        <v>1152</v>
      </c>
      <c r="H2442" s="375" t="s">
        <v>902</v>
      </c>
      <c r="I2442" s="375" t="s">
        <v>4455</v>
      </c>
      <c r="J2442" s="375">
        <v>0</v>
      </c>
      <c r="K2442" s="375">
        <v>-58.953330000000001</v>
      </c>
      <c r="L2442" s="375">
        <v>188.04696000000001</v>
      </c>
      <c r="M2442" s="375">
        <v>8727.4440500000001</v>
      </c>
      <c r="N2442" s="372">
        <v>-4.0000000000000001E-3</v>
      </c>
      <c r="O2442" s="703" t="e">
        <v>#DIV/0!</v>
      </c>
      <c r="P2442" s="562" t="s">
        <v>623</v>
      </c>
      <c r="Q2442" s="372" t="s">
        <v>623</v>
      </c>
      <c r="R2442" s="695">
        <v>20220428</v>
      </c>
      <c r="S2442" s="372" t="e">
        <v>#N/A</v>
      </c>
      <c r="T2442" s="696">
        <v>9.9000000000000005E-2</v>
      </c>
      <c r="U2442" s="372" t="s">
        <v>15638</v>
      </c>
      <c r="V2442" s="722">
        <v>0</v>
      </c>
      <c r="W2442" s="722">
        <v>1.2</v>
      </c>
      <c r="X2442" s="722">
        <v>0</v>
      </c>
      <c r="Y2442" s="722">
        <v>0</v>
      </c>
      <c r="Z2442" s="382" t="s">
        <v>774</v>
      </c>
      <c r="AA2442" s="372">
        <v>0</v>
      </c>
      <c r="AB2442" s="372">
        <v>0</v>
      </c>
      <c r="AC2442" s="372">
        <v>0</v>
      </c>
      <c r="AD2442" s="372">
        <v>0</v>
      </c>
      <c r="AE2442" s="372">
        <v>0</v>
      </c>
      <c r="AF2442" s="372">
        <v>0</v>
      </c>
      <c r="AG2442" s="372">
        <v>0</v>
      </c>
      <c r="AH2442" s="372">
        <v>0</v>
      </c>
    </row>
    <row r="2443" spans="1:34">
      <c r="A2443" s="372" t="s">
        <v>15639</v>
      </c>
      <c r="B2443" s="372" t="s">
        <v>15640</v>
      </c>
      <c r="C2443" s="372" t="s">
        <v>15641</v>
      </c>
      <c r="D2443" s="374">
        <v>1201110012914</v>
      </c>
      <c r="E2443" s="372" t="s">
        <v>15642</v>
      </c>
      <c r="F2443" s="372" t="s">
        <v>2282</v>
      </c>
      <c r="G2443" s="375" t="s">
        <v>2282</v>
      </c>
      <c r="H2443" s="375" t="s">
        <v>4894</v>
      </c>
      <c r="I2443" s="375" t="s">
        <v>869</v>
      </c>
      <c r="J2443" s="375">
        <v>179411.22727</v>
      </c>
      <c r="K2443" s="375">
        <v>4402.1399199999996</v>
      </c>
      <c r="L2443" s="375">
        <v>-2194.24037</v>
      </c>
      <c r="M2443" s="375">
        <v>32557.29306</v>
      </c>
      <c r="N2443" s="372">
        <v>0.83899999999999997</v>
      </c>
      <c r="O2443" s="703">
        <v>1027.0091507257682</v>
      </c>
      <c r="P2443" s="562" t="s">
        <v>623</v>
      </c>
      <c r="Q2443" s="372" t="s">
        <v>623</v>
      </c>
      <c r="R2443" s="695">
        <v>20001114</v>
      </c>
      <c r="S2443" s="372" t="s">
        <v>15643</v>
      </c>
      <c r="T2443" s="696" t="s">
        <v>772</v>
      </c>
      <c r="U2443" s="372" t="s">
        <v>15644</v>
      </c>
      <c r="V2443" s="722">
        <v>27.07</v>
      </c>
      <c r="W2443" s="722">
        <v>0.57999999999999996</v>
      </c>
      <c r="X2443" s="722">
        <v>0.1</v>
      </c>
      <c r="Y2443" s="722" t="s">
        <v>774</v>
      </c>
      <c r="Z2443" s="382" t="s">
        <v>934</v>
      </c>
      <c r="AA2443" s="372">
        <v>214.3092048</v>
      </c>
      <c r="AB2443" s="372">
        <v>199.27877849999999</v>
      </c>
      <c r="AC2443" s="372">
        <v>971.40112829999998</v>
      </c>
      <c r="AD2443" s="372">
        <v>1794.1122726999999</v>
      </c>
      <c r="AE2443" s="372">
        <v>0</v>
      </c>
      <c r="AF2443" s="372">
        <v>0</v>
      </c>
      <c r="AG2443" s="372">
        <v>0</v>
      </c>
      <c r="AH2443" s="372">
        <v>0</v>
      </c>
    </row>
    <row r="2444" spans="1:34">
      <c r="A2444" s="372" t="s">
        <v>15645</v>
      </c>
      <c r="B2444" s="372" t="s">
        <v>15646</v>
      </c>
      <c r="C2444" s="372" t="s">
        <v>15647</v>
      </c>
      <c r="D2444" s="374">
        <v>1101117980158</v>
      </c>
      <c r="E2444" s="372" t="s">
        <v>15648</v>
      </c>
      <c r="F2444" s="372" t="s">
        <v>1151</v>
      </c>
      <c r="G2444" s="375" t="s">
        <v>1152</v>
      </c>
      <c r="H2444" s="375" t="s">
        <v>902</v>
      </c>
      <c r="I2444" s="375" t="s">
        <v>4455</v>
      </c>
      <c r="J2444" s="375">
        <v>0</v>
      </c>
      <c r="K2444" s="375">
        <v>-103.47275999999999</v>
      </c>
      <c r="L2444" s="375">
        <v>216.14510000000001</v>
      </c>
      <c r="M2444" s="375">
        <v>8885.8951699999998</v>
      </c>
      <c r="N2444" s="372">
        <v>0.16400000000000001</v>
      </c>
      <c r="O2444" s="703" t="e">
        <v>#DIV/0!</v>
      </c>
      <c r="P2444" s="562" t="s">
        <v>623</v>
      </c>
      <c r="Q2444" s="372" t="s">
        <v>623</v>
      </c>
      <c r="R2444" s="695">
        <v>20211220</v>
      </c>
      <c r="S2444" s="372" t="e">
        <v>#N/A</v>
      </c>
      <c r="T2444" s="696">
        <v>0.20900000000000002</v>
      </c>
      <c r="U2444" s="372">
        <v>0</v>
      </c>
      <c r="V2444" s="722">
        <v>0</v>
      </c>
      <c r="W2444" s="722">
        <v>1.48</v>
      </c>
      <c r="X2444" s="722">
        <v>0</v>
      </c>
      <c r="Y2444" s="722">
        <v>0</v>
      </c>
      <c r="Z2444" s="382" t="s">
        <v>774</v>
      </c>
      <c r="AA2444" s="372">
        <v>0</v>
      </c>
      <c r="AB2444" s="372">
        <v>0</v>
      </c>
      <c r="AC2444" s="372">
        <v>0</v>
      </c>
      <c r="AD2444" s="372">
        <v>0</v>
      </c>
      <c r="AE2444" s="372">
        <v>0</v>
      </c>
      <c r="AF2444" s="372">
        <v>0</v>
      </c>
      <c r="AG2444" s="372">
        <v>0</v>
      </c>
      <c r="AH2444" s="372">
        <v>0</v>
      </c>
    </row>
    <row r="2445" spans="1:34">
      <c r="A2445" s="372" t="s">
        <v>15649</v>
      </c>
      <c r="B2445" s="372" t="s">
        <v>15650</v>
      </c>
      <c r="C2445" s="372" t="s">
        <v>15651</v>
      </c>
      <c r="D2445" s="374">
        <v>1101113562570</v>
      </c>
      <c r="E2445" s="372" t="s">
        <v>15652</v>
      </c>
      <c r="F2445" s="372" t="s">
        <v>786</v>
      </c>
      <c r="G2445" s="375" t="s">
        <v>786</v>
      </c>
      <c r="H2445" s="375" t="s">
        <v>868</v>
      </c>
      <c r="I2445" s="375" t="s">
        <v>869</v>
      </c>
      <c r="J2445" s="375">
        <v>5289.6063599999998</v>
      </c>
      <c r="K2445" s="375">
        <v>-13706.54293</v>
      </c>
      <c r="L2445" s="375">
        <v>-17218.108789999998</v>
      </c>
      <c r="M2445" s="375">
        <v>2493.71821</v>
      </c>
      <c r="N2445" s="372">
        <v>0.3</v>
      </c>
      <c r="O2445" s="703">
        <v>22.79208943509914</v>
      </c>
      <c r="P2445" s="562" t="s">
        <v>623</v>
      </c>
      <c r="Q2445" s="372" t="s">
        <v>16145</v>
      </c>
      <c r="R2445" s="695">
        <v>20190920</v>
      </c>
      <c r="S2445" s="372" t="s">
        <v>15653</v>
      </c>
      <c r="T2445" s="696" t="s">
        <v>772</v>
      </c>
      <c r="U2445" s="372" t="s">
        <v>15654</v>
      </c>
      <c r="V2445" s="722" t="s">
        <v>774</v>
      </c>
      <c r="W2445" s="722">
        <v>10.43</v>
      </c>
      <c r="X2445" s="722">
        <v>4.67</v>
      </c>
      <c r="Y2445" s="722" t="s">
        <v>774</v>
      </c>
      <c r="Z2445" s="382" t="s">
        <v>934</v>
      </c>
      <c r="AA2445" s="372">
        <v>28.607191799999999</v>
      </c>
      <c r="AB2445" s="372">
        <v>8.5177662000000005</v>
      </c>
      <c r="AC2445" s="372">
        <v>22.960283499999999</v>
      </c>
      <c r="AD2445" s="372">
        <v>52.896063599999998</v>
      </c>
      <c r="AE2445" s="372">
        <v>0</v>
      </c>
      <c r="AF2445" s="372">
        <v>0</v>
      </c>
      <c r="AG2445" s="372">
        <v>0</v>
      </c>
      <c r="AH2445" s="372">
        <v>0</v>
      </c>
    </row>
    <row r="2446" spans="1:34">
      <c r="A2446" s="372" t="s">
        <v>15655</v>
      </c>
      <c r="B2446" s="372" t="s">
        <v>15656</v>
      </c>
      <c r="C2446" s="372" t="s">
        <v>15657</v>
      </c>
      <c r="D2446" s="374">
        <v>1101118051990</v>
      </c>
      <c r="E2446" s="372" t="s">
        <v>15658</v>
      </c>
      <c r="F2446" s="372" t="s">
        <v>1151</v>
      </c>
      <c r="G2446" s="375" t="s">
        <v>1152</v>
      </c>
      <c r="H2446" s="375" t="s">
        <v>902</v>
      </c>
      <c r="I2446" s="375" t="s">
        <v>869</v>
      </c>
      <c r="J2446" s="375">
        <v>0</v>
      </c>
      <c r="K2446" s="375">
        <v>-40.858750000000001</v>
      </c>
      <c r="L2446" s="375">
        <v>386.80709999999999</v>
      </c>
      <c r="M2446" s="375">
        <v>13703.56098</v>
      </c>
      <c r="N2446" s="372">
        <v>0.34100000000000003</v>
      </c>
      <c r="O2446" s="703">
        <v>8.4081641683022177</v>
      </c>
      <c r="P2446" s="562" t="s">
        <v>16142</v>
      </c>
      <c r="Q2446" s="372" t="s">
        <v>623</v>
      </c>
      <c r="R2446" s="695">
        <v>20220225</v>
      </c>
      <c r="S2446" s="372" t="s">
        <v>9098</v>
      </c>
      <c r="T2446" s="696">
        <v>0.20900000000000002</v>
      </c>
      <c r="U2446" s="372">
        <v>0</v>
      </c>
      <c r="V2446" s="722">
        <v>0</v>
      </c>
      <c r="W2446" s="722">
        <v>1.1299999999999999</v>
      </c>
      <c r="X2446" s="722">
        <v>0</v>
      </c>
      <c r="Y2446" s="722">
        <v>0</v>
      </c>
      <c r="Z2446" s="382" t="s">
        <v>774</v>
      </c>
      <c r="AA2446" s="372">
        <v>0</v>
      </c>
      <c r="AB2446" s="372">
        <v>0</v>
      </c>
      <c r="AC2446" s="372">
        <v>0</v>
      </c>
      <c r="AD2446" s="372">
        <v>0</v>
      </c>
      <c r="AE2446" s="372">
        <v>0</v>
      </c>
      <c r="AF2446" s="372">
        <v>0</v>
      </c>
      <c r="AG2446" s="372">
        <v>0</v>
      </c>
      <c r="AH2446" s="372">
        <v>0</v>
      </c>
    </row>
    <row r="2447" spans="1:34">
      <c r="A2447" s="372" t="s">
        <v>15659</v>
      </c>
      <c r="B2447" s="372" t="s">
        <v>15660</v>
      </c>
      <c r="C2447" s="372" t="s">
        <v>15661</v>
      </c>
      <c r="D2447" s="374">
        <v>1101118382428</v>
      </c>
      <c r="E2447" s="372" t="s">
        <v>15662</v>
      </c>
      <c r="F2447" s="372" t="s">
        <v>1151</v>
      </c>
      <c r="G2447" s="375" t="s">
        <v>1152</v>
      </c>
      <c r="H2447" s="375" t="s">
        <v>902</v>
      </c>
      <c r="I2447" s="375" t="s">
        <v>869</v>
      </c>
      <c r="J2447" s="375">
        <v>0</v>
      </c>
      <c r="K2447" s="375">
        <v>-66.691180000000003</v>
      </c>
      <c r="L2447" s="375">
        <v>576.37031000000002</v>
      </c>
      <c r="M2447" s="375">
        <v>14683.58351</v>
      </c>
      <c r="N2447" s="372" t="s">
        <v>1033</v>
      </c>
      <c r="O2447" s="703">
        <v>3.5225580693815992</v>
      </c>
      <c r="P2447" s="562" t="s">
        <v>623</v>
      </c>
      <c r="Q2447" s="372" t="s">
        <v>623</v>
      </c>
      <c r="R2447" s="695">
        <v>20221216</v>
      </c>
      <c r="S2447" s="372" t="s">
        <v>1151</v>
      </c>
      <c r="T2447" s="696">
        <v>0.20900000000000002</v>
      </c>
      <c r="U2447" s="372">
        <v>0</v>
      </c>
      <c r="V2447" s="722">
        <v>0</v>
      </c>
      <c r="W2447" s="722">
        <v>1.08</v>
      </c>
      <c r="X2447" s="722">
        <v>0</v>
      </c>
      <c r="Y2447" s="722">
        <v>0</v>
      </c>
      <c r="Z2447" s="382" t="s">
        <v>774</v>
      </c>
      <c r="AA2447" s="372">
        <v>0</v>
      </c>
      <c r="AB2447" s="372">
        <v>0</v>
      </c>
      <c r="AC2447" s="372">
        <v>0</v>
      </c>
      <c r="AD2447" s="372">
        <v>0</v>
      </c>
      <c r="AE2447" s="372">
        <v>0</v>
      </c>
      <c r="AF2447" s="372">
        <v>0</v>
      </c>
      <c r="AG2447" s="372">
        <v>0</v>
      </c>
      <c r="AH2447" s="372">
        <v>0</v>
      </c>
    </row>
    <row r="2448" spans="1:34">
      <c r="A2448" s="372" t="s">
        <v>15663</v>
      </c>
      <c r="B2448" s="372" t="s">
        <v>15664</v>
      </c>
      <c r="C2448" s="372" t="s">
        <v>15665</v>
      </c>
      <c r="D2448" s="374">
        <v>1101118228987</v>
      </c>
      <c r="E2448" s="372" t="s">
        <v>15666</v>
      </c>
      <c r="F2448" s="372" t="s">
        <v>1151</v>
      </c>
      <c r="G2448" s="375" t="s">
        <v>1152</v>
      </c>
      <c r="H2448" s="375" t="s">
        <v>902</v>
      </c>
      <c r="I2448" s="375" t="s">
        <v>869</v>
      </c>
      <c r="J2448" s="375">
        <v>0</v>
      </c>
      <c r="K2448" s="375">
        <v>-52.053049999999999</v>
      </c>
      <c r="L2448" s="375">
        <v>523.67300999999998</v>
      </c>
      <c r="M2448" s="375">
        <v>15877.017379999999</v>
      </c>
      <c r="N2448" s="372">
        <v>0.37</v>
      </c>
      <c r="O2448" s="703">
        <v>11.295592928626927</v>
      </c>
      <c r="P2448" s="562" t="s">
        <v>623</v>
      </c>
      <c r="Q2448" s="372" t="s">
        <v>623</v>
      </c>
      <c r="R2448" s="695">
        <v>20220623</v>
      </c>
      <c r="S2448" s="372" t="s">
        <v>12564</v>
      </c>
      <c r="T2448" s="696">
        <v>0.20900000000000002</v>
      </c>
      <c r="U2448" s="372">
        <v>0</v>
      </c>
      <c r="V2448" s="722">
        <v>0</v>
      </c>
      <c r="W2448" s="722">
        <v>0.97</v>
      </c>
      <c r="X2448" s="722">
        <v>0</v>
      </c>
      <c r="Y2448" s="722">
        <v>0</v>
      </c>
      <c r="Z2448" s="382" t="s">
        <v>774</v>
      </c>
      <c r="AA2448" s="372">
        <v>0</v>
      </c>
      <c r="AB2448" s="372">
        <v>0</v>
      </c>
      <c r="AC2448" s="372">
        <v>0</v>
      </c>
      <c r="AD2448" s="372">
        <v>0</v>
      </c>
      <c r="AE2448" s="372">
        <v>0</v>
      </c>
      <c r="AF2448" s="372">
        <v>0</v>
      </c>
      <c r="AG2448" s="372">
        <v>0</v>
      </c>
      <c r="AH2448" s="372">
        <v>0</v>
      </c>
    </row>
    <row r="2449" spans="1:34">
      <c r="A2449" s="372" t="s">
        <v>15667</v>
      </c>
      <c r="B2449" s="372" t="s">
        <v>15668</v>
      </c>
      <c r="C2449" s="372" t="s">
        <v>15669</v>
      </c>
      <c r="D2449" s="374">
        <v>1101111905706</v>
      </c>
      <c r="E2449" s="372" t="s">
        <v>15670</v>
      </c>
      <c r="F2449" s="372" t="s">
        <v>4918</v>
      </c>
      <c r="G2449" s="375" t="s">
        <v>4918</v>
      </c>
      <c r="H2449" s="375" t="s">
        <v>868</v>
      </c>
      <c r="I2449" s="375" t="s">
        <v>869</v>
      </c>
      <c r="J2449" s="375">
        <v>0</v>
      </c>
      <c r="K2449" s="375">
        <v>0</v>
      </c>
      <c r="L2449" s="375">
        <v>0</v>
      </c>
      <c r="M2449" s="375">
        <v>0</v>
      </c>
      <c r="N2449" s="372">
        <v>0.57599999999999996</v>
      </c>
      <c r="O2449" s="703">
        <v>0</v>
      </c>
      <c r="P2449" s="562" t="s">
        <v>16142</v>
      </c>
      <c r="Q2449" s="372" t="s">
        <v>16145</v>
      </c>
      <c r="R2449" s="695">
        <v>20120713</v>
      </c>
      <c r="S2449" s="372" t="s">
        <v>15671</v>
      </c>
      <c r="T2449" s="696" t="s">
        <v>772</v>
      </c>
      <c r="U2449" s="372" t="s">
        <v>16136</v>
      </c>
      <c r="V2449" s="722">
        <v>0</v>
      </c>
      <c r="W2449" s="722">
        <v>0</v>
      </c>
      <c r="X2449" s="722">
        <v>0</v>
      </c>
      <c r="Y2449" s="722">
        <v>0</v>
      </c>
      <c r="Z2449" s="382" t="s">
        <v>774</v>
      </c>
      <c r="AA2449" s="372">
        <v>330.84084990000002</v>
      </c>
      <c r="AB2449" s="372">
        <v>205.73550750000001</v>
      </c>
      <c r="AC2449" s="372">
        <v>149.5005591</v>
      </c>
      <c r="AD2449" s="372">
        <v>0</v>
      </c>
      <c r="AE2449" s="372">
        <v>0</v>
      </c>
      <c r="AF2449" s="372">
        <v>0</v>
      </c>
      <c r="AG2449" s="372">
        <v>0</v>
      </c>
      <c r="AH2449" s="372">
        <v>0</v>
      </c>
    </row>
    <row r="2450" spans="1:34">
      <c r="A2450" s="372" t="s">
        <v>15672</v>
      </c>
      <c r="B2450" s="372" t="s">
        <v>15673</v>
      </c>
      <c r="C2450" s="372" t="s">
        <v>15674</v>
      </c>
      <c r="D2450" s="374">
        <v>1101118282032</v>
      </c>
      <c r="E2450" s="372" t="s">
        <v>15675</v>
      </c>
      <c r="F2450" s="372" t="s">
        <v>1151</v>
      </c>
      <c r="G2450" s="375" t="s">
        <v>1152</v>
      </c>
      <c r="H2450" s="375" t="s">
        <v>902</v>
      </c>
      <c r="I2450" s="375" t="s">
        <v>869</v>
      </c>
      <c r="J2450" s="375">
        <v>0</v>
      </c>
      <c r="K2450" s="375">
        <v>-51.117780000000003</v>
      </c>
      <c r="L2450" s="375">
        <v>295.24113999999997</v>
      </c>
      <c r="M2450" s="375">
        <v>13402.571190000001</v>
      </c>
      <c r="N2450" s="372" t="s">
        <v>1033</v>
      </c>
      <c r="O2450" s="703">
        <v>10.304202074570471</v>
      </c>
      <c r="P2450" s="562" t="s">
        <v>623</v>
      </c>
      <c r="Q2450" s="372" t="s">
        <v>623</v>
      </c>
      <c r="R2450" s="695">
        <v>20220826</v>
      </c>
      <c r="S2450" s="372" t="s">
        <v>13509</v>
      </c>
      <c r="T2450" s="696">
        <v>0.20900000000000002</v>
      </c>
      <c r="U2450" s="372">
        <v>0</v>
      </c>
      <c r="V2450" s="722">
        <v>0</v>
      </c>
      <c r="W2450" s="722">
        <v>1.07</v>
      </c>
      <c r="X2450" s="722">
        <v>0</v>
      </c>
      <c r="Y2450" s="722">
        <v>0</v>
      </c>
      <c r="Z2450" s="382" t="s">
        <v>774</v>
      </c>
      <c r="AA2450" s="372">
        <v>0</v>
      </c>
      <c r="AB2450" s="372">
        <v>0</v>
      </c>
      <c r="AC2450" s="372">
        <v>0</v>
      </c>
      <c r="AD2450" s="372">
        <v>0</v>
      </c>
      <c r="AE2450" s="372">
        <v>0</v>
      </c>
      <c r="AF2450" s="372">
        <v>0</v>
      </c>
      <c r="AG2450" s="372">
        <v>0</v>
      </c>
      <c r="AH2450" s="372">
        <v>0</v>
      </c>
    </row>
    <row r="2451" spans="1:34">
      <c r="A2451" s="372" t="s">
        <v>15676</v>
      </c>
      <c r="B2451" s="372" t="s">
        <v>15677</v>
      </c>
      <c r="C2451" s="372" t="s">
        <v>15678</v>
      </c>
      <c r="D2451" s="374">
        <v>1101110881642</v>
      </c>
      <c r="E2451" s="372" t="s">
        <v>15679</v>
      </c>
      <c r="F2451" s="372" t="s">
        <v>4998</v>
      </c>
      <c r="G2451" s="375" t="s">
        <v>4998</v>
      </c>
      <c r="H2451" s="375" t="s">
        <v>975</v>
      </c>
      <c r="I2451" s="375" t="s">
        <v>755</v>
      </c>
      <c r="J2451" s="375">
        <v>73746.191890000002</v>
      </c>
      <c r="K2451" s="375">
        <v>-3034.1900500000002</v>
      </c>
      <c r="L2451" s="375">
        <v>-5827.8689599999998</v>
      </c>
      <c r="M2451" s="375">
        <v>10847.539210000001</v>
      </c>
      <c r="N2451" s="372">
        <v>1.234</v>
      </c>
      <c r="O2451" s="703">
        <v>219.87013670806874</v>
      </c>
      <c r="P2451" s="562" t="s">
        <v>623</v>
      </c>
      <c r="Q2451" s="372" t="s">
        <v>623</v>
      </c>
      <c r="R2451" s="695">
        <v>20050804</v>
      </c>
      <c r="S2451" s="372" t="s">
        <v>15680</v>
      </c>
      <c r="T2451" s="696" t="s">
        <v>772</v>
      </c>
      <c r="U2451" s="372" t="s">
        <v>15681</v>
      </c>
      <c r="V2451" s="722">
        <v>220.51</v>
      </c>
      <c r="W2451" s="722">
        <v>1.83</v>
      </c>
      <c r="X2451" s="722">
        <v>0.25</v>
      </c>
      <c r="Y2451" s="722" t="s">
        <v>774</v>
      </c>
      <c r="Z2451" s="382" t="s">
        <v>934</v>
      </c>
      <c r="AA2451" s="372">
        <v>982.22937100000001</v>
      </c>
      <c r="AB2451" s="372">
        <v>1107.6978577</v>
      </c>
      <c r="AC2451" s="372">
        <v>978.86470710000003</v>
      </c>
      <c r="AD2451" s="372">
        <v>737.4619189</v>
      </c>
      <c r="AE2451" s="372">
        <v>0</v>
      </c>
      <c r="AF2451" s="372">
        <v>0</v>
      </c>
      <c r="AG2451" s="372">
        <v>0</v>
      </c>
      <c r="AH2451" s="372">
        <v>0</v>
      </c>
    </row>
    <row r="2452" spans="1:34">
      <c r="A2452" s="372" t="s">
        <v>15682</v>
      </c>
      <c r="B2452" s="372" t="s">
        <v>15683</v>
      </c>
      <c r="C2452" s="372" t="s">
        <v>15684</v>
      </c>
      <c r="D2452" s="374">
        <v>1101110141369</v>
      </c>
      <c r="E2452" s="372" t="s">
        <v>15685</v>
      </c>
      <c r="F2452" s="372" t="s">
        <v>15686</v>
      </c>
      <c r="G2452" s="375" t="s">
        <v>15686</v>
      </c>
      <c r="H2452" s="375" t="s">
        <v>1555</v>
      </c>
      <c r="I2452" s="375" t="s">
        <v>755</v>
      </c>
      <c r="J2452" s="375">
        <v>32579.518550000001</v>
      </c>
      <c r="K2452" s="375">
        <v>-1492.86934</v>
      </c>
      <c r="L2452" s="375">
        <v>-2255.9797600000002</v>
      </c>
      <c r="M2452" s="375">
        <v>3038.31086</v>
      </c>
      <c r="N2452" s="372">
        <v>0.501</v>
      </c>
      <c r="O2452" s="703">
        <v>142.10488541303718</v>
      </c>
      <c r="P2452" s="562" t="s">
        <v>623</v>
      </c>
      <c r="Q2452" s="372" t="s">
        <v>623</v>
      </c>
      <c r="R2452" s="695">
        <v>19940812</v>
      </c>
      <c r="S2452" s="372" t="s">
        <v>15687</v>
      </c>
      <c r="T2452" s="696" t="s">
        <v>772</v>
      </c>
      <c r="U2452" s="372" t="s">
        <v>15688</v>
      </c>
      <c r="V2452" s="722" t="s">
        <v>774</v>
      </c>
      <c r="W2452" s="722">
        <v>4.59</v>
      </c>
      <c r="X2452" s="722">
        <v>0.48</v>
      </c>
      <c r="Y2452" s="722" t="s">
        <v>774</v>
      </c>
      <c r="Z2452" s="382" t="s">
        <v>934</v>
      </c>
      <c r="AA2452" s="372">
        <v>309.04918939999999</v>
      </c>
      <c r="AB2452" s="372">
        <v>305.23125950000002</v>
      </c>
      <c r="AC2452" s="372">
        <v>316.54086480000001</v>
      </c>
      <c r="AD2452" s="372">
        <v>325.7951855</v>
      </c>
      <c r="AE2452" s="372">
        <v>0</v>
      </c>
      <c r="AF2452" s="372">
        <v>0</v>
      </c>
      <c r="AG2452" s="372">
        <v>0</v>
      </c>
      <c r="AH2452" s="372">
        <v>0</v>
      </c>
    </row>
    <row r="2453" spans="1:34">
      <c r="A2453" s="372" t="s">
        <v>15689</v>
      </c>
      <c r="B2453" s="372" t="s">
        <v>15690</v>
      </c>
      <c r="C2453" s="372" t="s">
        <v>15691</v>
      </c>
      <c r="D2453" s="374">
        <v>1101111952567</v>
      </c>
      <c r="E2453" s="372" t="s">
        <v>15692</v>
      </c>
      <c r="F2453" s="372" t="s">
        <v>5655</v>
      </c>
      <c r="G2453" s="375" t="s">
        <v>5655</v>
      </c>
      <c r="H2453" s="375" t="s">
        <v>1547</v>
      </c>
      <c r="I2453" s="375" t="s">
        <v>869</v>
      </c>
      <c r="J2453" s="375">
        <v>22401.905040000001</v>
      </c>
      <c r="K2453" s="375">
        <v>-7673.7288799999997</v>
      </c>
      <c r="L2453" s="375">
        <v>-20382.9787</v>
      </c>
      <c r="M2453" s="375">
        <v>76651.100399999996</v>
      </c>
      <c r="N2453" s="372">
        <v>1.2689999999999999</v>
      </c>
      <c r="O2453" s="703">
        <v>98.612293346831251</v>
      </c>
      <c r="P2453" s="562" t="s">
        <v>623</v>
      </c>
      <c r="Q2453" s="372" t="s">
        <v>623</v>
      </c>
      <c r="R2453" s="695">
        <v>20060627</v>
      </c>
      <c r="S2453" s="372" t="s">
        <v>15693</v>
      </c>
      <c r="T2453" s="696" t="s">
        <v>772</v>
      </c>
      <c r="U2453" s="372" t="s">
        <v>15694</v>
      </c>
      <c r="V2453" s="722" t="s">
        <v>774</v>
      </c>
      <c r="W2453" s="722">
        <v>0.23</v>
      </c>
      <c r="X2453" s="722">
        <v>0.79</v>
      </c>
      <c r="Y2453" s="722" t="s">
        <v>774</v>
      </c>
      <c r="Z2453" s="382" t="s">
        <v>934</v>
      </c>
      <c r="AA2453" s="372">
        <v>209.68142130000001</v>
      </c>
      <c r="AB2453" s="372">
        <v>213.91218520000001</v>
      </c>
      <c r="AC2453" s="372">
        <v>189.66224249999999</v>
      </c>
      <c r="AD2453" s="372">
        <v>224.0190504</v>
      </c>
      <c r="AE2453" s="372">
        <v>0</v>
      </c>
      <c r="AF2453" s="372">
        <v>0</v>
      </c>
      <c r="AG2453" s="372">
        <v>0</v>
      </c>
      <c r="AH2453" s="372">
        <v>0</v>
      </c>
    </row>
    <row r="2454" spans="1:34">
      <c r="A2454" s="372" t="s">
        <v>15695</v>
      </c>
      <c r="B2454" s="372" t="s">
        <v>15696</v>
      </c>
      <c r="C2454" s="372" t="s">
        <v>15697</v>
      </c>
      <c r="D2454" s="374">
        <v>1101118203195</v>
      </c>
      <c r="E2454" s="372" t="s">
        <v>15698</v>
      </c>
      <c r="F2454" s="372" t="s">
        <v>1151</v>
      </c>
      <c r="G2454" s="375" t="s">
        <v>1152</v>
      </c>
      <c r="H2454" s="375" t="s">
        <v>902</v>
      </c>
      <c r="I2454" s="375" t="s">
        <v>869</v>
      </c>
      <c r="J2454" s="375">
        <v>0</v>
      </c>
      <c r="K2454" s="375">
        <v>-60.837739999999997</v>
      </c>
      <c r="L2454" s="375">
        <v>554.86467000000005</v>
      </c>
      <c r="M2454" s="375">
        <v>13746.84073</v>
      </c>
      <c r="N2454" s="372" t="s">
        <v>1033</v>
      </c>
      <c r="O2454" s="703">
        <v>9.9555016915319712</v>
      </c>
      <c r="P2454" s="562" t="s">
        <v>623</v>
      </c>
      <c r="Q2454" s="372" t="s">
        <v>623</v>
      </c>
      <c r="R2454" s="695">
        <v>20220628</v>
      </c>
      <c r="S2454" s="372" t="s">
        <v>11584</v>
      </c>
      <c r="T2454" s="696">
        <v>0.20900000000000002</v>
      </c>
      <c r="U2454" s="372">
        <v>0</v>
      </c>
      <c r="V2454" s="722">
        <v>0</v>
      </c>
      <c r="W2454" s="722">
        <v>1.0900000000000001</v>
      </c>
      <c r="X2454" s="722">
        <v>0</v>
      </c>
      <c r="Y2454" s="722">
        <v>0</v>
      </c>
      <c r="Z2454" s="382" t="s">
        <v>774</v>
      </c>
      <c r="AA2454" s="372">
        <v>0</v>
      </c>
      <c r="AB2454" s="372">
        <v>0</v>
      </c>
      <c r="AC2454" s="372">
        <v>0</v>
      </c>
      <c r="AD2454" s="372">
        <v>0</v>
      </c>
      <c r="AE2454" s="372">
        <v>0</v>
      </c>
      <c r="AF2454" s="372">
        <v>0</v>
      </c>
      <c r="AG2454" s="372">
        <v>0</v>
      </c>
      <c r="AH2454" s="372">
        <v>0</v>
      </c>
    </row>
    <row r="2455" spans="1:34">
      <c r="A2455" s="372" t="s">
        <v>15699</v>
      </c>
      <c r="B2455" s="372" t="s">
        <v>15700</v>
      </c>
      <c r="C2455" s="372" t="s">
        <v>15701</v>
      </c>
      <c r="D2455" s="374">
        <v>1101118606422</v>
      </c>
      <c r="E2455" s="372" t="s">
        <v>15702</v>
      </c>
      <c r="F2455" s="372" t="s">
        <v>1151</v>
      </c>
      <c r="G2455" s="375" t="s">
        <v>1152</v>
      </c>
      <c r="H2455" s="375" t="s">
        <v>902</v>
      </c>
      <c r="I2455" s="375" t="s">
        <v>869</v>
      </c>
      <c r="J2455" s="375">
        <v>0</v>
      </c>
      <c r="K2455" s="375">
        <v>0</v>
      </c>
      <c r="L2455" s="375">
        <v>0</v>
      </c>
      <c r="M2455" s="375">
        <v>13756.37847</v>
      </c>
      <c r="N2455" s="372" t="s">
        <v>1033</v>
      </c>
      <c r="O2455" s="703">
        <v>6.5883158182995301</v>
      </c>
      <c r="P2455" s="562" t="s">
        <v>623</v>
      </c>
      <c r="Q2455" s="372" t="s">
        <v>623</v>
      </c>
      <c r="R2455" s="695">
        <v>20230830</v>
      </c>
      <c r="S2455" s="372" t="s">
        <v>5525</v>
      </c>
      <c r="T2455" s="696" t="s">
        <v>772</v>
      </c>
      <c r="U2455" s="372">
        <v>0</v>
      </c>
      <c r="V2455" s="722">
        <v>0</v>
      </c>
      <c r="W2455" s="722">
        <v>1.07</v>
      </c>
      <c r="X2455" s="722">
        <v>0</v>
      </c>
      <c r="Y2455" s="722">
        <v>0</v>
      </c>
      <c r="Z2455" s="382" t="s">
        <v>774</v>
      </c>
      <c r="AA2455" s="372">
        <v>0</v>
      </c>
      <c r="AB2455" s="372">
        <v>0</v>
      </c>
      <c r="AC2455" s="372">
        <v>0</v>
      </c>
      <c r="AD2455" s="372">
        <v>0</v>
      </c>
      <c r="AE2455" s="372">
        <v>0</v>
      </c>
      <c r="AF2455" s="372">
        <v>0</v>
      </c>
      <c r="AG2455" s="372">
        <v>0</v>
      </c>
      <c r="AH2455" s="372">
        <v>0</v>
      </c>
    </row>
    <row r="2456" spans="1:34">
      <c r="A2456" s="372" t="s">
        <v>15703</v>
      </c>
      <c r="B2456" s="372" t="s">
        <v>15704</v>
      </c>
      <c r="C2456" s="372" t="s">
        <v>15705</v>
      </c>
      <c r="D2456" s="374">
        <v>1101117923934</v>
      </c>
      <c r="E2456" s="372" t="s">
        <v>15706</v>
      </c>
      <c r="F2456" s="372" t="s">
        <v>1151</v>
      </c>
      <c r="G2456" s="375" t="s">
        <v>1152</v>
      </c>
      <c r="H2456" s="375" t="s">
        <v>902</v>
      </c>
      <c r="I2456" s="375" t="s">
        <v>4455</v>
      </c>
      <c r="J2456" s="375">
        <v>0</v>
      </c>
      <c r="K2456" s="375">
        <v>-77.738240000000005</v>
      </c>
      <c r="L2456" s="375">
        <v>318.10996</v>
      </c>
      <c r="M2456" s="375">
        <v>13839.632809999999</v>
      </c>
      <c r="N2456" s="372">
        <v>0.33300000000000002</v>
      </c>
      <c r="O2456" s="703" t="e">
        <v>#DIV/0!</v>
      </c>
      <c r="P2456" s="562" t="s">
        <v>623</v>
      </c>
      <c r="Q2456" s="372" t="s">
        <v>623</v>
      </c>
      <c r="R2456" s="695">
        <v>20210927</v>
      </c>
      <c r="S2456" s="372" t="e">
        <v>#N/A</v>
      </c>
      <c r="T2456" s="696">
        <v>0.20900000000000002</v>
      </c>
      <c r="U2456" s="372">
        <v>0</v>
      </c>
      <c r="V2456" s="722">
        <v>0</v>
      </c>
      <c r="W2456" s="722">
        <v>1.0900000000000001</v>
      </c>
      <c r="X2456" s="722">
        <v>0</v>
      </c>
      <c r="Y2456" s="722">
        <v>0</v>
      </c>
      <c r="Z2456" s="382" t="s">
        <v>774</v>
      </c>
      <c r="AA2456" s="372">
        <v>0</v>
      </c>
      <c r="AB2456" s="372">
        <v>0</v>
      </c>
      <c r="AC2456" s="372">
        <v>0</v>
      </c>
      <c r="AD2456" s="372">
        <v>0</v>
      </c>
      <c r="AE2456" s="372">
        <v>0</v>
      </c>
      <c r="AF2456" s="372">
        <v>0</v>
      </c>
      <c r="AG2456" s="372">
        <v>0</v>
      </c>
      <c r="AH2456" s="372">
        <v>0</v>
      </c>
    </row>
    <row r="2457" spans="1:34">
      <c r="A2457" s="372" t="s">
        <v>15707</v>
      </c>
      <c r="B2457" s="372" t="s">
        <v>15708</v>
      </c>
      <c r="C2457" s="372" t="s">
        <v>15709</v>
      </c>
      <c r="D2457" s="374">
        <v>1101118400014</v>
      </c>
      <c r="E2457" s="372" t="s">
        <v>15710</v>
      </c>
      <c r="F2457" s="372" t="s">
        <v>1151</v>
      </c>
      <c r="G2457" s="375" t="s">
        <v>1152</v>
      </c>
      <c r="H2457" s="375" t="s">
        <v>902</v>
      </c>
      <c r="I2457" s="375" t="s">
        <v>869</v>
      </c>
      <c r="J2457" s="375">
        <v>0</v>
      </c>
      <c r="K2457" s="375">
        <v>-91.722629999999995</v>
      </c>
      <c r="L2457" s="375">
        <v>348.47624999999999</v>
      </c>
      <c r="M2457" s="375">
        <v>12644.96047</v>
      </c>
      <c r="N2457" s="372" t="s">
        <v>1033</v>
      </c>
      <c r="O2457" s="703">
        <v>4.6834146914988608</v>
      </c>
      <c r="P2457" s="562" t="s">
        <v>623</v>
      </c>
      <c r="Q2457" s="372" t="s">
        <v>623</v>
      </c>
      <c r="R2457" s="695">
        <v>20221205</v>
      </c>
      <c r="S2457" s="372" t="s">
        <v>5525</v>
      </c>
      <c r="T2457" s="696">
        <v>0.20900000000000002</v>
      </c>
      <c r="U2457" s="372">
        <v>0</v>
      </c>
      <c r="V2457" s="722">
        <v>0</v>
      </c>
      <c r="W2457" s="722">
        <v>1.1299999999999999</v>
      </c>
      <c r="X2457" s="722">
        <v>0</v>
      </c>
      <c r="Y2457" s="722">
        <v>0</v>
      </c>
      <c r="Z2457" s="382" t="s">
        <v>774</v>
      </c>
      <c r="AA2457" s="372">
        <v>0</v>
      </c>
      <c r="AB2457" s="372">
        <v>0</v>
      </c>
      <c r="AC2457" s="372">
        <v>0</v>
      </c>
      <c r="AD2457" s="372">
        <v>0</v>
      </c>
      <c r="AE2457" s="372">
        <v>0</v>
      </c>
      <c r="AF2457" s="372">
        <v>0</v>
      </c>
      <c r="AG2457" s="372">
        <v>0</v>
      </c>
      <c r="AH2457" s="372">
        <v>0</v>
      </c>
    </row>
    <row r="2458" spans="1:34">
      <c r="A2458" s="372" t="s">
        <v>15711</v>
      </c>
      <c r="B2458" s="372" t="s">
        <v>15712</v>
      </c>
      <c r="C2458" s="372" t="s">
        <v>15713</v>
      </c>
      <c r="D2458" s="374">
        <v>1101118573704</v>
      </c>
      <c r="E2458" s="372" t="s">
        <v>15714</v>
      </c>
      <c r="F2458" s="372" t="s">
        <v>1151</v>
      </c>
      <c r="G2458" s="375" t="s">
        <v>1152</v>
      </c>
      <c r="H2458" s="375" t="s">
        <v>902</v>
      </c>
      <c r="I2458" s="375" t="s">
        <v>869</v>
      </c>
      <c r="J2458" s="375">
        <v>0</v>
      </c>
      <c r="K2458" s="375">
        <v>0</v>
      </c>
      <c r="L2458" s="375">
        <v>0</v>
      </c>
      <c r="M2458" s="375">
        <v>13914.080690000001</v>
      </c>
      <c r="N2458" s="372" t="s">
        <v>1033</v>
      </c>
      <c r="O2458" s="703">
        <v>16.150863688752594</v>
      </c>
      <c r="P2458" s="562" t="s">
        <v>623</v>
      </c>
      <c r="Q2458" s="372" t="s">
        <v>623</v>
      </c>
      <c r="R2458" s="695">
        <v>20230810</v>
      </c>
      <c r="S2458" s="372" t="s">
        <v>9098</v>
      </c>
      <c r="T2458" s="696" t="s">
        <v>772</v>
      </c>
      <c r="U2458" s="372">
        <v>0</v>
      </c>
      <c r="V2458" s="722">
        <v>0</v>
      </c>
      <c r="W2458" s="722">
        <v>1.04</v>
      </c>
      <c r="X2458" s="722">
        <v>0</v>
      </c>
      <c r="Y2458" s="722">
        <v>0</v>
      </c>
      <c r="Z2458" s="382" t="s">
        <v>774</v>
      </c>
      <c r="AA2458" s="372">
        <v>0</v>
      </c>
      <c r="AB2458" s="372">
        <v>0</v>
      </c>
      <c r="AC2458" s="372">
        <v>0</v>
      </c>
      <c r="AD2458" s="372">
        <v>0</v>
      </c>
      <c r="AE2458" s="372">
        <v>0</v>
      </c>
      <c r="AF2458" s="372">
        <v>0</v>
      </c>
      <c r="AG2458" s="372">
        <v>0</v>
      </c>
      <c r="AH2458" s="372">
        <v>0</v>
      </c>
    </row>
    <row r="2459" spans="1:34">
      <c r="A2459" s="372" t="s">
        <v>15715</v>
      </c>
      <c r="B2459" s="372" t="s">
        <v>15716</v>
      </c>
      <c r="C2459" s="372" t="s">
        <v>16228</v>
      </c>
      <c r="D2459" s="374">
        <v>1101118112669</v>
      </c>
      <c r="E2459" s="372" t="s">
        <v>15717</v>
      </c>
      <c r="F2459" s="372" t="s">
        <v>1151</v>
      </c>
      <c r="G2459" s="375" t="s">
        <v>1152</v>
      </c>
      <c r="H2459" s="375" t="s">
        <v>902</v>
      </c>
      <c r="I2459" s="375" t="s">
        <v>869</v>
      </c>
      <c r="J2459" s="375">
        <v>0</v>
      </c>
      <c r="K2459" s="375">
        <v>-76.329239999999999</v>
      </c>
      <c r="L2459" s="375">
        <v>250.11055999999999</v>
      </c>
      <c r="M2459" s="375">
        <v>11228.535250000001</v>
      </c>
      <c r="N2459" s="372">
        <v>0.24399999999999999</v>
      </c>
      <c r="O2459" s="703">
        <v>4.8318659203911007</v>
      </c>
      <c r="P2459" s="562" t="s">
        <v>623</v>
      </c>
      <c r="Q2459" s="372" t="s">
        <v>623</v>
      </c>
      <c r="R2459" s="695">
        <v>20220331</v>
      </c>
      <c r="S2459" s="372" t="s">
        <v>9098</v>
      </c>
      <c r="T2459" s="696">
        <v>0.20900000000000002</v>
      </c>
      <c r="U2459" s="372">
        <v>0</v>
      </c>
      <c r="V2459" s="722">
        <v>0</v>
      </c>
      <c r="W2459" s="722">
        <v>1.3</v>
      </c>
      <c r="X2459" s="722">
        <v>0</v>
      </c>
      <c r="Y2459" s="722">
        <v>0</v>
      </c>
      <c r="Z2459" s="382" t="s">
        <v>774</v>
      </c>
      <c r="AA2459" s="372">
        <v>0</v>
      </c>
      <c r="AB2459" s="372">
        <v>0</v>
      </c>
      <c r="AC2459" s="372">
        <v>0</v>
      </c>
      <c r="AD2459" s="372">
        <v>0</v>
      </c>
      <c r="AE2459" s="372">
        <v>0</v>
      </c>
      <c r="AF2459" s="372">
        <v>0</v>
      </c>
      <c r="AG2459" s="372">
        <v>0</v>
      </c>
      <c r="AH2459" s="372">
        <v>0</v>
      </c>
    </row>
    <row r="2460" spans="1:34">
      <c r="A2460" s="372" t="s">
        <v>15718</v>
      </c>
      <c r="B2460" s="372" t="s">
        <v>15719</v>
      </c>
      <c r="C2460" s="372" t="s">
        <v>15720</v>
      </c>
      <c r="D2460" s="374">
        <v>1101118761630</v>
      </c>
      <c r="E2460" s="372" t="s">
        <v>15721</v>
      </c>
      <c r="F2460" s="372" t="s">
        <v>1151</v>
      </c>
      <c r="G2460" s="375" t="s">
        <v>1152</v>
      </c>
      <c r="H2460" s="375" t="s">
        <v>902</v>
      </c>
      <c r="I2460" s="375" t="s">
        <v>869</v>
      </c>
      <c r="J2460" s="375">
        <v>0</v>
      </c>
      <c r="K2460" s="375">
        <v>0</v>
      </c>
      <c r="L2460" s="375">
        <v>0</v>
      </c>
      <c r="M2460" s="375">
        <v>14535.485860000001</v>
      </c>
      <c r="N2460" s="372" t="s">
        <v>1033</v>
      </c>
      <c r="O2460" s="703">
        <v>16.246367271548294</v>
      </c>
      <c r="P2460" s="562" t="s">
        <v>623</v>
      </c>
      <c r="Q2460" s="372" t="s">
        <v>623</v>
      </c>
      <c r="R2460" s="695">
        <v>20231222</v>
      </c>
      <c r="S2460" s="372" t="s">
        <v>9098</v>
      </c>
      <c r="T2460" s="696" t="s">
        <v>772</v>
      </c>
      <c r="U2460" s="372">
        <v>0</v>
      </c>
      <c r="V2460" s="722">
        <v>0</v>
      </c>
      <c r="W2460" s="722">
        <v>0.96</v>
      </c>
      <c r="X2460" s="722">
        <v>0</v>
      </c>
      <c r="Y2460" s="722">
        <v>0</v>
      </c>
      <c r="Z2460" s="382" t="s">
        <v>774</v>
      </c>
      <c r="AA2460" s="372">
        <v>0</v>
      </c>
      <c r="AB2460" s="372">
        <v>0</v>
      </c>
      <c r="AC2460" s="372">
        <v>0</v>
      </c>
      <c r="AD2460" s="372">
        <v>0</v>
      </c>
      <c r="AE2460" s="372">
        <v>0</v>
      </c>
      <c r="AF2460" s="372">
        <v>0</v>
      </c>
      <c r="AG2460" s="372">
        <v>0</v>
      </c>
      <c r="AH2460" s="372">
        <v>0</v>
      </c>
    </row>
    <row r="2461" spans="1:34">
      <c r="A2461" s="372" t="s">
        <v>15722</v>
      </c>
      <c r="B2461" s="372" t="s">
        <v>15723</v>
      </c>
      <c r="C2461" s="372" t="s">
        <v>15724</v>
      </c>
      <c r="D2461" s="374">
        <v>1201110147422</v>
      </c>
      <c r="E2461" s="372" t="s">
        <v>15725</v>
      </c>
      <c r="F2461" s="372" t="s">
        <v>2030</v>
      </c>
      <c r="G2461" s="375" t="s">
        <v>2030</v>
      </c>
      <c r="H2461" s="375" t="s">
        <v>868</v>
      </c>
      <c r="I2461" s="375" t="s">
        <v>869</v>
      </c>
      <c r="J2461" s="375">
        <v>296109.53013999999</v>
      </c>
      <c r="K2461" s="375">
        <v>-28157.263340000001</v>
      </c>
      <c r="L2461" s="375">
        <v>-53738.460290000003</v>
      </c>
      <c r="M2461" s="375">
        <v>-20473.839370000002</v>
      </c>
      <c r="N2461" s="372">
        <v>1.208</v>
      </c>
      <c r="O2461" s="703">
        <v>2554.0876045957311</v>
      </c>
      <c r="P2461" s="562" t="s">
        <v>16142</v>
      </c>
      <c r="Q2461" s="372" t="s">
        <v>16145</v>
      </c>
      <c r="R2461" s="695">
        <v>20001221</v>
      </c>
      <c r="S2461" s="372" t="s">
        <v>15726</v>
      </c>
      <c r="T2461" s="696" t="s">
        <v>772</v>
      </c>
      <c r="U2461" s="372" t="s">
        <v>15727</v>
      </c>
      <c r="V2461" s="722" t="s">
        <v>774</v>
      </c>
      <c r="W2461" s="722" t="s">
        <v>774</v>
      </c>
      <c r="X2461" s="722">
        <v>0.06</v>
      </c>
      <c r="Y2461" s="722" t="s">
        <v>774</v>
      </c>
      <c r="Z2461" s="382" t="s">
        <v>934</v>
      </c>
      <c r="AA2461" s="372">
        <v>1966.1166724</v>
      </c>
      <c r="AB2461" s="372">
        <v>2515.1017360999999</v>
      </c>
      <c r="AC2461" s="372">
        <v>3097.3821032000001</v>
      </c>
      <c r="AD2461" s="372">
        <v>2961.0953014000002</v>
      </c>
      <c r="AE2461" s="372">
        <v>0</v>
      </c>
      <c r="AF2461" s="372">
        <v>0</v>
      </c>
      <c r="AG2461" s="372">
        <v>0</v>
      </c>
      <c r="AH2461" s="372">
        <v>0</v>
      </c>
    </row>
    <row r="2462" spans="1:34">
      <c r="A2462" s="372" t="s">
        <v>15728</v>
      </c>
      <c r="B2462" s="372" t="s">
        <v>15729</v>
      </c>
      <c r="C2462" s="372" t="s">
        <v>15730</v>
      </c>
      <c r="D2462" s="374">
        <v>1101118337697</v>
      </c>
      <c r="E2462" s="372" t="s">
        <v>15731</v>
      </c>
      <c r="F2462" s="372" t="s">
        <v>1151</v>
      </c>
      <c r="G2462" s="375" t="s">
        <v>1152</v>
      </c>
      <c r="H2462" s="375" t="s">
        <v>902</v>
      </c>
      <c r="I2462" s="375" t="s">
        <v>869</v>
      </c>
      <c r="J2462" s="375">
        <v>0</v>
      </c>
      <c r="K2462" s="375">
        <v>-37.557169999999999</v>
      </c>
      <c r="L2462" s="375">
        <v>427.33105999999998</v>
      </c>
      <c r="M2462" s="375">
        <v>11395.997960000001</v>
      </c>
      <c r="N2462" s="372" t="s">
        <v>1033</v>
      </c>
      <c r="O2462" s="703">
        <v>6.1359211983446986</v>
      </c>
      <c r="P2462" s="562" t="s">
        <v>16142</v>
      </c>
      <c r="Q2462" s="372" t="s">
        <v>623</v>
      </c>
      <c r="R2462" s="695">
        <v>20221020</v>
      </c>
      <c r="S2462" s="372" t="s">
        <v>9098</v>
      </c>
      <c r="T2462" s="696">
        <v>0.20900000000000002</v>
      </c>
      <c r="U2462" s="372">
        <v>0</v>
      </c>
      <c r="V2462" s="722">
        <v>0</v>
      </c>
      <c r="W2462" s="722">
        <v>1.1000000000000001</v>
      </c>
      <c r="X2462" s="722">
        <v>0</v>
      </c>
      <c r="Y2462" s="722">
        <v>0</v>
      </c>
      <c r="Z2462" s="382" t="s">
        <v>774</v>
      </c>
      <c r="AA2462" s="372">
        <v>0</v>
      </c>
      <c r="AB2462" s="372">
        <v>0</v>
      </c>
      <c r="AC2462" s="372">
        <v>0</v>
      </c>
      <c r="AD2462" s="372">
        <v>0</v>
      </c>
      <c r="AE2462" s="372">
        <v>0</v>
      </c>
      <c r="AF2462" s="372">
        <v>0</v>
      </c>
      <c r="AG2462" s="372">
        <v>0</v>
      </c>
      <c r="AH2462" s="372">
        <v>0</v>
      </c>
    </row>
    <row r="2463" spans="1:34">
      <c r="A2463" s="372" t="s">
        <v>15732</v>
      </c>
      <c r="B2463" s="372" t="s">
        <v>15733</v>
      </c>
      <c r="C2463" s="372" t="s">
        <v>15734</v>
      </c>
      <c r="D2463" s="374">
        <v>1101118199592</v>
      </c>
      <c r="E2463" s="372" t="s">
        <v>15735</v>
      </c>
      <c r="F2463" s="372" t="s">
        <v>1151</v>
      </c>
      <c r="G2463" s="375" t="s">
        <v>1152</v>
      </c>
      <c r="H2463" s="375" t="s">
        <v>902</v>
      </c>
      <c r="I2463" s="375" t="s">
        <v>869</v>
      </c>
      <c r="J2463" s="375">
        <v>0</v>
      </c>
      <c r="K2463" s="375">
        <v>-38.608649999999997</v>
      </c>
      <c r="L2463" s="375">
        <v>265.08683000000002</v>
      </c>
      <c r="M2463" s="375">
        <v>12106.78789</v>
      </c>
      <c r="N2463" s="372">
        <v>0.29299999999999998</v>
      </c>
      <c r="O2463" s="703">
        <v>12.879611211856909</v>
      </c>
      <c r="P2463" s="562" t="s">
        <v>16142</v>
      </c>
      <c r="Q2463" s="372" t="s">
        <v>623</v>
      </c>
      <c r="R2463" s="695">
        <v>20220624</v>
      </c>
      <c r="S2463" s="372" t="s">
        <v>9110</v>
      </c>
      <c r="T2463" s="696">
        <v>0.20900000000000002</v>
      </c>
      <c r="U2463" s="372">
        <v>0</v>
      </c>
      <c r="V2463" s="722">
        <v>0</v>
      </c>
      <c r="W2463" s="722">
        <v>1.04</v>
      </c>
      <c r="X2463" s="722">
        <v>0</v>
      </c>
      <c r="Y2463" s="722">
        <v>0</v>
      </c>
      <c r="Z2463" s="382" t="s">
        <v>774</v>
      </c>
      <c r="AA2463" s="372">
        <v>0</v>
      </c>
      <c r="AB2463" s="372">
        <v>0</v>
      </c>
      <c r="AC2463" s="372">
        <v>0</v>
      </c>
      <c r="AD2463" s="372">
        <v>0</v>
      </c>
      <c r="AE2463" s="372">
        <v>0</v>
      </c>
      <c r="AF2463" s="372">
        <v>0</v>
      </c>
      <c r="AG2463" s="372">
        <v>0</v>
      </c>
      <c r="AH2463" s="372">
        <v>0</v>
      </c>
    </row>
    <row r="2464" spans="1:34">
      <c r="A2464" s="372" t="s">
        <v>15736</v>
      </c>
      <c r="B2464" s="372" t="s">
        <v>15737</v>
      </c>
      <c r="C2464" s="372" t="s">
        <v>15738</v>
      </c>
      <c r="D2464" s="374">
        <v>1101118103501</v>
      </c>
      <c r="E2464" s="372" t="s">
        <v>15739</v>
      </c>
      <c r="F2464" s="372" t="s">
        <v>1151</v>
      </c>
      <c r="G2464" s="375" t="s">
        <v>1152</v>
      </c>
      <c r="H2464" s="375" t="s">
        <v>902</v>
      </c>
      <c r="I2464" s="375" t="s">
        <v>869</v>
      </c>
      <c r="J2464" s="375">
        <v>0</v>
      </c>
      <c r="K2464" s="375">
        <v>-50.537610000000001</v>
      </c>
      <c r="L2464" s="375">
        <v>244.65743000000001</v>
      </c>
      <c r="M2464" s="375">
        <v>12379.00583</v>
      </c>
      <c r="N2464" s="372">
        <v>0.40300000000000002</v>
      </c>
      <c r="O2464" s="703">
        <v>19.607881207299737</v>
      </c>
      <c r="P2464" s="562" t="s">
        <v>623</v>
      </c>
      <c r="Q2464" s="372" t="s">
        <v>623</v>
      </c>
      <c r="R2464" s="695">
        <v>20220421</v>
      </c>
      <c r="S2464" s="372" t="s">
        <v>9098</v>
      </c>
      <c r="T2464" s="696">
        <v>0.20900000000000002</v>
      </c>
      <c r="U2464" s="372">
        <v>0</v>
      </c>
      <c r="V2464" s="722">
        <v>0</v>
      </c>
      <c r="W2464" s="722">
        <v>1.08</v>
      </c>
      <c r="X2464" s="722">
        <v>0</v>
      </c>
      <c r="Y2464" s="722">
        <v>0</v>
      </c>
      <c r="Z2464" s="382" t="s">
        <v>774</v>
      </c>
      <c r="AA2464" s="372">
        <v>0</v>
      </c>
      <c r="AB2464" s="372">
        <v>0</v>
      </c>
      <c r="AC2464" s="372">
        <v>0</v>
      </c>
      <c r="AD2464" s="372">
        <v>0</v>
      </c>
      <c r="AE2464" s="372">
        <v>0</v>
      </c>
      <c r="AF2464" s="372">
        <v>0</v>
      </c>
      <c r="AG2464" s="372">
        <v>0</v>
      </c>
      <c r="AH2464" s="372">
        <v>0</v>
      </c>
    </row>
    <row r="2465" spans="1:34">
      <c r="A2465" s="372" t="s">
        <v>15740</v>
      </c>
      <c r="B2465" s="372" t="s">
        <v>15741</v>
      </c>
      <c r="C2465" s="372" t="s">
        <v>15742</v>
      </c>
      <c r="D2465" s="374">
        <v>1101118164959</v>
      </c>
      <c r="E2465" s="372" t="s">
        <v>15743</v>
      </c>
      <c r="F2465" s="372" t="s">
        <v>1151</v>
      </c>
      <c r="G2465" s="375" t="s">
        <v>1152</v>
      </c>
      <c r="H2465" s="375" t="s">
        <v>902</v>
      </c>
      <c r="I2465" s="375" t="s">
        <v>869</v>
      </c>
      <c r="J2465" s="375">
        <v>0</v>
      </c>
      <c r="K2465" s="375">
        <v>-33.768419999999999</v>
      </c>
      <c r="L2465" s="375">
        <v>287.86165999999997</v>
      </c>
      <c r="M2465" s="375">
        <v>11248.3042</v>
      </c>
      <c r="N2465" s="372">
        <v>0.41299999999999998</v>
      </c>
      <c r="O2465" s="703">
        <v>7.8558914414351433</v>
      </c>
      <c r="P2465" s="562" t="s">
        <v>623</v>
      </c>
      <c r="Q2465" s="372" t="s">
        <v>623</v>
      </c>
      <c r="R2465" s="695">
        <v>20220526</v>
      </c>
      <c r="S2465" s="372" t="s">
        <v>9098</v>
      </c>
      <c r="T2465" s="696">
        <v>0.20900000000000002</v>
      </c>
      <c r="U2465" s="372">
        <v>0</v>
      </c>
      <c r="V2465" s="722">
        <v>0</v>
      </c>
      <c r="W2465" s="722">
        <v>1.1200000000000001</v>
      </c>
      <c r="X2465" s="722">
        <v>0</v>
      </c>
      <c r="Y2465" s="722">
        <v>0</v>
      </c>
      <c r="Z2465" s="382" t="s">
        <v>774</v>
      </c>
      <c r="AA2465" s="372">
        <v>0</v>
      </c>
      <c r="AB2465" s="372">
        <v>0</v>
      </c>
      <c r="AC2465" s="372">
        <v>0</v>
      </c>
      <c r="AD2465" s="372">
        <v>0</v>
      </c>
      <c r="AE2465" s="372">
        <v>0</v>
      </c>
      <c r="AF2465" s="372">
        <v>0</v>
      </c>
      <c r="AG2465" s="372">
        <v>0</v>
      </c>
      <c r="AH2465" s="372">
        <v>0</v>
      </c>
    </row>
    <row r="2466" spans="1:34">
      <c r="A2466" s="372" t="s">
        <v>15744</v>
      </c>
      <c r="B2466" s="372" t="s">
        <v>15745</v>
      </c>
      <c r="C2466" s="372" t="s">
        <v>15746</v>
      </c>
      <c r="D2466" s="374">
        <v>1101118766820</v>
      </c>
      <c r="E2466" s="372" t="s">
        <v>15747</v>
      </c>
      <c r="F2466" s="372" t="s">
        <v>1151</v>
      </c>
      <c r="G2466" s="375" t="s">
        <v>1152</v>
      </c>
      <c r="H2466" s="375" t="s">
        <v>902</v>
      </c>
      <c r="I2466" s="375" t="s">
        <v>869</v>
      </c>
      <c r="J2466" s="375">
        <v>0</v>
      </c>
      <c r="K2466" s="375">
        <v>0</v>
      </c>
      <c r="L2466" s="375">
        <v>0</v>
      </c>
      <c r="M2466" s="375">
        <v>925.04475000000002</v>
      </c>
      <c r="N2466" s="372" t="s">
        <v>1033</v>
      </c>
      <c r="O2466" s="703">
        <v>6.7245409411630819</v>
      </c>
      <c r="P2466" s="562" t="s">
        <v>623</v>
      </c>
      <c r="Q2466" s="372" t="s">
        <v>623</v>
      </c>
      <c r="R2466" s="695">
        <v>20240124</v>
      </c>
      <c r="S2466" s="372" t="s">
        <v>5525</v>
      </c>
      <c r="T2466" s="696" t="s">
        <v>772</v>
      </c>
      <c r="U2466" s="372">
        <v>0</v>
      </c>
      <c r="V2466" s="722">
        <v>0</v>
      </c>
      <c r="W2466" s="722">
        <v>0</v>
      </c>
      <c r="X2466" s="722">
        <v>0</v>
      </c>
      <c r="Y2466" s="722">
        <v>0</v>
      </c>
      <c r="Z2466" s="382" t="s">
        <v>774</v>
      </c>
      <c r="AA2466" s="372">
        <v>0</v>
      </c>
      <c r="AB2466" s="372">
        <v>0</v>
      </c>
      <c r="AC2466" s="372">
        <v>0</v>
      </c>
      <c r="AD2466" s="372">
        <v>0</v>
      </c>
      <c r="AE2466" s="372">
        <v>0</v>
      </c>
      <c r="AF2466" s="372">
        <v>0</v>
      </c>
      <c r="AG2466" s="372">
        <v>0</v>
      </c>
      <c r="AH2466" s="372">
        <v>0</v>
      </c>
    </row>
    <row r="2467" spans="1:34">
      <c r="A2467" s="372" t="s">
        <v>15748</v>
      </c>
      <c r="B2467" s="372" t="s">
        <v>15749</v>
      </c>
      <c r="C2467" s="372" t="s">
        <v>15750</v>
      </c>
      <c r="D2467" s="374">
        <v>1101118442818</v>
      </c>
      <c r="E2467" s="372" t="s">
        <v>15751</v>
      </c>
      <c r="F2467" s="372" t="s">
        <v>1151</v>
      </c>
      <c r="G2467" s="375" t="s">
        <v>1152</v>
      </c>
      <c r="H2467" s="375" t="s">
        <v>902</v>
      </c>
      <c r="I2467" s="375" t="s">
        <v>869</v>
      </c>
      <c r="J2467" s="375">
        <v>0</v>
      </c>
      <c r="K2467" s="375">
        <v>-49.467640000000003</v>
      </c>
      <c r="L2467" s="375">
        <v>243.42623</v>
      </c>
      <c r="M2467" s="375">
        <v>11829.59266</v>
      </c>
      <c r="N2467" s="372" t="s">
        <v>1033</v>
      </c>
      <c r="O2467" s="703">
        <v>12.037458871171856</v>
      </c>
      <c r="P2467" s="562" t="s">
        <v>623</v>
      </c>
      <c r="Q2467" s="372" t="s">
        <v>623</v>
      </c>
      <c r="R2467" s="695">
        <v>20230307</v>
      </c>
      <c r="S2467" s="372" t="s">
        <v>9098</v>
      </c>
      <c r="T2467" s="696">
        <v>0.20900000000000002</v>
      </c>
      <c r="U2467" s="372">
        <v>0</v>
      </c>
      <c r="V2467" s="722">
        <v>0</v>
      </c>
      <c r="W2467" s="722">
        <v>1.06</v>
      </c>
      <c r="X2467" s="722">
        <v>0</v>
      </c>
      <c r="Y2467" s="722">
        <v>0</v>
      </c>
      <c r="Z2467" s="382" t="s">
        <v>774</v>
      </c>
      <c r="AA2467" s="372">
        <v>0</v>
      </c>
      <c r="AB2467" s="372">
        <v>0</v>
      </c>
      <c r="AC2467" s="372">
        <v>0</v>
      </c>
      <c r="AD2467" s="372">
        <v>0</v>
      </c>
      <c r="AE2467" s="372">
        <v>0</v>
      </c>
      <c r="AF2467" s="372">
        <v>0</v>
      </c>
      <c r="AG2467" s="372">
        <v>0</v>
      </c>
      <c r="AH2467" s="372">
        <v>0</v>
      </c>
    </row>
    <row r="2468" spans="1:34">
      <c r="A2468" s="372" t="s">
        <v>15752</v>
      </c>
      <c r="B2468" s="372" t="s">
        <v>15753</v>
      </c>
      <c r="C2468" s="372" t="s">
        <v>15754</v>
      </c>
      <c r="D2468" s="374">
        <v>1101118357934</v>
      </c>
      <c r="E2468" s="372" t="s">
        <v>15755</v>
      </c>
      <c r="F2468" s="372" t="s">
        <v>1151</v>
      </c>
      <c r="G2468" s="375" t="s">
        <v>1152</v>
      </c>
      <c r="H2468" s="375" t="s">
        <v>902</v>
      </c>
      <c r="I2468" s="375" t="s">
        <v>869</v>
      </c>
      <c r="J2468" s="375">
        <v>0</v>
      </c>
      <c r="K2468" s="375">
        <v>-97.196560000000005</v>
      </c>
      <c r="L2468" s="375">
        <v>283.51808999999997</v>
      </c>
      <c r="M2468" s="375">
        <v>11035.38645</v>
      </c>
      <c r="N2468" s="372" t="s">
        <v>1033</v>
      </c>
      <c r="O2468" s="703">
        <v>7.0809934533551555</v>
      </c>
      <c r="P2468" s="562" t="s">
        <v>16142</v>
      </c>
      <c r="Q2468" s="372" t="s">
        <v>623</v>
      </c>
      <c r="R2468" s="695">
        <v>20221128</v>
      </c>
      <c r="S2468" s="372" t="s">
        <v>5525</v>
      </c>
      <c r="T2468" s="696">
        <v>0.20900000000000002</v>
      </c>
      <c r="U2468" s="372">
        <v>0</v>
      </c>
      <c r="V2468" s="722">
        <v>0</v>
      </c>
      <c r="W2468" s="722">
        <v>1.1599999999999999</v>
      </c>
      <c r="X2468" s="722">
        <v>0</v>
      </c>
      <c r="Y2468" s="722">
        <v>0</v>
      </c>
      <c r="Z2468" s="382" t="s">
        <v>774</v>
      </c>
      <c r="AA2468" s="372">
        <v>0</v>
      </c>
      <c r="AB2468" s="372">
        <v>0</v>
      </c>
      <c r="AC2468" s="372">
        <v>0</v>
      </c>
      <c r="AD2468" s="372">
        <v>0</v>
      </c>
      <c r="AE2468" s="372">
        <v>0</v>
      </c>
      <c r="AF2468" s="372">
        <v>0</v>
      </c>
      <c r="AG2468" s="372">
        <v>0</v>
      </c>
      <c r="AH2468" s="372">
        <v>0</v>
      </c>
    </row>
    <row r="2469" spans="1:34">
      <c r="A2469" s="372" t="s">
        <v>15756</v>
      </c>
      <c r="B2469" s="372" t="s">
        <v>15757</v>
      </c>
      <c r="C2469" s="372" t="s">
        <v>15758</v>
      </c>
      <c r="D2469" s="374">
        <v>1101118237201</v>
      </c>
      <c r="E2469" s="372" t="s">
        <v>15759</v>
      </c>
      <c r="F2469" s="372" t="s">
        <v>1151</v>
      </c>
      <c r="G2469" s="375" t="s">
        <v>1152</v>
      </c>
      <c r="H2469" s="375" t="s">
        <v>902</v>
      </c>
      <c r="I2469" s="375" t="s">
        <v>869</v>
      </c>
      <c r="J2469" s="375">
        <v>0</v>
      </c>
      <c r="K2469" s="375">
        <v>-50.147579999999998</v>
      </c>
      <c r="L2469" s="375">
        <v>229.18637000000001</v>
      </c>
      <c r="M2469" s="375">
        <v>10831.6975</v>
      </c>
      <c r="N2469" s="372">
        <v>0.90100000000000002</v>
      </c>
      <c r="O2469" s="703">
        <v>10.721232854554867</v>
      </c>
      <c r="P2469" s="562" t="s">
        <v>623</v>
      </c>
      <c r="Q2469" s="372" t="s">
        <v>623</v>
      </c>
      <c r="R2469" s="695">
        <v>20220630</v>
      </c>
      <c r="S2469" s="372" t="s">
        <v>9098</v>
      </c>
      <c r="T2469" s="696">
        <v>0.20900000000000002</v>
      </c>
      <c r="U2469" s="372">
        <v>0</v>
      </c>
      <c r="V2469" s="722">
        <v>0</v>
      </c>
      <c r="W2469" s="722">
        <v>1.1599999999999999</v>
      </c>
      <c r="X2469" s="722">
        <v>0</v>
      </c>
      <c r="Y2469" s="722">
        <v>0</v>
      </c>
      <c r="Z2469" s="382" t="s">
        <v>774</v>
      </c>
      <c r="AA2469" s="372">
        <v>0</v>
      </c>
      <c r="AB2469" s="372">
        <v>0</v>
      </c>
      <c r="AC2469" s="372">
        <v>0</v>
      </c>
      <c r="AD2469" s="372">
        <v>0</v>
      </c>
      <c r="AE2469" s="372">
        <v>0</v>
      </c>
      <c r="AF2469" s="372">
        <v>0</v>
      </c>
      <c r="AG2469" s="372">
        <v>0</v>
      </c>
      <c r="AH2469" s="372">
        <v>0</v>
      </c>
    </row>
    <row r="2470" spans="1:34">
      <c r="A2470" s="372" t="s">
        <v>15760</v>
      </c>
      <c r="B2470" s="372" t="s">
        <v>15761</v>
      </c>
      <c r="C2470" s="372" t="s">
        <v>15762</v>
      </c>
      <c r="D2470" s="374">
        <v>1101118282602</v>
      </c>
      <c r="E2470" s="372" t="s">
        <v>15763</v>
      </c>
      <c r="F2470" s="372" t="s">
        <v>1151</v>
      </c>
      <c r="G2470" s="375" t="s">
        <v>1152</v>
      </c>
      <c r="H2470" s="375" t="s">
        <v>902</v>
      </c>
      <c r="I2470" s="375" t="s">
        <v>869</v>
      </c>
      <c r="J2470" s="375">
        <v>0</v>
      </c>
      <c r="K2470" s="375">
        <v>-39.053690000000003</v>
      </c>
      <c r="L2470" s="375">
        <v>300.00970000000001</v>
      </c>
      <c r="M2470" s="375">
        <v>11240.383970000001</v>
      </c>
      <c r="N2470" s="372" t="s">
        <v>1033</v>
      </c>
      <c r="O2470" s="703">
        <v>7.2276249161125019</v>
      </c>
      <c r="P2470" s="562" t="s">
        <v>16142</v>
      </c>
      <c r="Q2470" s="372" t="s">
        <v>623</v>
      </c>
      <c r="R2470" s="695">
        <v>20220929</v>
      </c>
      <c r="S2470" s="372" t="s">
        <v>14233</v>
      </c>
      <c r="T2470" s="696">
        <v>0.20900000000000002</v>
      </c>
      <c r="U2470" s="372">
        <v>0</v>
      </c>
      <c r="V2470" s="722">
        <v>0</v>
      </c>
      <c r="W2470" s="722">
        <v>1.1000000000000001</v>
      </c>
      <c r="X2470" s="722">
        <v>0</v>
      </c>
      <c r="Y2470" s="722">
        <v>0</v>
      </c>
      <c r="Z2470" s="382" t="s">
        <v>774</v>
      </c>
      <c r="AA2470" s="372">
        <v>0</v>
      </c>
      <c r="AB2470" s="372">
        <v>0</v>
      </c>
      <c r="AC2470" s="372">
        <v>0</v>
      </c>
      <c r="AD2470" s="372">
        <v>0</v>
      </c>
      <c r="AE2470" s="372">
        <v>0</v>
      </c>
      <c r="AF2470" s="372">
        <v>0</v>
      </c>
      <c r="AG2470" s="372">
        <v>0</v>
      </c>
      <c r="AH2470" s="372">
        <v>0</v>
      </c>
    </row>
    <row r="2471" spans="1:34">
      <c r="A2471" s="372" t="s">
        <v>15764</v>
      </c>
      <c r="B2471" s="372" t="s">
        <v>15765</v>
      </c>
      <c r="C2471" s="372" t="s">
        <v>15766</v>
      </c>
      <c r="D2471" s="374">
        <v>1101118599833</v>
      </c>
      <c r="E2471" s="372" t="s">
        <v>15767</v>
      </c>
      <c r="F2471" s="372" t="s">
        <v>1151</v>
      </c>
      <c r="G2471" s="375" t="s">
        <v>1152</v>
      </c>
      <c r="H2471" s="375" t="s">
        <v>902</v>
      </c>
      <c r="I2471" s="375" t="s">
        <v>869</v>
      </c>
      <c r="J2471" s="375">
        <v>0</v>
      </c>
      <c r="K2471" s="375">
        <v>0</v>
      </c>
      <c r="L2471" s="375">
        <v>0</v>
      </c>
      <c r="M2471" s="375">
        <v>10475.118850000001</v>
      </c>
      <c r="N2471" s="372" t="s">
        <v>1033</v>
      </c>
      <c r="O2471" s="703">
        <v>11.773936981407294</v>
      </c>
      <c r="P2471" s="562" t="s">
        <v>623</v>
      </c>
      <c r="Q2471" s="372" t="s">
        <v>623</v>
      </c>
      <c r="R2471" s="695">
        <v>20230712</v>
      </c>
      <c r="S2471" s="372" t="s">
        <v>15587</v>
      </c>
      <c r="T2471" s="696" t="s">
        <v>772</v>
      </c>
      <c r="U2471" s="372">
        <v>0</v>
      </c>
      <c r="V2471" s="722">
        <v>0</v>
      </c>
      <c r="W2471" s="722">
        <v>1.08</v>
      </c>
      <c r="X2471" s="722">
        <v>0</v>
      </c>
      <c r="Y2471" s="722">
        <v>0</v>
      </c>
      <c r="Z2471" s="382" t="s">
        <v>774</v>
      </c>
      <c r="AA2471" s="372">
        <v>0</v>
      </c>
      <c r="AB2471" s="372">
        <v>0</v>
      </c>
      <c r="AC2471" s="372">
        <v>0</v>
      </c>
      <c r="AD2471" s="372">
        <v>0</v>
      </c>
      <c r="AE2471" s="372">
        <v>0</v>
      </c>
      <c r="AF2471" s="372">
        <v>0</v>
      </c>
      <c r="AG2471" s="372">
        <v>0</v>
      </c>
      <c r="AH2471" s="372">
        <v>0</v>
      </c>
    </row>
    <row r="2472" spans="1:34">
      <c r="A2472" s="372" t="s">
        <v>15768</v>
      </c>
      <c r="B2472" s="372" t="s">
        <v>15769</v>
      </c>
      <c r="C2472" s="372" t="s">
        <v>15770</v>
      </c>
      <c r="D2472" s="374">
        <v>1101117885499</v>
      </c>
      <c r="E2472" s="372" t="s">
        <v>15771</v>
      </c>
      <c r="F2472" s="372" t="s">
        <v>1151</v>
      </c>
      <c r="G2472" s="375" t="s">
        <v>1152</v>
      </c>
      <c r="H2472" s="375" t="s">
        <v>902</v>
      </c>
      <c r="I2472" s="375" t="s">
        <v>869</v>
      </c>
      <c r="J2472" s="375">
        <v>0</v>
      </c>
      <c r="K2472" s="375">
        <v>-67.338999999999999</v>
      </c>
      <c r="L2472" s="375">
        <v>245.00232</v>
      </c>
      <c r="M2472" s="375">
        <v>9202.4973599999994</v>
      </c>
      <c r="N2472" s="372">
        <v>0.35699999999999998</v>
      </c>
      <c r="O2472" s="703">
        <v>7.450636513857531</v>
      </c>
      <c r="P2472" s="562" t="s">
        <v>16142</v>
      </c>
      <c r="Q2472" s="372" t="s">
        <v>623</v>
      </c>
      <c r="R2472" s="695">
        <v>20210913</v>
      </c>
      <c r="S2472" s="372" t="s">
        <v>10718</v>
      </c>
      <c r="T2472" s="696">
        <v>0.20900000000000002</v>
      </c>
      <c r="U2472" s="372">
        <v>0</v>
      </c>
      <c r="V2472" s="722">
        <v>0</v>
      </c>
      <c r="W2472" s="722">
        <v>1.33</v>
      </c>
      <c r="X2472" s="722">
        <v>0</v>
      </c>
      <c r="Y2472" s="722">
        <v>0</v>
      </c>
      <c r="Z2472" s="382" t="s">
        <v>774</v>
      </c>
      <c r="AA2472" s="372">
        <v>0</v>
      </c>
      <c r="AB2472" s="372">
        <v>0</v>
      </c>
      <c r="AC2472" s="372">
        <v>0</v>
      </c>
      <c r="AD2472" s="372">
        <v>0</v>
      </c>
      <c r="AE2472" s="372">
        <v>0</v>
      </c>
      <c r="AF2472" s="372">
        <v>0</v>
      </c>
      <c r="AG2472" s="372">
        <v>0</v>
      </c>
      <c r="AH2472" s="372">
        <v>0</v>
      </c>
    </row>
    <row r="2473" spans="1:34">
      <c r="A2473" s="372" t="s">
        <v>15772</v>
      </c>
      <c r="B2473" s="372" t="s">
        <v>15773</v>
      </c>
      <c r="C2473" s="372" t="s">
        <v>15774</v>
      </c>
      <c r="D2473" s="374">
        <v>1101118444707</v>
      </c>
      <c r="E2473" s="372" t="s">
        <v>15775</v>
      </c>
      <c r="F2473" s="372" t="s">
        <v>1151</v>
      </c>
      <c r="G2473" s="375" t="s">
        <v>1152</v>
      </c>
      <c r="H2473" s="375" t="s">
        <v>902</v>
      </c>
      <c r="I2473" s="375" t="s">
        <v>869</v>
      </c>
      <c r="J2473" s="375">
        <v>0</v>
      </c>
      <c r="K2473" s="375">
        <v>0</v>
      </c>
      <c r="L2473" s="375">
        <v>0</v>
      </c>
      <c r="M2473" s="375">
        <v>11042.94785</v>
      </c>
      <c r="N2473" s="372" t="s">
        <v>1033</v>
      </c>
      <c r="O2473" s="703">
        <v>7.1511548805568728</v>
      </c>
      <c r="P2473" s="562" t="s">
        <v>623</v>
      </c>
      <c r="Q2473" s="372" t="s">
        <v>623</v>
      </c>
      <c r="R2473" s="695">
        <v>20230517</v>
      </c>
      <c r="S2473" s="372" t="s">
        <v>13527</v>
      </c>
      <c r="T2473" s="696" t="s">
        <v>772</v>
      </c>
      <c r="U2473" s="372">
        <v>0</v>
      </c>
      <c r="V2473" s="722">
        <v>0</v>
      </c>
      <c r="W2473" s="722">
        <v>1.1000000000000001</v>
      </c>
      <c r="X2473" s="722">
        <v>0</v>
      </c>
      <c r="Y2473" s="722">
        <v>0</v>
      </c>
      <c r="Z2473" s="382" t="s">
        <v>774</v>
      </c>
      <c r="AA2473" s="372">
        <v>0</v>
      </c>
      <c r="AB2473" s="372">
        <v>0</v>
      </c>
      <c r="AC2473" s="372">
        <v>0</v>
      </c>
      <c r="AD2473" s="372">
        <v>0</v>
      </c>
      <c r="AE2473" s="372">
        <v>0</v>
      </c>
      <c r="AF2473" s="372">
        <v>0</v>
      </c>
      <c r="AG2473" s="372">
        <v>0</v>
      </c>
      <c r="AH2473" s="372">
        <v>0</v>
      </c>
    </row>
    <row r="2474" spans="1:34">
      <c r="A2474" s="372" t="s">
        <v>15776</v>
      </c>
      <c r="B2474" s="372" t="s">
        <v>15777</v>
      </c>
      <c r="C2474" s="372" t="s">
        <v>15778</v>
      </c>
      <c r="D2474" s="374">
        <v>1101118325329</v>
      </c>
      <c r="E2474" s="372" t="s">
        <v>15779</v>
      </c>
      <c r="F2474" s="372" t="s">
        <v>1151</v>
      </c>
      <c r="G2474" s="375" t="s">
        <v>1152</v>
      </c>
      <c r="H2474" s="375" t="s">
        <v>902</v>
      </c>
      <c r="I2474" s="375" t="s">
        <v>869</v>
      </c>
      <c r="J2474" s="375">
        <v>0</v>
      </c>
      <c r="K2474" s="375">
        <v>-45.180500000000002</v>
      </c>
      <c r="L2474" s="375">
        <v>361.51718</v>
      </c>
      <c r="M2474" s="375">
        <v>11680.85651</v>
      </c>
      <c r="N2474" s="372" t="s">
        <v>1033</v>
      </c>
      <c r="O2474" s="703">
        <v>11.995312054693628</v>
      </c>
      <c r="P2474" s="562" t="s">
        <v>623</v>
      </c>
      <c r="Q2474" s="372" t="s">
        <v>623</v>
      </c>
      <c r="R2474" s="695">
        <v>20221006</v>
      </c>
      <c r="S2474" s="372" t="s">
        <v>12564</v>
      </c>
      <c r="T2474" s="696">
        <v>0.20900000000000002</v>
      </c>
      <c r="U2474" s="372">
        <v>0</v>
      </c>
      <c r="V2474" s="722">
        <v>0</v>
      </c>
      <c r="W2474" s="722">
        <v>1.01</v>
      </c>
      <c r="X2474" s="722">
        <v>0</v>
      </c>
      <c r="Y2474" s="722">
        <v>0</v>
      </c>
      <c r="Z2474" s="382" t="s">
        <v>774</v>
      </c>
      <c r="AA2474" s="372">
        <v>0</v>
      </c>
      <c r="AB2474" s="372">
        <v>0</v>
      </c>
      <c r="AC2474" s="372">
        <v>0</v>
      </c>
      <c r="AD2474" s="372">
        <v>0</v>
      </c>
      <c r="AE2474" s="372">
        <v>0</v>
      </c>
      <c r="AF2474" s="372">
        <v>0</v>
      </c>
      <c r="AG2474" s="372">
        <v>0</v>
      </c>
      <c r="AH2474" s="372">
        <v>0</v>
      </c>
    </row>
    <row r="2475" spans="1:34">
      <c r="A2475" s="372" t="s">
        <v>15780</v>
      </c>
      <c r="B2475" s="372" t="s">
        <v>15781</v>
      </c>
      <c r="C2475" s="372" t="s">
        <v>15782</v>
      </c>
      <c r="D2475" s="374">
        <v>1101118431035</v>
      </c>
      <c r="E2475" s="372" t="s">
        <v>15783</v>
      </c>
      <c r="F2475" s="372" t="s">
        <v>1151</v>
      </c>
      <c r="G2475" s="375" t="s">
        <v>1152</v>
      </c>
      <c r="H2475" s="375" t="s">
        <v>902</v>
      </c>
      <c r="I2475" s="375" t="s">
        <v>869</v>
      </c>
      <c r="J2475" s="375">
        <v>0</v>
      </c>
      <c r="K2475" s="375">
        <v>-33.679560000000002</v>
      </c>
      <c r="L2475" s="375">
        <v>344.66807</v>
      </c>
      <c r="M2475" s="375">
        <v>10993.67742</v>
      </c>
      <c r="N2475" s="372" t="s">
        <v>1033</v>
      </c>
      <c r="O2475" s="703">
        <v>13.202683634230594</v>
      </c>
      <c r="P2475" s="562" t="s">
        <v>623</v>
      </c>
      <c r="Q2475" s="372" t="s">
        <v>623</v>
      </c>
      <c r="R2475" s="695">
        <v>20221227</v>
      </c>
      <c r="S2475" s="372" t="s">
        <v>13509</v>
      </c>
      <c r="T2475" s="696">
        <v>0.20900000000000002</v>
      </c>
      <c r="U2475" s="372">
        <v>0</v>
      </c>
      <c r="V2475" s="722">
        <v>0</v>
      </c>
      <c r="W2475" s="722">
        <v>1.02</v>
      </c>
      <c r="X2475" s="722">
        <v>0</v>
      </c>
      <c r="Y2475" s="722">
        <v>0</v>
      </c>
      <c r="Z2475" s="382" t="s">
        <v>774</v>
      </c>
      <c r="AA2475" s="372">
        <v>0</v>
      </c>
      <c r="AB2475" s="372">
        <v>0</v>
      </c>
      <c r="AC2475" s="372">
        <v>0</v>
      </c>
      <c r="AD2475" s="372">
        <v>0</v>
      </c>
      <c r="AE2475" s="372">
        <v>0</v>
      </c>
      <c r="AF2475" s="372">
        <v>0</v>
      </c>
      <c r="AG2475" s="372">
        <v>0</v>
      </c>
      <c r="AH2475" s="372">
        <v>0</v>
      </c>
    </row>
    <row r="2476" spans="1:34">
      <c r="A2476" s="372" t="s">
        <v>15784</v>
      </c>
      <c r="B2476" s="372" t="s">
        <v>15785</v>
      </c>
      <c r="C2476" s="372" t="s">
        <v>15786</v>
      </c>
      <c r="D2476" s="374">
        <v>1760110020559</v>
      </c>
      <c r="E2476" s="372" t="s">
        <v>15787</v>
      </c>
      <c r="F2476" s="372" t="s">
        <v>2858</v>
      </c>
      <c r="G2476" s="375" t="s">
        <v>8468</v>
      </c>
      <c r="H2476" s="375" t="s">
        <v>1388</v>
      </c>
      <c r="I2476" s="375" t="s">
        <v>869</v>
      </c>
      <c r="J2476" s="375">
        <v>57033.148670000002</v>
      </c>
      <c r="K2476" s="375">
        <v>-2784.9028499999999</v>
      </c>
      <c r="L2476" s="375">
        <v>-1054.7293</v>
      </c>
      <c r="M2476" s="375">
        <v>65784.940610000005</v>
      </c>
      <c r="N2476" s="372">
        <v>1.0740000000000001</v>
      </c>
      <c r="O2476" s="703">
        <v>10.93808905421688</v>
      </c>
      <c r="P2476" s="562" t="s">
        <v>16142</v>
      </c>
      <c r="Q2476" s="372" t="s">
        <v>16145</v>
      </c>
      <c r="R2476" s="695">
        <v>20160715</v>
      </c>
      <c r="S2476" s="372" t="s">
        <v>15788</v>
      </c>
      <c r="T2476" s="696" t="s">
        <v>772</v>
      </c>
      <c r="U2476" s="372" t="s">
        <v>15789</v>
      </c>
      <c r="V2476" s="722">
        <v>3.22</v>
      </c>
      <c r="W2476" s="722">
        <v>0.17</v>
      </c>
      <c r="X2476" s="722">
        <v>0.2</v>
      </c>
      <c r="Y2476" s="722" t="s">
        <v>774</v>
      </c>
      <c r="Z2476" s="382" t="s">
        <v>934</v>
      </c>
      <c r="AA2476" s="372">
        <v>477.77055990000002</v>
      </c>
      <c r="AB2476" s="372">
        <v>746.83280119999995</v>
      </c>
      <c r="AC2476" s="372">
        <v>666.12962560000005</v>
      </c>
      <c r="AD2476" s="372">
        <v>570.33148670000003</v>
      </c>
      <c r="AE2476" s="372">
        <v>0</v>
      </c>
      <c r="AF2476" s="372">
        <v>0</v>
      </c>
      <c r="AG2476" s="372">
        <v>0</v>
      </c>
      <c r="AH2476" s="372">
        <v>0</v>
      </c>
    </row>
    <row r="2477" spans="1:34">
      <c r="A2477" s="372" t="s">
        <v>15790</v>
      </c>
      <c r="B2477" s="372" t="s">
        <v>15791</v>
      </c>
      <c r="C2477" s="372" t="s">
        <v>15792</v>
      </c>
      <c r="D2477" s="374">
        <v>1101118457304</v>
      </c>
      <c r="E2477" s="372" t="s">
        <v>15793</v>
      </c>
      <c r="F2477" s="372" t="s">
        <v>1151</v>
      </c>
      <c r="G2477" s="375" t="s">
        <v>1152</v>
      </c>
      <c r="H2477" s="375" t="s">
        <v>902</v>
      </c>
      <c r="I2477" s="375" t="s">
        <v>869</v>
      </c>
      <c r="J2477" s="375">
        <v>0</v>
      </c>
      <c r="K2477" s="375">
        <v>-102.18693</v>
      </c>
      <c r="L2477" s="375">
        <v>139.36404999999999</v>
      </c>
      <c r="M2477" s="375">
        <v>10829.63103</v>
      </c>
      <c r="N2477" s="372" t="s">
        <v>1033</v>
      </c>
      <c r="O2477" s="703">
        <v>11.916441281138791</v>
      </c>
      <c r="P2477" s="562" t="s">
        <v>623</v>
      </c>
      <c r="Q2477" s="372" t="s">
        <v>623</v>
      </c>
      <c r="R2477" s="695">
        <v>20230406</v>
      </c>
      <c r="S2477" s="372" t="s">
        <v>9098</v>
      </c>
      <c r="T2477" s="696">
        <v>9.9000000000000005E-2</v>
      </c>
      <c r="U2477" s="372">
        <v>0</v>
      </c>
      <c r="V2477" s="722">
        <v>0</v>
      </c>
      <c r="W2477" s="722">
        <v>1.06</v>
      </c>
      <c r="X2477" s="722">
        <v>0</v>
      </c>
      <c r="Y2477" s="722">
        <v>0</v>
      </c>
      <c r="Z2477" s="382" t="s">
        <v>774</v>
      </c>
      <c r="AA2477" s="372">
        <v>0</v>
      </c>
      <c r="AB2477" s="372">
        <v>0</v>
      </c>
      <c r="AC2477" s="372">
        <v>0</v>
      </c>
      <c r="AD2477" s="372">
        <v>0</v>
      </c>
      <c r="AE2477" s="372">
        <v>0</v>
      </c>
      <c r="AF2477" s="372">
        <v>0</v>
      </c>
      <c r="AG2477" s="372">
        <v>0</v>
      </c>
      <c r="AH2477" s="372">
        <v>0</v>
      </c>
    </row>
    <row r="2478" spans="1:34">
      <c r="A2478" s="372" t="s">
        <v>15794</v>
      </c>
      <c r="B2478" s="372" t="s">
        <v>15795</v>
      </c>
      <c r="C2478" s="372" t="s">
        <v>15796</v>
      </c>
      <c r="D2478" s="374">
        <v>1101118289856</v>
      </c>
      <c r="E2478" s="372" t="s">
        <v>15797</v>
      </c>
      <c r="F2478" s="372" t="s">
        <v>1151</v>
      </c>
      <c r="G2478" s="375" t="s">
        <v>1152</v>
      </c>
      <c r="H2478" s="375" t="s">
        <v>902</v>
      </c>
      <c r="I2478" s="375" t="s">
        <v>869</v>
      </c>
      <c r="J2478" s="375">
        <v>0</v>
      </c>
      <c r="K2478" s="375">
        <v>-33.413679999999999</v>
      </c>
      <c r="L2478" s="375">
        <v>313.17478999999997</v>
      </c>
      <c r="M2478" s="375">
        <v>10654.32106</v>
      </c>
      <c r="N2478" s="372">
        <v>0.32700000000000001</v>
      </c>
      <c r="O2478" s="703">
        <v>13.264192054129079</v>
      </c>
      <c r="P2478" s="562" t="s">
        <v>623</v>
      </c>
      <c r="Q2478" s="372" t="s">
        <v>623</v>
      </c>
      <c r="R2478" s="695">
        <v>20220804</v>
      </c>
      <c r="S2478" s="372" t="s">
        <v>12564</v>
      </c>
      <c r="T2478" s="696">
        <v>0.20900000000000002</v>
      </c>
      <c r="U2478" s="372">
        <v>0</v>
      </c>
      <c r="V2478" s="722">
        <v>0</v>
      </c>
      <c r="W2478" s="722">
        <v>1.04</v>
      </c>
      <c r="X2478" s="722">
        <v>0</v>
      </c>
      <c r="Y2478" s="722">
        <v>0</v>
      </c>
      <c r="Z2478" s="382" t="s">
        <v>774</v>
      </c>
      <c r="AA2478" s="372">
        <v>0</v>
      </c>
      <c r="AB2478" s="372">
        <v>0</v>
      </c>
      <c r="AC2478" s="372">
        <v>0</v>
      </c>
      <c r="AD2478" s="372">
        <v>0</v>
      </c>
      <c r="AE2478" s="372">
        <v>0</v>
      </c>
      <c r="AF2478" s="372">
        <v>0</v>
      </c>
      <c r="AG2478" s="372">
        <v>0</v>
      </c>
      <c r="AH2478" s="372">
        <v>0</v>
      </c>
    </row>
    <row r="2479" spans="1:34">
      <c r="A2479" s="372" t="s">
        <v>15798</v>
      </c>
      <c r="B2479" s="372" t="s">
        <v>15799</v>
      </c>
      <c r="C2479" s="372" t="s">
        <v>15800</v>
      </c>
      <c r="D2479" s="374">
        <v>1101118620787</v>
      </c>
      <c r="E2479" s="372" t="s">
        <v>15801</v>
      </c>
      <c r="F2479" s="372" t="s">
        <v>1151</v>
      </c>
      <c r="G2479" s="375" t="s">
        <v>1152</v>
      </c>
      <c r="H2479" s="375" t="s">
        <v>902</v>
      </c>
      <c r="I2479" s="375" t="s">
        <v>869</v>
      </c>
      <c r="J2479" s="375">
        <v>0</v>
      </c>
      <c r="K2479" s="375">
        <v>0</v>
      </c>
      <c r="L2479" s="375">
        <v>0</v>
      </c>
      <c r="M2479" s="375">
        <v>10605.811159999999</v>
      </c>
      <c r="N2479" s="372" t="s">
        <v>1033</v>
      </c>
      <c r="O2479" s="703">
        <v>9.1556130607441197</v>
      </c>
      <c r="P2479" s="562" t="s">
        <v>16142</v>
      </c>
      <c r="Q2479" s="372" t="s">
        <v>623</v>
      </c>
      <c r="R2479" s="695">
        <v>20230810</v>
      </c>
      <c r="S2479" s="372" t="s">
        <v>15587</v>
      </c>
      <c r="T2479" s="696" t="s">
        <v>772</v>
      </c>
      <c r="U2479" s="372">
        <v>0</v>
      </c>
      <c r="V2479" s="722">
        <v>0</v>
      </c>
      <c r="W2479" s="722">
        <v>1.04</v>
      </c>
      <c r="X2479" s="722">
        <v>0</v>
      </c>
      <c r="Y2479" s="722">
        <v>0</v>
      </c>
      <c r="Z2479" s="382" t="s">
        <v>774</v>
      </c>
      <c r="AA2479" s="372">
        <v>0</v>
      </c>
      <c r="AB2479" s="372">
        <v>0</v>
      </c>
      <c r="AC2479" s="372">
        <v>0</v>
      </c>
      <c r="AD2479" s="372">
        <v>0</v>
      </c>
      <c r="AE2479" s="372">
        <v>0</v>
      </c>
      <c r="AF2479" s="372">
        <v>0</v>
      </c>
      <c r="AG2479" s="372">
        <v>0</v>
      </c>
      <c r="AH2479" s="372">
        <v>0</v>
      </c>
    </row>
    <row r="2480" spans="1:34">
      <c r="A2480" s="372" t="s">
        <v>15802</v>
      </c>
      <c r="B2480" s="372" t="s">
        <v>15803</v>
      </c>
      <c r="C2480" s="372" t="s">
        <v>15804</v>
      </c>
      <c r="D2480" s="374">
        <v>1101118573366</v>
      </c>
      <c r="E2480" s="372" t="s">
        <v>15805</v>
      </c>
      <c r="F2480" s="372" t="s">
        <v>1151</v>
      </c>
      <c r="G2480" s="375" t="s">
        <v>1152</v>
      </c>
      <c r="H2480" s="375" t="s">
        <v>902</v>
      </c>
      <c r="I2480" s="375" t="s">
        <v>869</v>
      </c>
      <c r="J2480" s="375">
        <v>0</v>
      </c>
      <c r="K2480" s="375">
        <v>-20.001799999999999</v>
      </c>
      <c r="L2480" s="375">
        <v>114.79980999999999</v>
      </c>
      <c r="M2480" s="375">
        <v>10010.972750000001</v>
      </c>
      <c r="N2480" s="372" t="s">
        <v>1033</v>
      </c>
      <c r="O2480" s="703">
        <v>9.683451967056854</v>
      </c>
      <c r="P2480" s="562" t="s">
        <v>623</v>
      </c>
      <c r="Q2480" s="372" t="s">
        <v>623</v>
      </c>
      <c r="R2480" s="695">
        <v>20230628</v>
      </c>
      <c r="S2480" s="372" t="s">
        <v>9098</v>
      </c>
      <c r="T2480" s="696">
        <v>9.9000000000000005E-2</v>
      </c>
      <c r="U2480" s="372">
        <v>0</v>
      </c>
      <c r="V2480" s="722">
        <v>0</v>
      </c>
      <c r="W2480" s="722">
        <v>1.1100000000000001</v>
      </c>
      <c r="X2480" s="722">
        <v>0</v>
      </c>
      <c r="Y2480" s="722">
        <v>0</v>
      </c>
      <c r="Z2480" s="382" t="s">
        <v>774</v>
      </c>
      <c r="AA2480" s="372">
        <v>0</v>
      </c>
      <c r="AB2480" s="372">
        <v>0</v>
      </c>
      <c r="AC2480" s="372">
        <v>0</v>
      </c>
      <c r="AD2480" s="372">
        <v>0</v>
      </c>
      <c r="AE2480" s="372">
        <v>0</v>
      </c>
      <c r="AF2480" s="372">
        <v>0</v>
      </c>
      <c r="AG2480" s="372">
        <v>0</v>
      </c>
      <c r="AH2480" s="372">
        <v>0</v>
      </c>
    </row>
    <row r="2481" spans="1:34">
      <c r="A2481" s="372" t="s">
        <v>15806</v>
      </c>
      <c r="B2481" s="372" t="s">
        <v>15807</v>
      </c>
      <c r="C2481" s="372" t="s">
        <v>15808</v>
      </c>
      <c r="D2481" s="374">
        <v>1101118127733</v>
      </c>
      <c r="E2481" s="372" t="s">
        <v>15809</v>
      </c>
      <c r="F2481" s="372" t="s">
        <v>1151</v>
      </c>
      <c r="G2481" s="375" t="s">
        <v>1152</v>
      </c>
      <c r="H2481" s="375" t="s">
        <v>902</v>
      </c>
      <c r="I2481" s="375" t="s">
        <v>869</v>
      </c>
      <c r="J2481" s="375">
        <v>0</v>
      </c>
      <c r="K2481" s="375">
        <v>-92.796710000000004</v>
      </c>
      <c r="L2481" s="375">
        <v>197.76652000000001</v>
      </c>
      <c r="M2481" s="375">
        <v>9948.4442099999997</v>
      </c>
      <c r="N2481" s="372">
        <v>0.375</v>
      </c>
      <c r="O2481" s="703">
        <v>6.5341080497317945</v>
      </c>
      <c r="P2481" s="562" t="s">
        <v>623</v>
      </c>
      <c r="Q2481" s="372" t="s">
        <v>623</v>
      </c>
      <c r="R2481" s="695">
        <v>20220429</v>
      </c>
      <c r="S2481" s="372" t="s">
        <v>9110</v>
      </c>
      <c r="T2481" s="696">
        <v>9.9000000000000005E-2</v>
      </c>
      <c r="U2481" s="372">
        <v>0</v>
      </c>
      <c r="V2481" s="722">
        <v>0</v>
      </c>
      <c r="W2481" s="722">
        <v>1.1200000000000001</v>
      </c>
      <c r="X2481" s="722">
        <v>0</v>
      </c>
      <c r="Y2481" s="722">
        <v>0</v>
      </c>
      <c r="Z2481" s="382" t="s">
        <v>774</v>
      </c>
      <c r="AA2481" s="372">
        <v>0</v>
      </c>
      <c r="AB2481" s="372">
        <v>0</v>
      </c>
      <c r="AC2481" s="372">
        <v>0</v>
      </c>
      <c r="AD2481" s="372">
        <v>0</v>
      </c>
      <c r="AE2481" s="372">
        <v>0</v>
      </c>
      <c r="AF2481" s="372">
        <v>0</v>
      </c>
      <c r="AG2481" s="372">
        <v>0</v>
      </c>
      <c r="AH2481" s="372">
        <v>0</v>
      </c>
    </row>
    <row r="2482" spans="1:34">
      <c r="A2482" s="372" t="s">
        <v>15810</v>
      </c>
      <c r="B2482" s="372" t="s">
        <v>15811</v>
      </c>
      <c r="C2482" s="372" t="s">
        <v>15812</v>
      </c>
      <c r="D2482" s="374">
        <v>1101118590568</v>
      </c>
      <c r="E2482" s="372" t="s">
        <v>15813</v>
      </c>
      <c r="F2482" s="372" t="s">
        <v>1151</v>
      </c>
      <c r="G2482" s="375" t="s">
        <v>1152</v>
      </c>
      <c r="H2482" s="375" t="s">
        <v>902</v>
      </c>
      <c r="I2482" s="375" t="s">
        <v>869</v>
      </c>
      <c r="J2482" s="375">
        <v>0</v>
      </c>
      <c r="K2482" s="375">
        <v>0</v>
      </c>
      <c r="L2482" s="375">
        <v>0</v>
      </c>
      <c r="M2482" s="375">
        <v>9061.06322</v>
      </c>
      <c r="N2482" s="372" t="s">
        <v>1033</v>
      </c>
      <c r="O2482" s="703">
        <v>7.330453467030754</v>
      </c>
      <c r="P2482" s="562" t="s">
        <v>623</v>
      </c>
      <c r="Q2482" s="372" t="s">
        <v>623</v>
      </c>
      <c r="R2482" s="695">
        <v>20230721</v>
      </c>
      <c r="S2482" s="372" t="s">
        <v>12564</v>
      </c>
      <c r="T2482" s="696" t="s">
        <v>772</v>
      </c>
      <c r="U2482" s="372">
        <v>0</v>
      </c>
      <c r="V2482" s="722">
        <v>0</v>
      </c>
      <c r="W2482" s="722">
        <v>1.1599999999999999</v>
      </c>
      <c r="X2482" s="722">
        <v>0</v>
      </c>
      <c r="Y2482" s="722">
        <v>0</v>
      </c>
      <c r="Z2482" s="382" t="s">
        <v>774</v>
      </c>
      <c r="AA2482" s="372">
        <v>0</v>
      </c>
      <c r="AB2482" s="372">
        <v>0</v>
      </c>
      <c r="AC2482" s="372">
        <v>0</v>
      </c>
      <c r="AD2482" s="372">
        <v>0</v>
      </c>
      <c r="AE2482" s="372">
        <v>0</v>
      </c>
      <c r="AF2482" s="372">
        <v>0</v>
      </c>
      <c r="AG2482" s="372">
        <v>0</v>
      </c>
      <c r="AH2482" s="372">
        <v>0</v>
      </c>
    </row>
    <row r="2483" spans="1:34">
      <c r="A2483" s="372" t="s">
        <v>15814</v>
      </c>
      <c r="B2483" s="372" t="s">
        <v>15815</v>
      </c>
      <c r="C2483" s="372" t="s">
        <v>15816</v>
      </c>
      <c r="D2483" s="374">
        <v>1101118009072</v>
      </c>
      <c r="E2483" s="372" t="s">
        <v>15817</v>
      </c>
      <c r="F2483" s="372" t="s">
        <v>1151</v>
      </c>
      <c r="G2483" s="375" t="s">
        <v>1152</v>
      </c>
      <c r="H2483" s="375" t="s">
        <v>902</v>
      </c>
      <c r="I2483" s="375" t="s">
        <v>869</v>
      </c>
      <c r="J2483" s="375">
        <v>0</v>
      </c>
      <c r="K2483" s="375">
        <v>-32.410310000000003</v>
      </c>
      <c r="L2483" s="375">
        <v>344.02864</v>
      </c>
      <c r="M2483" s="375">
        <v>10558.025820000001</v>
      </c>
      <c r="N2483" s="372">
        <v>0.33200000000000002</v>
      </c>
      <c r="O2483" s="703">
        <v>14.866523998205741</v>
      </c>
      <c r="P2483" s="562" t="s">
        <v>623</v>
      </c>
      <c r="Q2483" s="372" t="s">
        <v>623</v>
      </c>
      <c r="R2483" s="695">
        <v>20211220</v>
      </c>
      <c r="S2483" s="372" t="s">
        <v>9098</v>
      </c>
      <c r="T2483" s="696">
        <v>0.20900000000000002</v>
      </c>
      <c r="U2483" s="372">
        <v>0</v>
      </c>
      <c r="V2483" s="722">
        <v>0</v>
      </c>
      <c r="W2483" s="722">
        <v>1.02</v>
      </c>
      <c r="X2483" s="722">
        <v>0</v>
      </c>
      <c r="Y2483" s="722">
        <v>0</v>
      </c>
      <c r="Z2483" s="382" t="s">
        <v>774</v>
      </c>
      <c r="AA2483" s="372">
        <v>0</v>
      </c>
      <c r="AB2483" s="372">
        <v>0</v>
      </c>
      <c r="AC2483" s="372">
        <v>0</v>
      </c>
      <c r="AD2483" s="372">
        <v>0</v>
      </c>
      <c r="AE2483" s="372">
        <v>0</v>
      </c>
      <c r="AF2483" s="372">
        <v>0</v>
      </c>
      <c r="AG2483" s="372">
        <v>0</v>
      </c>
      <c r="AH2483" s="372">
        <v>0</v>
      </c>
    </row>
    <row r="2484" spans="1:34">
      <c r="A2484" s="372" t="s">
        <v>15818</v>
      </c>
      <c r="B2484" s="372" t="s">
        <v>15819</v>
      </c>
      <c r="C2484" s="372" t="s">
        <v>15820</v>
      </c>
      <c r="D2484" s="374">
        <v>1101118421317</v>
      </c>
      <c r="E2484" s="372" t="s">
        <v>15821</v>
      </c>
      <c r="F2484" s="372" t="s">
        <v>1151</v>
      </c>
      <c r="G2484" s="375" t="s">
        <v>1152</v>
      </c>
      <c r="H2484" s="375" t="s">
        <v>902</v>
      </c>
      <c r="I2484" s="375" t="s">
        <v>869</v>
      </c>
      <c r="J2484" s="375">
        <v>0</v>
      </c>
      <c r="K2484" s="375">
        <v>-48.54325</v>
      </c>
      <c r="L2484" s="375">
        <v>67.314350000000005</v>
      </c>
      <c r="M2484" s="375">
        <v>10419.96989</v>
      </c>
      <c r="N2484" s="372" t="s">
        <v>1033</v>
      </c>
      <c r="O2484" s="703">
        <v>13.109246590210196</v>
      </c>
      <c r="P2484" s="562" t="s">
        <v>623</v>
      </c>
      <c r="Q2484" s="372" t="s">
        <v>623</v>
      </c>
      <c r="R2484" s="695">
        <v>20230901</v>
      </c>
      <c r="S2484" s="372" t="s">
        <v>5525</v>
      </c>
      <c r="T2484" s="696">
        <v>9.9000000000000005E-2</v>
      </c>
      <c r="U2484" s="372">
        <v>0</v>
      </c>
      <c r="V2484" s="722">
        <v>0</v>
      </c>
      <c r="W2484" s="722">
        <v>1.01</v>
      </c>
      <c r="X2484" s="722">
        <v>0</v>
      </c>
      <c r="Y2484" s="722">
        <v>0</v>
      </c>
      <c r="Z2484" s="382" t="s">
        <v>774</v>
      </c>
      <c r="AA2484" s="372">
        <v>0</v>
      </c>
      <c r="AB2484" s="372">
        <v>0</v>
      </c>
      <c r="AC2484" s="372">
        <v>0</v>
      </c>
      <c r="AD2484" s="372">
        <v>0</v>
      </c>
      <c r="AE2484" s="372">
        <v>0</v>
      </c>
      <c r="AF2484" s="372">
        <v>0</v>
      </c>
      <c r="AG2484" s="372">
        <v>0</v>
      </c>
      <c r="AH2484" s="372">
        <v>0</v>
      </c>
    </row>
    <row r="2485" spans="1:34">
      <c r="A2485" s="372" t="s">
        <v>15822</v>
      </c>
      <c r="B2485" s="372" t="s">
        <v>15823</v>
      </c>
      <c r="C2485" s="372" t="s">
        <v>15824</v>
      </c>
      <c r="D2485" s="374">
        <v>1101118048781</v>
      </c>
      <c r="E2485" s="372" t="s">
        <v>15825</v>
      </c>
      <c r="F2485" s="372" t="s">
        <v>1151</v>
      </c>
      <c r="G2485" s="375" t="s">
        <v>1152</v>
      </c>
      <c r="H2485" s="375" t="s">
        <v>902</v>
      </c>
      <c r="I2485" s="375" t="s">
        <v>869</v>
      </c>
      <c r="J2485" s="375">
        <v>0</v>
      </c>
      <c r="K2485" s="375">
        <v>-44.441000000000003</v>
      </c>
      <c r="L2485" s="375">
        <v>173.33566999999999</v>
      </c>
      <c r="M2485" s="375">
        <v>8676.4381799999992</v>
      </c>
      <c r="N2485" s="372">
        <v>0.39700000000000002</v>
      </c>
      <c r="O2485" s="703">
        <v>6.5608784137943505</v>
      </c>
      <c r="P2485" s="562" t="s">
        <v>623</v>
      </c>
      <c r="Q2485" s="372" t="s">
        <v>623</v>
      </c>
      <c r="R2485" s="695">
        <v>20220427</v>
      </c>
      <c r="S2485" s="372" t="s">
        <v>15826</v>
      </c>
      <c r="T2485" s="696">
        <v>9.9000000000000005E-2</v>
      </c>
      <c r="U2485" s="372">
        <v>0</v>
      </c>
      <c r="V2485" s="722">
        <v>0</v>
      </c>
      <c r="W2485" s="722">
        <v>1.25</v>
      </c>
      <c r="X2485" s="722">
        <v>0</v>
      </c>
      <c r="Y2485" s="722">
        <v>0</v>
      </c>
      <c r="Z2485" s="382" t="s">
        <v>774</v>
      </c>
      <c r="AA2485" s="372">
        <v>0</v>
      </c>
      <c r="AB2485" s="372">
        <v>0</v>
      </c>
      <c r="AC2485" s="372">
        <v>0</v>
      </c>
      <c r="AD2485" s="372">
        <v>0</v>
      </c>
      <c r="AE2485" s="372">
        <v>0</v>
      </c>
      <c r="AF2485" s="372">
        <v>0</v>
      </c>
      <c r="AG2485" s="372">
        <v>0</v>
      </c>
      <c r="AH2485" s="372">
        <v>0</v>
      </c>
    </row>
    <row r="2486" spans="1:34">
      <c r="A2486" s="372" t="s">
        <v>15827</v>
      </c>
      <c r="B2486" s="372" t="s">
        <v>15828</v>
      </c>
      <c r="C2486" s="372" t="s">
        <v>15829</v>
      </c>
      <c r="D2486" s="374">
        <v>1101118370168</v>
      </c>
      <c r="E2486" s="372" t="s">
        <v>15830</v>
      </c>
      <c r="F2486" s="372" t="s">
        <v>1151</v>
      </c>
      <c r="G2486" s="375" t="s">
        <v>1152</v>
      </c>
      <c r="H2486" s="375" t="s">
        <v>902</v>
      </c>
      <c r="I2486" s="375" t="s">
        <v>869</v>
      </c>
      <c r="J2486" s="375">
        <v>0</v>
      </c>
      <c r="K2486" s="375">
        <v>-59.03445</v>
      </c>
      <c r="L2486" s="375">
        <v>203.61239</v>
      </c>
      <c r="M2486" s="375">
        <v>8585.8276600000008</v>
      </c>
      <c r="N2486" s="372" t="s">
        <v>1033</v>
      </c>
      <c r="O2486" s="703">
        <v>13.071736901742836</v>
      </c>
      <c r="P2486" s="562" t="s">
        <v>623</v>
      </c>
      <c r="Q2486" s="372" t="s">
        <v>623</v>
      </c>
      <c r="R2486" s="695">
        <v>20221028</v>
      </c>
      <c r="S2486" s="372" t="s">
        <v>9110</v>
      </c>
      <c r="T2486" s="696">
        <v>0.20900000000000002</v>
      </c>
      <c r="U2486" s="372" t="s">
        <v>15831</v>
      </c>
      <c r="V2486" s="722">
        <v>0</v>
      </c>
      <c r="W2486" s="722">
        <v>1.18</v>
      </c>
      <c r="X2486" s="722">
        <v>0</v>
      </c>
      <c r="Y2486" s="722">
        <v>0</v>
      </c>
      <c r="Z2486" s="382" t="s">
        <v>774</v>
      </c>
      <c r="AA2486" s="372">
        <v>0</v>
      </c>
      <c r="AB2486" s="372">
        <v>0</v>
      </c>
      <c r="AC2486" s="372">
        <v>0</v>
      </c>
      <c r="AD2486" s="372">
        <v>0</v>
      </c>
      <c r="AE2486" s="372">
        <v>0</v>
      </c>
      <c r="AF2486" s="372">
        <v>0</v>
      </c>
      <c r="AG2486" s="372">
        <v>0</v>
      </c>
      <c r="AH2486" s="372">
        <v>0</v>
      </c>
    </row>
    <row r="2487" spans="1:34">
      <c r="A2487" s="372" t="s">
        <v>15832</v>
      </c>
      <c r="B2487" s="372" t="s">
        <v>15833</v>
      </c>
      <c r="C2487" s="372" t="s">
        <v>15834</v>
      </c>
      <c r="D2487" s="374">
        <v>1101118349676</v>
      </c>
      <c r="E2487" s="372" t="s">
        <v>15835</v>
      </c>
      <c r="F2487" s="372" t="s">
        <v>1151</v>
      </c>
      <c r="G2487" s="375" t="s">
        <v>1152</v>
      </c>
      <c r="H2487" s="375" t="s">
        <v>902</v>
      </c>
      <c r="I2487" s="375" t="s">
        <v>869</v>
      </c>
      <c r="J2487" s="375">
        <v>0</v>
      </c>
      <c r="K2487" s="375">
        <v>-54.172730000000001</v>
      </c>
      <c r="L2487" s="375">
        <v>306.20276999999999</v>
      </c>
      <c r="M2487" s="375">
        <v>9569.2084300000006</v>
      </c>
      <c r="N2487" s="372" t="s">
        <v>1033</v>
      </c>
      <c r="O2487" s="703">
        <v>5.3374786086266619</v>
      </c>
      <c r="P2487" s="562" t="s">
        <v>623</v>
      </c>
      <c r="Q2487" s="372" t="s">
        <v>623</v>
      </c>
      <c r="R2487" s="695">
        <v>20221020</v>
      </c>
      <c r="S2487" s="372" t="s">
        <v>9098</v>
      </c>
      <c r="T2487" s="696">
        <v>0.20900000000000002</v>
      </c>
      <c r="U2487" s="372">
        <v>0</v>
      </c>
      <c r="V2487" s="722">
        <v>0</v>
      </c>
      <c r="W2487" s="722">
        <v>1.1100000000000001</v>
      </c>
      <c r="X2487" s="722">
        <v>0</v>
      </c>
      <c r="Y2487" s="722">
        <v>0</v>
      </c>
      <c r="Z2487" s="382" t="s">
        <v>774</v>
      </c>
      <c r="AA2487" s="372">
        <v>0</v>
      </c>
      <c r="AB2487" s="372">
        <v>0</v>
      </c>
      <c r="AC2487" s="372">
        <v>0</v>
      </c>
      <c r="AD2487" s="372">
        <v>0</v>
      </c>
      <c r="AE2487" s="372">
        <v>0</v>
      </c>
      <c r="AF2487" s="372">
        <v>0</v>
      </c>
      <c r="AG2487" s="372">
        <v>0</v>
      </c>
      <c r="AH2487" s="372">
        <v>0</v>
      </c>
    </row>
    <row r="2488" spans="1:34">
      <c r="A2488" s="372" t="s">
        <v>15836</v>
      </c>
      <c r="B2488" s="372" t="s">
        <v>15837</v>
      </c>
      <c r="C2488" s="372" t="s">
        <v>15838</v>
      </c>
      <c r="D2488" s="374">
        <v>1101118465331</v>
      </c>
      <c r="E2488" s="372" t="s">
        <v>15839</v>
      </c>
      <c r="F2488" s="372" t="s">
        <v>1151</v>
      </c>
      <c r="G2488" s="375" t="s">
        <v>1152</v>
      </c>
      <c r="H2488" s="375" t="s">
        <v>902</v>
      </c>
      <c r="I2488" s="375" t="s">
        <v>869</v>
      </c>
      <c r="J2488" s="375">
        <v>0</v>
      </c>
      <c r="K2488" s="375">
        <v>-53.859400000000001</v>
      </c>
      <c r="L2488" s="375">
        <v>92.807990000000004</v>
      </c>
      <c r="M2488" s="375">
        <v>9838.6593699999994</v>
      </c>
      <c r="N2488" s="372" t="s">
        <v>1033</v>
      </c>
      <c r="O2488" s="703">
        <v>18.702789271196284</v>
      </c>
      <c r="P2488" s="562" t="s">
        <v>623</v>
      </c>
      <c r="Q2488" s="372" t="s">
        <v>623</v>
      </c>
      <c r="R2488" s="695">
        <v>20230407</v>
      </c>
      <c r="S2488" s="372" t="s">
        <v>15840</v>
      </c>
      <c r="T2488" s="696">
        <v>9.9000000000000005E-2</v>
      </c>
      <c r="U2488" s="372">
        <v>0</v>
      </c>
      <c r="V2488" s="722">
        <v>0</v>
      </c>
      <c r="W2488" s="722">
        <v>1.05</v>
      </c>
      <c r="X2488" s="722">
        <v>0</v>
      </c>
      <c r="Y2488" s="722">
        <v>0</v>
      </c>
      <c r="Z2488" s="382" t="s">
        <v>774</v>
      </c>
      <c r="AA2488" s="372">
        <v>0</v>
      </c>
      <c r="AB2488" s="372">
        <v>0</v>
      </c>
      <c r="AC2488" s="372">
        <v>0</v>
      </c>
      <c r="AD2488" s="372">
        <v>0</v>
      </c>
      <c r="AE2488" s="372">
        <v>0</v>
      </c>
      <c r="AF2488" s="372">
        <v>0</v>
      </c>
      <c r="AG2488" s="372">
        <v>0</v>
      </c>
      <c r="AH2488" s="372">
        <v>0</v>
      </c>
    </row>
    <row r="2489" spans="1:34">
      <c r="A2489" s="372" t="s">
        <v>15841</v>
      </c>
      <c r="B2489" s="372" t="s">
        <v>15842</v>
      </c>
      <c r="C2489" s="372" t="s">
        <v>16229</v>
      </c>
      <c r="D2489" s="374">
        <v>1341110069357</v>
      </c>
      <c r="E2489" s="372" t="s">
        <v>15843</v>
      </c>
      <c r="F2489" s="372" t="s">
        <v>622</v>
      </c>
      <c r="G2489" s="375" t="s">
        <v>622</v>
      </c>
      <c r="H2489" s="375" t="s">
        <v>1388</v>
      </c>
      <c r="I2489" s="375" t="s">
        <v>4455</v>
      </c>
      <c r="J2489" s="375">
        <v>0</v>
      </c>
      <c r="K2489" s="375">
        <v>0</v>
      </c>
      <c r="L2489" s="375">
        <v>0</v>
      </c>
      <c r="M2489" s="375">
        <v>0</v>
      </c>
      <c r="N2489" s="372" t="s">
        <v>1033</v>
      </c>
      <c r="O2489" s="703">
        <v>0</v>
      </c>
      <c r="P2489" s="562" t="s">
        <v>16142</v>
      </c>
      <c r="Q2489" s="372" t="s">
        <v>16145</v>
      </c>
      <c r="R2489" s="695">
        <v>20050805</v>
      </c>
      <c r="S2489" s="372" t="e">
        <v>#N/A</v>
      </c>
      <c r="T2489" s="696" t="s">
        <v>772</v>
      </c>
      <c r="U2489" s="372" t="s">
        <v>15844</v>
      </c>
      <c r="V2489" s="722">
        <v>0</v>
      </c>
      <c r="W2489" s="722">
        <v>0</v>
      </c>
      <c r="X2489" s="722">
        <v>0</v>
      </c>
      <c r="Y2489" s="722">
        <v>0</v>
      </c>
      <c r="Z2489" s="382" t="s">
        <v>774</v>
      </c>
      <c r="AA2489" s="372">
        <v>81.951013700000004</v>
      </c>
      <c r="AB2489" s="372">
        <v>0</v>
      </c>
      <c r="AC2489" s="372">
        <v>0</v>
      </c>
      <c r="AD2489" s="372">
        <v>0</v>
      </c>
      <c r="AE2489" s="372">
        <v>0</v>
      </c>
      <c r="AF2489" s="372">
        <v>0</v>
      </c>
      <c r="AG2489" s="372">
        <v>0</v>
      </c>
      <c r="AH2489" s="372">
        <v>0</v>
      </c>
    </row>
    <row r="2490" spans="1:34">
      <c r="A2490" s="372" t="s">
        <v>15845</v>
      </c>
      <c r="B2490" s="372" t="s">
        <v>15846</v>
      </c>
      <c r="C2490" s="372" t="s">
        <v>15847</v>
      </c>
      <c r="D2490" s="374">
        <v>1101118431803</v>
      </c>
      <c r="E2490" s="372" t="s">
        <v>15848</v>
      </c>
      <c r="F2490" s="372" t="s">
        <v>1151</v>
      </c>
      <c r="G2490" s="375" t="s">
        <v>1152</v>
      </c>
      <c r="H2490" s="375" t="s">
        <v>902</v>
      </c>
      <c r="I2490" s="375" t="s">
        <v>869</v>
      </c>
      <c r="J2490" s="375">
        <v>0</v>
      </c>
      <c r="K2490" s="375">
        <v>-34.288229999999999</v>
      </c>
      <c r="L2490" s="375">
        <v>248.82794000000001</v>
      </c>
      <c r="M2490" s="375">
        <v>10063.064200000001</v>
      </c>
      <c r="N2490" s="372" t="s">
        <v>1033</v>
      </c>
      <c r="O2490" s="703">
        <v>18.080366305423254</v>
      </c>
      <c r="P2490" s="562" t="s">
        <v>623</v>
      </c>
      <c r="Q2490" s="372" t="s">
        <v>623</v>
      </c>
      <c r="R2490" s="695">
        <v>20230224</v>
      </c>
      <c r="S2490" s="372" t="s">
        <v>9098</v>
      </c>
      <c r="T2490" s="696">
        <v>0.20900000000000002</v>
      </c>
      <c r="U2490" s="372">
        <v>0</v>
      </c>
      <c r="V2490" s="722">
        <v>0</v>
      </c>
      <c r="W2490" s="722">
        <v>1.04</v>
      </c>
      <c r="X2490" s="722">
        <v>0</v>
      </c>
      <c r="Y2490" s="722">
        <v>0</v>
      </c>
      <c r="Z2490" s="382" t="s">
        <v>774</v>
      </c>
      <c r="AA2490" s="372">
        <v>0</v>
      </c>
      <c r="AB2490" s="372">
        <v>0</v>
      </c>
      <c r="AC2490" s="372">
        <v>0</v>
      </c>
      <c r="AD2490" s="372">
        <v>0</v>
      </c>
      <c r="AE2490" s="372">
        <v>0</v>
      </c>
      <c r="AF2490" s="372">
        <v>0</v>
      </c>
      <c r="AG2490" s="372">
        <v>0</v>
      </c>
      <c r="AH2490" s="372">
        <v>0</v>
      </c>
    </row>
    <row r="2491" spans="1:34">
      <c r="A2491" s="372" t="s">
        <v>15849</v>
      </c>
      <c r="B2491" s="372" t="s">
        <v>15850</v>
      </c>
      <c r="C2491" s="372" t="s">
        <v>15851</v>
      </c>
      <c r="D2491" s="374">
        <v>1101118481410</v>
      </c>
      <c r="E2491" s="372" t="s">
        <v>15852</v>
      </c>
      <c r="F2491" s="372" t="s">
        <v>1151</v>
      </c>
      <c r="G2491" s="375" t="s">
        <v>1152</v>
      </c>
      <c r="H2491" s="375" t="s">
        <v>902</v>
      </c>
      <c r="I2491" s="375" t="s">
        <v>869</v>
      </c>
      <c r="J2491" s="375">
        <v>0</v>
      </c>
      <c r="K2491" s="375">
        <v>-33.693269999999998</v>
      </c>
      <c r="L2491" s="375">
        <v>71.036429999999996</v>
      </c>
      <c r="M2491" s="375">
        <v>9434.1175700000003</v>
      </c>
      <c r="N2491" s="372" t="s">
        <v>1033</v>
      </c>
      <c r="O2491" s="703">
        <v>8.5070374380306575</v>
      </c>
      <c r="P2491" s="562" t="s">
        <v>623</v>
      </c>
      <c r="Q2491" s="372" t="s">
        <v>623</v>
      </c>
      <c r="R2491" s="695">
        <v>20230622</v>
      </c>
      <c r="S2491" s="372" t="s">
        <v>9098</v>
      </c>
      <c r="T2491" s="696">
        <v>9.9000000000000005E-2</v>
      </c>
      <c r="U2491" s="372">
        <v>0</v>
      </c>
      <c r="V2491" s="722">
        <v>0</v>
      </c>
      <c r="W2491" s="722">
        <v>1.1000000000000001</v>
      </c>
      <c r="X2491" s="722">
        <v>0</v>
      </c>
      <c r="Y2491" s="722">
        <v>0</v>
      </c>
      <c r="Z2491" s="382" t="s">
        <v>774</v>
      </c>
      <c r="AA2491" s="372">
        <v>0</v>
      </c>
      <c r="AB2491" s="372">
        <v>0</v>
      </c>
      <c r="AC2491" s="372">
        <v>0</v>
      </c>
      <c r="AD2491" s="372">
        <v>0</v>
      </c>
      <c r="AE2491" s="372">
        <v>0</v>
      </c>
      <c r="AF2491" s="372">
        <v>0</v>
      </c>
      <c r="AG2491" s="372">
        <v>0</v>
      </c>
      <c r="AH2491" s="372">
        <v>0</v>
      </c>
    </row>
    <row r="2492" spans="1:34">
      <c r="A2492" s="372" t="s">
        <v>15853</v>
      </c>
      <c r="B2492" s="372" t="s">
        <v>15854</v>
      </c>
      <c r="C2492" s="372" t="s">
        <v>15855</v>
      </c>
      <c r="D2492" s="374">
        <v>1101118582664</v>
      </c>
      <c r="E2492" s="372" t="s">
        <v>15856</v>
      </c>
      <c r="F2492" s="372" t="s">
        <v>1151</v>
      </c>
      <c r="G2492" s="375" t="s">
        <v>1152</v>
      </c>
      <c r="H2492" s="375" t="s">
        <v>902</v>
      </c>
      <c r="I2492" s="375" t="s">
        <v>869</v>
      </c>
      <c r="J2492" s="375">
        <v>0</v>
      </c>
      <c r="K2492" s="375">
        <v>0</v>
      </c>
      <c r="L2492" s="375">
        <v>0</v>
      </c>
      <c r="M2492" s="375">
        <v>10010.427439999999</v>
      </c>
      <c r="N2492" s="372" t="s">
        <v>1033</v>
      </c>
      <c r="O2492" s="703">
        <v>16.593273413106647</v>
      </c>
      <c r="P2492" s="562" t="s">
        <v>623</v>
      </c>
      <c r="Q2492" s="372" t="s">
        <v>623</v>
      </c>
      <c r="R2492" s="695">
        <v>20230907</v>
      </c>
      <c r="S2492" s="372" t="s">
        <v>772</v>
      </c>
      <c r="T2492" s="696" t="s">
        <v>772</v>
      </c>
      <c r="U2492" s="372" t="s">
        <v>15857</v>
      </c>
      <c r="V2492" s="722">
        <v>0</v>
      </c>
      <c r="W2492" s="722">
        <v>1.01</v>
      </c>
      <c r="X2492" s="722">
        <v>0</v>
      </c>
      <c r="Y2492" s="722">
        <v>0</v>
      </c>
      <c r="Z2492" s="382" t="s">
        <v>774</v>
      </c>
      <c r="AA2492" s="372">
        <v>0</v>
      </c>
      <c r="AB2492" s="372">
        <v>0</v>
      </c>
      <c r="AC2492" s="372">
        <v>0</v>
      </c>
      <c r="AD2492" s="372">
        <v>0</v>
      </c>
      <c r="AE2492" s="372">
        <v>0</v>
      </c>
      <c r="AF2492" s="372">
        <v>0</v>
      </c>
      <c r="AG2492" s="372">
        <v>0</v>
      </c>
      <c r="AH2492" s="372">
        <v>0</v>
      </c>
    </row>
    <row r="2493" spans="1:34">
      <c r="A2493" s="372" t="s">
        <v>15858</v>
      </c>
      <c r="B2493" s="372" t="s">
        <v>15859</v>
      </c>
      <c r="C2493" s="372" t="s">
        <v>15860</v>
      </c>
      <c r="D2493" s="374">
        <v>1101118462379</v>
      </c>
      <c r="E2493" s="372" t="s">
        <v>15861</v>
      </c>
      <c r="F2493" s="372" t="s">
        <v>1151</v>
      </c>
      <c r="G2493" s="375" t="s">
        <v>1152</v>
      </c>
      <c r="H2493" s="375" t="s">
        <v>902</v>
      </c>
      <c r="I2493" s="375" t="s">
        <v>869</v>
      </c>
      <c r="J2493" s="375">
        <v>0</v>
      </c>
      <c r="K2493" s="375">
        <v>-44.9392</v>
      </c>
      <c r="L2493" s="375">
        <v>91.36645</v>
      </c>
      <c r="M2493" s="375">
        <v>8673.7968500000006</v>
      </c>
      <c r="N2493" s="372" t="s">
        <v>1033</v>
      </c>
      <c r="O2493" s="703">
        <v>11.590463905652555</v>
      </c>
      <c r="P2493" s="562" t="s">
        <v>623</v>
      </c>
      <c r="Q2493" s="372" t="s">
        <v>623</v>
      </c>
      <c r="R2493" s="695">
        <v>20230406</v>
      </c>
      <c r="S2493" s="372" t="s">
        <v>9110</v>
      </c>
      <c r="T2493" s="696">
        <v>9.9000000000000005E-2</v>
      </c>
      <c r="U2493" s="372">
        <v>0</v>
      </c>
      <c r="V2493" s="722">
        <v>0</v>
      </c>
      <c r="W2493" s="722">
        <v>1.1299999999999999</v>
      </c>
      <c r="X2493" s="722">
        <v>0</v>
      </c>
      <c r="Y2493" s="722">
        <v>0</v>
      </c>
      <c r="Z2493" s="382" t="s">
        <v>774</v>
      </c>
      <c r="AA2493" s="372">
        <v>0</v>
      </c>
      <c r="AB2493" s="372">
        <v>0</v>
      </c>
      <c r="AC2493" s="372">
        <v>0</v>
      </c>
      <c r="AD2493" s="372">
        <v>0</v>
      </c>
      <c r="AE2493" s="372">
        <v>0</v>
      </c>
      <c r="AF2493" s="372">
        <v>0</v>
      </c>
      <c r="AG2493" s="372">
        <v>0</v>
      </c>
      <c r="AH2493" s="372">
        <v>0</v>
      </c>
    </row>
    <row r="2494" spans="1:34">
      <c r="A2494" s="372" t="s">
        <v>15862</v>
      </c>
      <c r="B2494" s="372" t="s">
        <v>15863</v>
      </c>
      <c r="C2494" s="372" t="s">
        <v>15864</v>
      </c>
      <c r="D2494" s="374">
        <v>1101118542791</v>
      </c>
      <c r="E2494" s="372" t="s">
        <v>15865</v>
      </c>
      <c r="F2494" s="372" t="s">
        <v>1151</v>
      </c>
      <c r="G2494" s="375" t="s">
        <v>1152</v>
      </c>
      <c r="H2494" s="375" t="s">
        <v>902</v>
      </c>
      <c r="I2494" s="375" t="s">
        <v>869</v>
      </c>
      <c r="J2494" s="375">
        <v>0</v>
      </c>
      <c r="K2494" s="375">
        <v>0</v>
      </c>
      <c r="L2494" s="375">
        <v>0</v>
      </c>
      <c r="M2494" s="375">
        <v>9820.4838899999995</v>
      </c>
      <c r="N2494" s="372" t="s">
        <v>1033</v>
      </c>
      <c r="O2494" s="703">
        <v>10.859442514614928</v>
      </c>
      <c r="P2494" s="562" t="s">
        <v>623</v>
      </c>
      <c r="Q2494" s="372" t="s">
        <v>623</v>
      </c>
      <c r="R2494" s="695">
        <v>20230914</v>
      </c>
      <c r="S2494" s="372" t="s">
        <v>10718</v>
      </c>
      <c r="T2494" s="696" t="s">
        <v>772</v>
      </c>
      <c r="U2494" s="372">
        <v>0</v>
      </c>
      <c r="V2494" s="722">
        <v>0</v>
      </c>
      <c r="W2494" s="722">
        <v>1.04</v>
      </c>
      <c r="X2494" s="722">
        <v>0</v>
      </c>
      <c r="Y2494" s="722">
        <v>0</v>
      </c>
      <c r="Z2494" s="382" t="s">
        <v>774</v>
      </c>
      <c r="AA2494" s="372">
        <v>0</v>
      </c>
      <c r="AB2494" s="372">
        <v>0</v>
      </c>
      <c r="AC2494" s="372">
        <v>0</v>
      </c>
      <c r="AD2494" s="372">
        <v>0</v>
      </c>
      <c r="AE2494" s="372">
        <v>0</v>
      </c>
      <c r="AF2494" s="372">
        <v>0</v>
      </c>
      <c r="AG2494" s="372">
        <v>0</v>
      </c>
      <c r="AH2494" s="372">
        <v>0</v>
      </c>
    </row>
    <row r="2495" spans="1:34">
      <c r="A2495" s="372" t="s">
        <v>15866</v>
      </c>
      <c r="B2495" s="372" t="s">
        <v>15867</v>
      </c>
      <c r="C2495" s="372" t="s">
        <v>15868</v>
      </c>
      <c r="D2495" s="374">
        <v>1101118406509</v>
      </c>
      <c r="E2495" s="372" t="s">
        <v>15869</v>
      </c>
      <c r="F2495" s="372" t="s">
        <v>1151</v>
      </c>
      <c r="G2495" s="375" t="s">
        <v>1152</v>
      </c>
      <c r="H2495" s="375" t="s">
        <v>902</v>
      </c>
      <c r="I2495" s="375" t="s">
        <v>869</v>
      </c>
      <c r="J2495" s="375">
        <v>0</v>
      </c>
      <c r="K2495" s="375">
        <v>-37.811</v>
      </c>
      <c r="L2495" s="375">
        <v>268.61858000000001</v>
      </c>
      <c r="M2495" s="375">
        <v>8547.4198799999995</v>
      </c>
      <c r="N2495" s="372" t="s">
        <v>1033</v>
      </c>
      <c r="O2495" s="703">
        <v>13.883394515223493</v>
      </c>
      <c r="P2495" s="562" t="s">
        <v>623</v>
      </c>
      <c r="Q2495" s="372" t="s">
        <v>623</v>
      </c>
      <c r="R2495" s="695">
        <v>20221216</v>
      </c>
      <c r="S2495" s="372" t="s">
        <v>9110</v>
      </c>
      <c r="T2495" s="696">
        <v>0.20900000000000002</v>
      </c>
      <c r="U2495" s="372" t="s">
        <v>15831</v>
      </c>
      <c r="V2495" s="722">
        <v>0</v>
      </c>
      <c r="W2495" s="722">
        <v>1.1000000000000001</v>
      </c>
      <c r="X2495" s="722">
        <v>0</v>
      </c>
      <c r="Y2495" s="722">
        <v>0</v>
      </c>
      <c r="Z2495" s="382" t="s">
        <v>774</v>
      </c>
      <c r="AA2495" s="372">
        <v>0</v>
      </c>
      <c r="AB2495" s="372">
        <v>0</v>
      </c>
      <c r="AC2495" s="372">
        <v>0</v>
      </c>
      <c r="AD2495" s="372">
        <v>0</v>
      </c>
      <c r="AE2495" s="372">
        <v>0</v>
      </c>
      <c r="AF2495" s="372">
        <v>0</v>
      </c>
      <c r="AG2495" s="372">
        <v>0</v>
      </c>
      <c r="AH2495" s="372">
        <v>0</v>
      </c>
    </row>
    <row r="2496" spans="1:34">
      <c r="A2496" s="372" t="s">
        <v>15870</v>
      </c>
      <c r="B2496" s="372" t="s">
        <v>15871</v>
      </c>
      <c r="C2496" s="372" t="s">
        <v>15872</v>
      </c>
      <c r="D2496" s="374">
        <v>1101118431689</v>
      </c>
      <c r="E2496" s="372" t="s">
        <v>15873</v>
      </c>
      <c r="F2496" s="372" t="s">
        <v>1151</v>
      </c>
      <c r="G2496" s="375" t="s">
        <v>1152</v>
      </c>
      <c r="H2496" s="375" t="s">
        <v>902</v>
      </c>
      <c r="I2496" s="375" t="s">
        <v>869</v>
      </c>
      <c r="J2496" s="375">
        <v>0</v>
      </c>
      <c r="K2496" s="375">
        <v>-52.865499999999997</v>
      </c>
      <c r="L2496" s="375">
        <v>218.75552999999999</v>
      </c>
      <c r="M2496" s="375">
        <v>9491.1553800000002</v>
      </c>
      <c r="N2496" s="372" t="s">
        <v>1033</v>
      </c>
      <c r="O2496" s="703">
        <v>8.4301899895178192</v>
      </c>
      <c r="P2496" s="562" t="s">
        <v>623</v>
      </c>
      <c r="Q2496" s="372" t="s">
        <v>623</v>
      </c>
      <c r="R2496" s="695">
        <v>20230317</v>
      </c>
      <c r="S2496" s="372" t="s">
        <v>9098</v>
      </c>
      <c r="T2496" s="696">
        <v>0.20900000000000002</v>
      </c>
      <c r="U2496" s="372">
        <v>0</v>
      </c>
      <c r="V2496" s="722">
        <v>0</v>
      </c>
      <c r="W2496" s="722">
        <v>1.04</v>
      </c>
      <c r="X2496" s="722">
        <v>0</v>
      </c>
      <c r="Y2496" s="722">
        <v>0</v>
      </c>
      <c r="Z2496" s="382" t="s">
        <v>774</v>
      </c>
      <c r="AA2496" s="372">
        <v>0</v>
      </c>
      <c r="AB2496" s="372">
        <v>0</v>
      </c>
      <c r="AC2496" s="372">
        <v>0</v>
      </c>
      <c r="AD2496" s="372">
        <v>0</v>
      </c>
      <c r="AE2496" s="372">
        <v>0</v>
      </c>
      <c r="AF2496" s="372">
        <v>0</v>
      </c>
      <c r="AG2496" s="372">
        <v>0</v>
      </c>
      <c r="AH2496" s="372">
        <v>0</v>
      </c>
    </row>
    <row r="2497" spans="1:34">
      <c r="A2497" s="372" t="s">
        <v>15874</v>
      </c>
      <c r="B2497" s="372" t="s">
        <v>15875</v>
      </c>
      <c r="C2497" s="372" t="s">
        <v>15876</v>
      </c>
      <c r="D2497" s="374">
        <v>1101118498069</v>
      </c>
      <c r="E2497" s="372" t="s">
        <v>15877</v>
      </c>
      <c r="F2497" s="372" t="s">
        <v>1151</v>
      </c>
      <c r="G2497" s="375" t="s">
        <v>1152</v>
      </c>
      <c r="H2497" s="375" t="s">
        <v>902</v>
      </c>
      <c r="I2497" s="375" t="s">
        <v>869</v>
      </c>
      <c r="J2497" s="375">
        <v>0</v>
      </c>
      <c r="K2497" s="375">
        <v>0</v>
      </c>
      <c r="L2497" s="375">
        <v>0</v>
      </c>
      <c r="M2497" s="375">
        <v>8938.7168299999994</v>
      </c>
      <c r="N2497" s="372" t="s">
        <v>1033</v>
      </c>
      <c r="O2497" s="703">
        <v>20.061150303441053</v>
      </c>
      <c r="P2497" s="562" t="s">
        <v>623</v>
      </c>
      <c r="Q2497" s="372" t="s">
        <v>623</v>
      </c>
      <c r="R2497" s="695">
        <v>20230727</v>
      </c>
      <c r="S2497" s="372" t="s">
        <v>11584</v>
      </c>
      <c r="T2497" s="696" t="s">
        <v>772</v>
      </c>
      <c r="U2497" s="372">
        <v>0</v>
      </c>
      <c r="V2497" s="722">
        <v>0</v>
      </c>
      <c r="W2497" s="722">
        <v>1.04</v>
      </c>
      <c r="X2497" s="722">
        <v>0</v>
      </c>
      <c r="Y2497" s="722">
        <v>0</v>
      </c>
      <c r="Z2497" s="382" t="s">
        <v>774</v>
      </c>
      <c r="AA2497" s="372">
        <v>0</v>
      </c>
      <c r="AB2497" s="372">
        <v>0</v>
      </c>
      <c r="AC2497" s="372">
        <v>0</v>
      </c>
      <c r="AD2497" s="372">
        <v>0</v>
      </c>
      <c r="AE2497" s="372">
        <v>0</v>
      </c>
      <c r="AF2497" s="372">
        <v>0</v>
      </c>
      <c r="AG2497" s="372">
        <v>0</v>
      </c>
      <c r="AH2497" s="372">
        <v>0</v>
      </c>
    </row>
    <row r="2498" spans="1:34">
      <c r="A2498" s="372" t="s">
        <v>15878</v>
      </c>
      <c r="B2498" s="372" t="s">
        <v>15879</v>
      </c>
      <c r="C2498" s="372" t="s">
        <v>15880</v>
      </c>
      <c r="D2498" s="374">
        <v>1101118739827</v>
      </c>
      <c r="E2498" s="372" t="s">
        <v>15881</v>
      </c>
      <c r="F2498" s="372" t="s">
        <v>1151</v>
      </c>
      <c r="G2498" s="375" t="s">
        <v>1152</v>
      </c>
      <c r="H2498" s="375" t="s">
        <v>902</v>
      </c>
      <c r="I2498" s="375" t="s">
        <v>869</v>
      </c>
      <c r="J2498" s="375">
        <v>0</v>
      </c>
      <c r="K2498" s="375">
        <v>0</v>
      </c>
      <c r="L2498" s="375">
        <v>0</v>
      </c>
      <c r="M2498" s="375">
        <v>8373.2920200000008</v>
      </c>
      <c r="N2498" s="372" t="s">
        <v>1033</v>
      </c>
      <c r="O2498" s="703">
        <v>14.897222827718018</v>
      </c>
      <c r="P2498" s="562" t="s">
        <v>623</v>
      </c>
      <c r="Q2498" s="372" t="s">
        <v>623</v>
      </c>
      <c r="R2498" s="695">
        <v>20231222</v>
      </c>
      <c r="S2498" s="372" t="s">
        <v>9110</v>
      </c>
      <c r="T2498" s="696" t="s">
        <v>772</v>
      </c>
      <c r="U2498" s="372" t="s">
        <v>15831</v>
      </c>
      <c r="V2498" s="722">
        <v>0</v>
      </c>
      <c r="W2498" s="722">
        <v>1.06</v>
      </c>
      <c r="X2498" s="722">
        <v>0</v>
      </c>
      <c r="Y2498" s="722">
        <v>0</v>
      </c>
      <c r="Z2498" s="382" t="s">
        <v>774</v>
      </c>
      <c r="AA2498" s="372">
        <v>0</v>
      </c>
      <c r="AB2498" s="372">
        <v>0</v>
      </c>
      <c r="AC2498" s="372">
        <v>0</v>
      </c>
      <c r="AD2498" s="372">
        <v>0</v>
      </c>
      <c r="AE2498" s="372">
        <v>0</v>
      </c>
      <c r="AF2498" s="372">
        <v>0</v>
      </c>
      <c r="AG2498" s="372">
        <v>0</v>
      </c>
      <c r="AH2498" s="372">
        <v>0</v>
      </c>
    </row>
    <row r="2499" spans="1:34">
      <c r="A2499" s="372" t="s">
        <v>15882</v>
      </c>
      <c r="B2499" s="372" t="s">
        <v>15883</v>
      </c>
      <c r="C2499" s="372" t="s">
        <v>15884</v>
      </c>
      <c r="D2499" s="374">
        <v>1101118692504</v>
      </c>
      <c r="E2499" s="372" t="s">
        <v>15885</v>
      </c>
      <c r="F2499" s="372" t="s">
        <v>1151</v>
      </c>
      <c r="G2499" s="375" t="s">
        <v>1152</v>
      </c>
      <c r="H2499" s="375" t="s">
        <v>902</v>
      </c>
      <c r="I2499" s="375" t="s">
        <v>869</v>
      </c>
      <c r="J2499" s="375">
        <v>0</v>
      </c>
      <c r="K2499" s="375">
        <v>0</v>
      </c>
      <c r="L2499" s="375">
        <v>0</v>
      </c>
      <c r="M2499" s="375">
        <v>8430.3931699999994</v>
      </c>
      <c r="N2499" s="372" t="s">
        <v>1033</v>
      </c>
      <c r="O2499" s="703">
        <v>14.699170301941667</v>
      </c>
      <c r="P2499" s="562" t="s">
        <v>623</v>
      </c>
      <c r="Q2499" s="372" t="s">
        <v>623</v>
      </c>
      <c r="R2499" s="695">
        <v>20231113</v>
      </c>
      <c r="S2499" s="372" t="s">
        <v>9098</v>
      </c>
      <c r="T2499" s="696" t="s">
        <v>772</v>
      </c>
      <c r="U2499" s="372">
        <v>0</v>
      </c>
      <c r="V2499" s="722">
        <v>0</v>
      </c>
      <c r="W2499" s="722">
        <v>1.05</v>
      </c>
      <c r="X2499" s="722">
        <v>0</v>
      </c>
      <c r="Y2499" s="722">
        <v>0</v>
      </c>
      <c r="Z2499" s="382" t="s">
        <v>774</v>
      </c>
      <c r="AA2499" s="372">
        <v>0</v>
      </c>
      <c r="AB2499" s="372">
        <v>0</v>
      </c>
      <c r="AC2499" s="372">
        <v>0</v>
      </c>
      <c r="AD2499" s="372">
        <v>0</v>
      </c>
      <c r="AE2499" s="372">
        <v>0</v>
      </c>
      <c r="AF2499" s="372">
        <v>0</v>
      </c>
      <c r="AG2499" s="372">
        <v>0</v>
      </c>
      <c r="AH2499" s="372">
        <v>0</v>
      </c>
    </row>
    <row r="2500" spans="1:34">
      <c r="A2500" s="372" t="s">
        <v>15886</v>
      </c>
      <c r="B2500" s="372" t="s">
        <v>15887</v>
      </c>
      <c r="C2500" s="372" t="s">
        <v>15888</v>
      </c>
      <c r="D2500" s="374">
        <v>1101118597639</v>
      </c>
      <c r="E2500" s="372" t="s">
        <v>15889</v>
      </c>
      <c r="F2500" s="372" t="s">
        <v>1151</v>
      </c>
      <c r="G2500" s="375" t="s">
        <v>1152</v>
      </c>
      <c r="H2500" s="375" t="s">
        <v>902</v>
      </c>
      <c r="I2500" s="375" t="s">
        <v>869</v>
      </c>
      <c r="J2500" s="375">
        <v>0</v>
      </c>
      <c r="K2500" s="375">
        <v>0</v>
      </c>
      <c r="L2500" s="375">
        <v>0</v>
      </c>
      <c r="M2500" s="375">
        <v>8250.2960000000003</v>
      </c>
      <c r="N2500" s="372" t="s">
        <v>1033</v>
      </c>
      <c r="O2500" s="703">
        <v>16.566420361247946</v>
      </c>
      <c r="P2500" s="562" t="s">
        <v>623</v>
      </c>
      <c r="Q2500" s="372" t="s">
        <v>623</v>
      </c>
      <c r="R2500" s="695">
        <v>20230706</v>
      </c>
      <c r="S2500" s="372" t="s">
        <v>2874</v>
      </c>
      <c r="T2500" s="696" t="s">
        <v>772</v>
      </c>
      <c r="U2500" s="372">
        <v>0</v>
      </c>
      <c r="V2500" s="722">
        <v>0</v>
      </c>
      <c r="W2500" s="722">
        <v>1.08</v>
      </c>
      <c r="X2500" s="722">
        <v>0</v>
      </c>
      <c r="Y2500" s="722">
        <v>0</v>
      </c>
      <c r="Z2500" s="382" t="s">
        <v>774</v>
      </c>
      <c r="AA2500" s="372">
        <v>0</v>
      </c>
      <c r="AB2500" s="372">
        <v>0</v>
      </c>
      <c r="AC2500" s="372">
        <v>0</v>
      </c>
      <c r="AD2500" s="372">
        <v>0</v>
      </c>
      <c r="AE2500" s="372">
        <v>0</v>
      </c>
      <c r="AF2500" s="372">
        <v>0</v>
      </c>
      <c r="AG2500" s="372">
        <v>0</v>
      </c>
      <c r="AH2500" s="372">
        <v>0</v>
      </c>
    </row>
    <row r="2501" spans="1:34">
      <c r="A2501" s="372" t="s">
        <v>15890</v>
      </c>
      <c r="B2501" s="372" t="s">
        <v>15891</v>
      </c>
      <c r="C2501" s="372" t="s">
        <v>15892</v>
      </c>
      <c r="D2501" s="374">
        <v>1101118581369</v>
      </c>
      <c r="E2501" s="372" t="s">
        <v>15893</v>
      </c>
      <c r="F2501" s="372" t="s">
        <v>1151</v>
      </c>
      <c r="G2501" s="375" t="s">
        <v>1152</v>
      </c>
      <c r="H2501" s="375" t="s">
        <v>902</v>
      </c>
      <c r="I2501" s="375" t="s">
        <v>869</v>
      </c>
      <c r="J2501" s="375">
        <v>0</v>
      </c>
      <c r="K2501" s="375">
        <v>-50.473480000000002</v>
      </c>
      <c r="L2501" s="375">
        <v>92.742279999999994</v>
      </c>
      <c r="M2501" s="375">
        <v>8430.1944100000001</v>
      </c>
      <c r="N2501" s="372" t="s">
        <v>1033</v>
      </c>
      <c r="O2501" s="703">
        <v>12.84970556472482</v>
      </c>
      <c r="P2501" s="562" t="s">
        <v>623</v>
      </c>
      <c r="Q2501" s="372" t="s">
        <v>623</v>
      </c>
      <c r="R2501" s="695">
        <v>20230623</v>
      </c>
      <c r="S2501" s="372" t="s">
        <v>9098</v>
      </c>
      <c r="T2501" s="696">
        <v>9.9000000000000005E-2</v>
      </c>
      <c r="U2501" s="372">
        <v>0</v>
      </c>
      <c r="V2501" s="722">
        <v>0</v>
      </c>
      <c r="W2501" s="722">
        <v>1.06</v>
      </c>
      <c r="X2501" s="722">
        <v>0</v>
      </c>
      <c r="Y2501" s="722">
        <v>0</v>
      </c>
      <c r="Z2501" s="382" t="s">
        <v>774</v>
      </c>
      <c r="AA2501" s="372">
        <v>0</v>
      </c>
      <c r="AB2501" s="372">
        <v>0</v>
      </c>
      <c r="AC2501" s="372">
        <v>0</v>
      </c>
      <c r="AD2501" s="372">
        <v>0</v>
      </c>
      <c r="AE2501" s="372">
        <v>0</v>
      </c>
      <c r="AF2501" s="372">
        <v>0</v>
      </c>
      <c r="AG2501" s="372">
        <v>0</v>
      </c>
      <c r="AH2501" s="372">
        <v>0</v>
      </c>
    </row>
    <row r="2502" spans="1:34">
      <c r="A2502" s="372" t="s">
        <v>15894</v>
      </c>
      <c r="B2502" s="372" t="s">
        <v>15895</v>
      </c>
      <c r="C2502" s="372" t="s">
        <v>15896</v>
      </c>
      <c r="D2502" s="374">
        <v>1101118424600</v>
      </c>
      <c r="E2502" s="372" t="s">
        <v>15897</v>
      </c>
      <c r="F2502" s="372" t="s">
        <v>1151</v>
      </c>
      <c r="G2502" s="375" t="s">
        <v>1152</v>
      </c>
      <c r="H2502" s="375" t="s">
        <v>902</v>
      </c>
      <c r="I2502" s="375" t="s">
        <v>869</v>
      </c>
      <c r="J2502" s="375">
        <v>0</v>
      </c>
      <c r="K2502" s="375">
        <v>-30.86825</v>
      </c>
      <c r="L2502" s="375">
        <v>347.96190000000001</v>
      </c>
      <c r="M2502" s="375">
        <v>8692.1521900000007</v>
      </c>
      <c r="N2502" s="372" t="s">
        <v>1033</v>
      </c>
      <c r="O2502" s="703">
        <v>12.555489581209253</v>
      </c>
      <c r="P2502" s="562" t="s">
        <v>623</v>
      </c>
      <c r="Q2502" s="372" t="s">
        <v>623</v>
      </c>
      <c r="R2502" s="695">
        <v>20221222</v>
      </c>
      <c r="S2502" s="372" t="s">
        <v>9098</v>
      </c>
      <c r="T2502" s="696">
        <v>0.20900000000000002</v>
      </c>
      <c r="U2502" s="372" t="s">
        <v>15898</v>
      </c>
      <c r="V2502" s="722">
        <v>0</v>
      </c>
      <c r="W2502" s="722">
        <v>1.04</v>
      </c>
      <c r="X2502" s="722">
        <v>0</v>
      </c>
      <c r="Y2502" s="722">
        <v>0</v>
      </c>
      <c r="Z2502" s="382" t="s">
        <v>774</v>
      </c>
      <c r="AA2502" s="372">
        <v>0</v>
      </c>
      <c r="AB2502" s="372">
        <v>0</v>
      </c>
      <c r="AC2502" s="372">
        <v>0</v>
      </c>
      <c r="AD2502" s="372">
        <v>0</v>
      </c>
      <c r="AE2502" s="372">
        <v>0</v>
      </c>
      <c r="AF2502" s="372">
        <v>0</v>
      </c>
      <c r="AG2502" s="372">
        <v>0</v>
      </c>
      <c r="AH2502" s="372">
        <v>0</v>
      </c>
    </row>
    <row r="2503" spans="1:34">
      <c r="A2503" s="372" t="s">
        <v>15899</v>
      </c>
      <c r="B2503" s="372" t="s">
        <v>15900</v>
      </c>
      <c r="C2503" s="372" t="s">
        <v>15901</v>
      </c>
      <c r="D2503" s="374">
        <v>1101118627642</v>
      </c>
      <c r="E2503" s="372" t="s">
        <v>15902</v>
      </c>
      <c r="F2503" s="372" t="s">
        <v>1151</v>
      </c>
      <c r="G2503" s="375" t="s">
        <v>1152</v>
      </c>
      <c r="H2503" s="375" t="s">
        <v>902</v>
      </c>
      <c r="I2503" s="375" t="s">
        <v>869</v>
      </c>
      <c r="J2503" s="375">
        <v>0</v>
      </c>
      <c r="K2503" s="375">
        <v>0</v>
      </c>
      <c r="L2503" s="375">
        <v>0</v>
      </c>
      <c r="M2503" s="375">
        <v>8429.5522700000001</v>
      </c>
      <c r="N2503" s="372" t="s">
        <v>1033</v>
      </c>
      <c r="O2503" s="703">
        <v>20.130956545707047</v>
      </c>
      <c r="P2503" s="562" t="s">
        <v>623</v>
      </c>
      <c r="Q2503" s="372" t="s">
        <v>623</v>
      </c>
      <c r="R2503" s="695">
        <v>20230830</v>
      </c>
      <c r="S2503" s="372" t="s">
        <v>9098</v>
      </c>
      <c r="T2503" s="696" t="s">
        <v>772</v>
      </c>
      <c r="U2503" s="372">
        <v>0</v>
      </c>
      <c r="V2503" s="722">
        <v>0</v>
      </c>
      <c r="W2503" s="722">
        <v>1.05</v>
      </c>
      <c r="X2503" s="722">
        <v>0</v>
      </c>
      <c r="Y2503" s="722">
        <v>0</v>
      </c>
      <c r="Z2503" s="382" t="s">
        <v>774</v>
      </c>
      <c r="AA2503" s="372">
        <v>0</v>
      </c>
      <c r="AB2503" s="372">
        <v>0</v>
      </c>
      <c r="AC2503" s="372">
        <v>0</v>
      </c>
      <c r="AD2503" s="372">
        <v>0</v>
      </c>
      <c r="AE2503" s="372">
        <v>0</v>
      </c>
      <c r="AF2503" s="372">
        <v>0</v>
      </c>
      <c r="AG2503" s="372">
        <v>0</v>
      </c>
      <c r="AH2503" s="372">
        <v>0</v>
      </c>
    </row>
    <row r="2504" spans="1:34">
      <c r="A2504" s="372" t="s">
        <v>15903</v>
      </c>
      <c r="B2504" s="372" t="s">
        <v>15904</v>
      </c>
      <c r="C2504" s="372" t="s">
        <v>15905</v>
      </c>
      <c r="D2504" s="374">
        <v>1101118381529</v>
      </c>
      <c r="E2504" s="372" t="s">
        <v>15906</v>
      </c>
      <c r="F2504" s="372" t="s">
        <v>1151</v>
      </c>
      <c r="G2504" s="375" t="s">
        <v>1152</v>
      </c>
      <c r="H2504" s="375" t="s">
        <v>902</v>
      </c>
      <c r="I2504" s="375" t="s">
        <v>869</v>
      </c>
      <c r="J2504" s="375">
        <v>0</v>
      </c>
      <c r="K2504" s="375">
        <v>-46.873629999999999</v>
      </c>
      <c r="L2504" s="375">
        <v>208.40907000000001</v>
      </c>
      <c r="M2504" s="375">
        <v>8214.7563399999999</v>
      </c>
      <c r="N2504" s="372" t="s">
        <v>1033</v>
      </c>
      <c r="O2504" s="703">
        <v>18.764505536464302</v>
      </c>
      <c r="P2504" s="562" t="s">
        <v>623</v>
      </c>
      <c r="Q2504" s="372" t="s">
        <v>623</v>
      </c>
      <c r="R2504" s="695">
        <v>20221102</v>
      </c>
      <c r="S2504" s="372" t="s">
        <v>2874</v>
      </c>
      <c r="T2504" s="696">
        <v>0.20900000000000002</v>
      </c>
      <c r="U2504" s="372">
        <v>0</v>
      </c>
      <c r="V2504" s="722">
        <v>0</v>
      </c>
      <c r="W2504" s="722">
        <v>1.05</v>
      </c>
      <c r="X2504" s="722">
        <v>0</v>
      </c>
      <c r="Y2504" s="722">
        <v>0</v>
      </c>
      <c r="Z2504" s="382" t="s">
        <v>774</v>
      </c>
      <c r="AA2504" s="372">
        <v>0</v>
      </c>
      <c r="AB2504" s="372">
        <v>0</v>
      </c>
      <c r="AC2504" s="372">
        <v>0</v>
      </c>
      <c r="AD2504" s="372">
        <v>0</v>
      </c>
      <c r="AE2504" s="372">
        <v>0</v>
      </c>
      <c r="AF2504" s="372">
        <v>0</v>
      </c>
      <c r="AG2504" s="372">
        <v>0</v>
      </c>
      <c r="AH2504" s="372">
        <v>0</v>
      </c>
    </row>
    <row r="2505" spans="1:34">
      <c r="A2505" s="372" t="s">
        <v>15907</v>
      </c>
      <c r="B2505" s="372" t="s">
        <v>15908</v>
      </c>
      <c r="C2505" s="372" t="s">
        <v>15909</v>
      </c>
      <c r="D2505" s="374">
        <v>1101118657029</v>
      </c>
      <c r="E2505" s="372" t="s">
        <v>15910</v>
      </c>
      <c r="F2505" s="372" t="s">
        <v>1151</v>
      </c>
      <c r="G2505" s="375" t="s">
        <v>1152</v>
      </c>
      <c r="H2505" s="375" t="s">
        <v>902</v>
      </c>
      <c r="I2505" s="375" t="s">
        <v>869</v>
      </c>
      <c r="J2505" s="375">
        <v>0</v>
      </c>
      <c r="K2505" s="375">
        <v>0</v>
      </c>
      <c r="L2505" s="375">
        <v>0</v>
      </c>
      <c r="M2505" s="375">
        <v>8372.6680099999994</v>
      </c>
      <c r="N2505" s="372" t="s">
        <v>1033</v>
      </c>
      <c r="O2505" s="703">
        <v>9.5137267795495646</v>
      </c>
      <c r="P2505" s="562" t="s">
        <v>623</v>
      </c>
      <c r="Q2505" s="372" t="s">
        <v>623</v>
      </c>
      <c r="R2505" s="695">
        <v>20231013</v>
      </c>
      <c r="S2505" s="372" t="s">
        <v>10718</v>
      </c>
      <c r="T2505" s="696" t="s">
        <v>772</v>
      </c>
      <c r="U2505" s="372">
        <v>0</v>
      </c>
      <c r="V2505" s="722">
        <v>0</v>
      </c>
      <c r="W2505" s="722">
        <v>1.04</v>
      </c>
      <c r="X2505" s="722">
        <v>0</v>
      </c>
      <c r="Y2505" s="722">
        <v>0</v>
      </c>
      <c r="Z2505" s="382" t="s">
        <v>774</v>
      </c>
      <c r="AA2505" s="372">
        <v>0</v>
      </c>
      <c r="AB2505" s="372">
        <v>0</v>
      </c>
      <c r="AC2505" s="372">
        <v>0</v>
      </c>
      <c r="AD2505" s="372">
        <v>0</v>
      </c>
      <c r="AE2505" s="372">
        <v>0</v>
      </c>
      <c r="AF2505" s="372">
        <v>0</v>
      </c>
      <c r="AG2505" s="372">
        <v>0</v>
      </c>
      <c r="AH2505" s="372">
        <v>0</v>
      </c>
    </row>
    <row r="2506" spans="1:34">
      <c r="A2506" s="372" t="s">
        <v>15911</v>
      </c>
      <c r="B2506" s="372" t="s">
        <v>15912</v>
      </c>
      <c r="C2506" s="372" t="s">
        <v>15913</v>
      </c>
      <c r="D2506" s="374">
        <v>1101118155015</v>
      </c>
      <c r="E2506" s="372" t="s">
        <v>15914</v>
      </c>
      <c r="F2506" s="372" t="s">
        <v>1151</v>
      </c>
      <c r="G2506" s="375" t="s">
        <v>1152</v>
      </c>
      <c r="H2506" s="375" t="s">
        <v>902</v>
      </c>
      <c r="I2506" s="375" t="s">
        <v>869</v>
      </c>
      <c r="J2506" s="375">
        <v>0</v>
      </c>
      <c r="K2506" s="375">
        <v>-48.581600000000002</v>
      </c>
      <c r="L2506" s="375">
        <v>170.53235000000001</v>
      </c>
      <c r="M2506" s="375">
        <v>7043.0181000000002</v>
      </c>
      <c r="N2506" s="372">
        <v>0.36899999999999999</v>
      </c>
      <c r="O2506" s="703">
        <v>10.616774042652716</v>
      </c>
      <c r="P2506" s="562" t="s">
        <v>623</v>
      </c>
      <c r="Q2506" s="372" t="s">
        <v>623</v>
      </c>
      <c r="R2506" s="695">
        <v>20220729</v>
      </c>
      <c r="S2506" s="372" t="s">
        <v>14599</v>
      </c>
      <c r="T2506" s="696">
        <v>9.9000000000000005E-2</v>
      </c>
      <c r="U2506" s="372">
        <v>0</v>
      </c>
      <c r="V2506" s="722">
        <v>0</v>
      </c>
      <c r="W2506" s="722">
        <v>1.1499999999999999</v>
      </c>
      <c r="X2506" s="722">
        <v>0</v>
      </c>
      <c r="Y2506" s="722">
        <v>0</v>
      </c>
      <c r="Z2506" s="382" t="s">
        <v>774</v>
      </c>
      <c r="AA2506" s="372">
        <v>0</v>
      </c>
      <c r="AB2506" s="372">
        <v>0</v>
      </c>
      <c r="AC2506" s="372">
        <v>0</v>
      </c>
      <c r="AD2506" s="372">
        <v>0</v>
      </c>
      <c r="AE2506" s="372">
        <v>0</v>
      </c>
      <c r="AF2506" s="372">
        <v>0</v>
      </c>
      <c r="AG2506" s="372">
        <v>0</v>
      </c>
      <c r="AH2506" s="372">
        <v>0</v>
      </c>
    </row>
    <row r="2507" spans="1:34">
      <c r="A2507" s="372" t="s">
        <v>15915</v>
      </c>
      <c r="B2507" s="372" t="s">
        <v>15916</v>
      </c>
      <c r="C2507" s="372" t="s">
        <v>15917</v>
      </c>
      <c r="D2507" s="374">
        <v>1101118306949</v>
      </c>
      <c r="E2507" s="372" t="s">
        <v>15918</v>
      </c>
      <c r="F2507" s="372" t="s">
        <v>1151</v>
      </c>
      <c r="G2507" s="375" t="s">
        <v>1152</v>
      </c>
      <c r="H2507" s="375" t="s">
        <v>902</v>
      </c>
      <c r="I2507" s="375" t="s">
        <v>869</v>
      </c>
      <c r="J2507" s="375">
        <v>0</v>
      </c>
      <c r="K2507" s="375">
        <v>-31.569140000000001</v>
      </c>
      <c r="L2507" s="375">
        <v>183.3629</v>
      </c>
      <c r="M2507" s="375">
        <v>8341.5457999999999</v>
      </c>
      <c r="N2507" s="372" t="s">
        <v>1033</v>
      </c>
      <c r="O2507" s="703">
        <v>13.600442306504936</v>
      </c>
      <c r="P2507" s="562" t="s">
        <v>623</v>
      </c>
      <c r="Q2507" s="372" t="s">
        <v>623</v>
      </c>
      <c r="R2507" s="695">
        <v>20220907</v>
      </c>
      <c r="S2507" s="372" t="s">
        <v>13527</v>
      </c>
      <c r="T2507" s="696">
        <v>9.9000000000000005E-2</v>
      </c>
      <c r="U2507" s="372">
        <v>0</v>
      </c>
      <c r="V2507" s="722">
        <v>0</v>
      </c>
      <c r="W2507" s="722">
        <v>1.03</v>
      </c>
      <c r="X2507" s="722">
        <v>0</v>
      </c>
      <c r="Y2507" s="722">
        <v>0</v>
      </c>
      <c r="Z2507" s="382" t="s">
        <v>774</v>
      </c>
      <c r="AA2507" s="372">
        <v>0</v>
      </c>
      <c r="AB2507" s="372">
        <v>0</v>
      </c>
      <c r="AC2507" s="372">
        <v>0</v>
      </c>
      <c r="AD2507" s="372">
        <v>0</v>
      </c>
      <c r="AE2507" s="372">
        <v>0</v>
      </c>
      <c r="AF2507" s="372">
        <v>0</v>
      </c>
      <c r="AG2507" s="372">
        <v>0</v>
      </c>
      <c r="AH2507" s="372">
        <v>0</v>
      </c>
    </row>
    <row r="2508" spans="1:34">
      <c r="A2508" s="372" t="s">
        <v>15919</v>
      </c>
      <c r="B2508" s="372" t="s">
        <v>15920</v>
      </c>
      <c r="C2508" s="372" t="s">
        <v>15921</v>
      </c>
      <c r="D2508" s="374">
        <v>1101117866803</v>
      </c>
      <c r="E2508" s="372" t="s">
        <v>15922</v>
      </c>
      <c r="F2508" s="372" t="s">
        <v>1151</v>
      </c>
      <c r="G2508" s="375" t="s">
        <v>1152</v>
      </c>
      <c r="H2508" s="375" t="s">
        <v>902</v>
      </c>
      <c r="I2508" s="375" t="s">
        <v>869</v>
      </c>
      <c r="J2508" s="375">
        <v>0</v>
      </c>
      <c r="K2508" s="375">
        <v>-84.529589999999999</v>
      </c>
      <c r="L2508" s="375">
        <v>140.45652000000001</v>
      </c>
      <c r="M2508" s="375">
        <v>8015.7249199999997</v>
      </c>
      <c r="N2508" s="372">
        <v>0.39800000000000002</v>
      </c>
      <c r="O2508" s="703">
        <v>12.424302413273001</v>
      </c>
      <c r="P2508" s="562" t="s">
        <v>16142</v>
      </c>
      <c r="Q2508" s="372" t="s">
        <v>623</v>
      </c>
      <c r="R2508" s="695">
        <v>20210805</v>
      </c>
      <c r="S2508" s="372" t="s">
        <v>772</v>
      </c>
      <c r="T2508" s="696">
        <v>9.9000000000000005E-2</v>
      </c>
      <c r="U2508" s="372" t="s">
        <v>15923</v>
      </c>
      <c r="V2508" s="722">
        <v>0</v>
      </c>
      <c r="W2508" s="722">
        <v>1.06</v>
      </c>
      <c r="X2508" s="722">
        <v>0</v>
      </c>
      <c r="Y2508" s="722">
        <v>0</v>
      </c>
      <c r="Z2508" s="382" t="s">
        <v>774</v>
      </c>
      <c r="AA2508" s="372">
        <v>0</v>
      </c>
      <c r="AB2508" s="372">
        <v>0</v>
      </c>
      <c r="AC2508" s="372">
        <v>0</v>
      </c>
      <c r="AD2508" s="372">
        <v>0</v>
      </c>
      <c r="AE2508" s="372">
        <v>0</v>
      </c>
      <c r="AF2508" s="372">
        <v>0</v>
      </c>
      <c r="AG2508" s="372">
        <v>0</v>
      </c>
      <c r="AH2508" s="372">
        <v>0</v>
      </c>
    </row>
    <row r="2509" spans="1:34">
      <c r="A2509" s="372" t="s">
        <v>15924</v>
      </c>
      <c r="B2509" s="372" t="s">
        <v>15925</v>
      </c>
      <c r="C2509" s="372" t="s">
        <v>15926</v>
      </c>
      <c r="D2509" s="374">
        <v>1101118327721</v>
      </c>
      <c r="E2509" s="372" t="s">
        <v>15927</v>
      </c>
      <c r="F2509" s="372" t="s">
        <v>1151</v>
      </c>
      <c r="G2509" s="375" t="s">
        <v>1152</v>
      </c>
      <c r="H2509" s="375" t="s">
        <v>902</v>
      </c>
      <c r="I2509" s="375" t="s">
        <v>869</v>
      </c>
      <c r="J2509" s="375">
        <v>0</v>
      </c>
      <c r="K2509" s="375">
        <v>-87.690650000000005</v>
      </c>
      <c r="L2509" s="375">
        <v>101.08923</v>
      </c>
      <c r="M2509" s="375">
        <v>7376.4957999999997</v>
      </c>
      <c r="N2509" s="372" t="s">
        <v>1033</v>
      </c>
      <c r="O2509" s="703">
        <v>8.2092093894009235</v>
      </c>
      <c r="P2509" s="562" t="s">
        <v>16142</v>
      </c>
      <c r="Q2509" s="372" t="s">
        <v>623</v>
      </c>
      <c r="R2509" s="695">
        <v>20221006</v>
      </c>
      <c r="S2509" s="372" t="s">
        <v>12564</v>
      </c>
      <c r="T2509" s="696">
        <v>9.9000000000000005E-2</v>
      </c>
      <c r="U2509" s="372">
        <v>0</v>
      </c>
      <c r="V2509" s="722">
        <v>0</v>
      </c>
      <c r="W2509" s="722">
        <v>1.1299999999999999</v>
      </c>
      <c r="X2509" s="722">
        <v>0</v>
      </c>
      <c r="Y2509" s="722">
        <v>0</v>
      </c>
      <c r="Z2509" s="382" t="s">
        <v>774</v>
      </c>
      <c r="AA2509" s="372">
        <v>0</v>
      </c>
      <c r="AB2509" s="372">
        <v>0</v>
      </c>
      <c r="AC2509" s="372">
        <v>0</v>
      </c>
      <c r="AD2509" s="372">
        <v>0</v>
      </c>
      <c r="AE2509" s="372">
        <v>0</v>
      </c>
      <c r="AF2509" s="372">
        <v>0</v>
      </c>
      <c r="AG2509" s="372">
        <v>0</v>
      </c>
      <c r="AH2509" s="372">
        <v>0</v>
      </c>
    </row>
    <row r="2510" spans="1:34">
      <c r="A2510" s="372" t="s">
        <v>15928</v>
      </c>
      <c r="B2510" s="372" t="s">
        <v>15929</v>
      </c>
      <c r="C2510" s="372" t="s">
        <v>15930</v>
      </c>
      <c r="D2510" s="374">
        <v>1101118711974</v>
      </c>
      <c r="E2510" s="372" t="s">
        <v>15931</v>
      </c>
      <c r="F2510" s="372" t="s">
        <v>1151</v>
      </c>
      <c r="G2510" s="375" t="s">
        <v>1152</v>
      </c>
      <c r="H2510" s="375" t="s">
        <v>902</v>
      </c>
      <c r="I2510" s="375" t="s">
        <v>869</v>
      </c>
      <c r="J2510" s="375">
        <v>0</v>
      </c>
      <c r="K2510" s="375">
        <v>0</v>
      </c>
      <c r="L2510" s="375">
        <v>0</v>
      </c>
      <c r="M2510" s="375">
        <v>7446.2440500000002</v>
      </c>
      <c r="N2510" s="372" t="s">
        <v>1033</v>
      </c>
      <c r="O2510" s="703">
        <v>16.197244094488187</v>
      </c>
      <c r="P2510" s="562" t="s">
        <v>623</v>
      </c>
      <c r="Q2510" s="372" t="s">
        <v>623</v>
      </c>
      <c r="R2510" s="695">
        <v>20231205</v>
      </c>
      <c r="S2510" s="372" t="s">
        <v>9098</v>
      </c>
      <c r="T2510" s="696" t="s">
        <v>772</v>
      </c>
      <c r="U2510" s="372">
        <v>0</v>
      </c>
      <c r="V2510" s="722">
        <v>0</v>
      </c>
      <c r="W2510" s="722">
        <v>1.05</v>
      </c>
      <c r="X2510" s="722">
        <v>0</v>
      </c>
      <c r="Y2510" s="722">
        <v>0</v>
      </c>
      <c r="Z2510" s="382" t="s">
        <v>774</v>
      </c>
      <c r="AA2510" s="372">
        <v>0</v>
      </c>
      <c r="AB2510" s="372">
        <v>0</v>
      </c>
      <c r="AC2510" s="372">
        <v>0</v>
      </c>
      <c r="AD2510" s="372">
        <v>0</v>
      </c>
      <c r="AE2510" s="372">
        <v>0</v>
      </c>
      <c r="AF2510" s="372">
        <v>0</v>
      </c>
      <c r="AG2510" s="372">
        <v>0</v>
      </c>
      <c r="AH2510" s="372">
        <v>0</v>
      </c>
    </row>
    <row r="2511" spans="1:34">
      <c r="A2511" s="372" t="s">
        <v>15932</v>
      </c>
      <c r="B2511" s="372" t="s">
        <v>15933</v>
      </c>
      <c r="C2511" s="372" t="s">
        <v>15934</v>
      </c>
      <c r="D2511" s="374">
        <v>1101118399366</v>
      </c>
      <c r="E2511" s="372" t="s">
        <v>15935</v>
      </c>
      <c r="F2511" s="372" t="s">
        <v>1151</v>
      </c>
      <c r="G2511" s="375" t="s">
        <v>1152</v>
      </c>
      <c r="H2511" s="375" t="s">
        <v>902</v>
      </c>
      <c r="I2511" s="375" t="s">
        <v>869</v>
      </c>
      <c r="J2511" s="375">
        <v>0</v>
      </c>
      <c r="K2511" s="375">
        <v>-42.554000000000002</v>
      </c>
      <c r="L2511" s="375">
        <v>263.85628000000003</v>
      </c>
      <c r="M2511" s="375">
        <v>7034.6655199999996</v>
      </c>
      <c r="N2511" s="372" t="s">
        <v>1033</v>
      </c>
      <c r="O2511" s="703">
        <v>12.252181816041348</v>
      </c>
      <c r="P2511" s="562" t="s">
        <v>623</v>
      </c>
      <c r="Q2511" s="372" t="s">
        <v>623</v>
      </c>
      <c r="R2511" s="695">
        <v>20221201</v>
      </c>
      <c r="S2511" s="372" t="s">
        <v>9098</v>
      </c>
      <c r="T2511" s="696">
        <v>0.20900000000000002</v>
      </c>
      <c r="U2511" s="372">
        <v>0</v>
      </c>
      <c r="V2511" s="722">
        <v>0</v>
      </c>
      <c r="W2511" s="722">
        <v>1.0900000000000001</v>
      </c>
      <c r="X2511" s="722">
        <v>0</v>
      </c>
      <c r="Y2511" s="722">
        <v>0</v>
      </c>
      <c r="Z2511" s="382" t="s">
        <v>774</v>
      </c>
      <c r="AA2511" s="372">
        <v>0</v>
      </c>
      <c r="AB2511" s="372">
        <v>0</v>
      </c>
      <c r="AC2511" s="372">
        <v>0</v>
      </c>
      <c r="AD2511" s="372">
        <v>0</v>
      </c>
      <c r="AE2511" s="372">
        <v>0</v>
      </c>
      <c r="AF2511" s="372">
        <v>0</v>
      </c>
      <c r="AG2511" s="372">
        <v>0</v>
      </c>
      <c r="AH2511" s="372">
        <v>0</v>
      </c>
    </row>
    <row r="2512" spans="1:34">
      <c r="A2512" s="372" t="s">
        <v>15936</v>
      </c>
      <c r="B2512" s="372" t="s">
        <v>15937</v>
      </c>
      <c r="C2512" s="372" t="s">
        <v>15938</v>
      </c>
      <c r="D2512" s="374">
        <v>1101114122604</v>
      </c>
      <c r="E2512" s="372" t="s">
        <v>15939</v>
      </c>
      <c r="F2512" s="372" t="s">
        <v>3627</v>
      </c>
      <c r="G2512" s="375" t="s">
        <v>3628</v>
      </c>
      <c r="H2512" s="375" t="s">
        <v>1388</v>
      </c>
      <c r="I2512" s="375" t="s">
        <v>869</v>
      </c>
      <c r="J2512" s="375">
        <v>10984.65575</v>
      </c>
      <c r="K2512" s="375">
        <v>-2041.39048</v>
      </c>
      <c r="L2512" s="375">
        <v>-3871.1252500000001</v>
      </c>
      <c r="M2512" s="375">
        <v>27441.239300000001</v>
      </c>
      <c r="N2512" s="372">
        <v>1.175</v>
      </c>
      <c r="O2512" s="703">
        <v>3.8192498792528049</v>
      </c>
      <c r="P2512" s="562" t="s">
        <v>16142</v>
      </c>
      <c r="Q2512" s="372" t="s">
        <v>16145</v>
      </c>
      <c r="R2512" s="695">
        <v>20131113</v>
      </c>
      <c r="S2512" s="372" t="s">
        <v>15940</v>
      </c>
      <c r="T2512" s="696" t="s">
        <v>772</v>
      </c>
      <c r="U2512" s="372" t="s">
        <v>15941</v>
      </c>
      <c r="V2512" s="722" t="s">
        <v>774</v>
      </c>
      <c r="W2512" s="722">
        <v>0.33</v>
      </c>
      <c r="X2512" s="722">
        <v>0.69</v>
      </c>
      <c r="Y2512" s="722" t="s">
        <v>774</v>
      </c>
      <c r="Z2512" s="382" t="s">
        <v>934</v>
      </c>
      <c r="AA2512" s="372">
        <v>269.94123560000003</v>
      </c>
      <c r="AB2512" s="372">
        <v>105.23948129999999</v>
      </c>
      <c r="AC2512" s="372">
        <v>75.403865300000007</v>
      </c>
      <c r="AD2512" s="372">
        <v>109.8465575</v>
      </c>
      <c r="AE2512" s="372">
        <v>0</v>
      </c>
      <c r="AF2512" s="372">
        <v>0</v>
      </c>
      <c r="AG2512" s="372">
        <v>0</v>
      </c>
      <c r="AH2512" s="372">
        <v>0</v>
      </c>
    </row>
    <row r="2513" spans="1:34">
      <c r="A2513" s="372" t="s">
        <v>15942</v>
      </c>
      <c r="B2513" s="372" t="s">
        <v>15943</v>
      </c>
      <c r="C2513" s="372" t="s">
        <v>15944</v>
      </c>
      <c r="D2513" s="374">
        <v>1101118113691</v>
      </c>
      <c r="E2513" s="372" t="s">
        <v>15945</v>
      </c>
      <c r="F2513" s="372" t="s">
        <v>1151</v>
      </c>
      <c r="G2513" s="375" t="s">
        <v>1152</v>
      </c>
      <c r="H2513" s="375" t="s">
        <v>902</v>
      </c>
      <c r="I2513" s="375" t="s">
        <v>869</v>
      </c>
      <c r="J2513" s="375">
        <v>0</v>
      </c>
      <c r="K2513" s="375">
        <v>-35.232080000000003</v>
      </c>
      <c r="L2513" s="375">
        <v>65.71951</v>
      </c>
      <c r="M2513" s="375">
        <v>6647.4543400000002</v>
      </c>
      <c r="N2513" s="372">
        <v>0.41699999999999998</v>
      </c>
      <c r="O2513" s="703">
        <v>14.25448250728863</v>
      </c>
      <c r="P2513" s="562" t="s">
        <v>623</v>
      </c>
      <c r="Q2513" s="372" t="s">
        <v>623</v>
      </c>
      <c r="R2513" s="695">
        <v>20220407</v>
      </c>
      <c r="S2513" s="372" t="s">
        <v>13527</v>
      </c>
      <c r="T2513" s="696">
        <v>9.9000000000000005E-2</v>
      </c>
      <c r="U2513" s="372">
        <v>0</v>
      </c>
      <c r="V2513" s="722">
        <v>0</v>
      </c>
      <c r="W2513" s="722">
        <v>1.1000000000000001</v>
      </c>
      <c r="X2513" s="722">
        <v>0</v>
      </c>
      <c r="Y2513" s="722">
        <v>0</v>
      </c>
      <c r="Z2513" s="382" t="s">
        <v>774</v>
      </c>
      <c r="AA2513" s="372">
        <v>0</v>
      </c>
      <c r="AB2513" s="372">
        <v>0</v>
      </c>
      <c r="AC2513" s="372">
        <v>0</v>
      </c>
      <c r="AD2513" s="372">
        <v>0</v>
      </c>
      <c r="AE2513" s="372">
        <v>0</v>
      </c>
      <c r="AF2513" s="372">
        <v>0</v>
      </c>
      <c r="AG2513" s="372">
        <v>0</v>
      </c>
      <c r="AH2513" s="372">
        <v>0</v>
      </c>
    </row>
    <row r="2514" spans="1:34">
      <c r="A2514" s="372" t="s">
        <v>15946</v>
      </c>
      <c r="B2514" s="372" t="s">
        <v>15947</v>
      </c>
      <c r="C2514" s="372" t="s">
        <v>15948</v>
      </c>
      <c r="D2514" s="374">
        <v>1101118617502</v>
      </c>
      <c r="E2514" s="372" t="s">
        <v>15949</v>
      </c>
      <c r="F2514" s="372" t="s">
        <v>1151</v>
      </c>
      <c r="G2514" s="375" t="s">
        <v>1152</v>
      </c>
      <c r="H2514" s="375" t="s">
        <v>902</v>
      </c>
      <c r="I2514" s="375" t="s">
        <v>869</v>
      </c>
      <c r="J2514" s="375">
        <v>0</v>
      </c>
      <c r="K2514" s="375">
        <v>0</v>
      </c>
      <c r="L2514" s="375">
        <v>0</v>
      </c>
      <c r="M2514" s="375">
        <v>6457.7694600000004</v>
      </c>
      <c r="N2514" s="372" t="s">
        <v>1033</v>
      </c>
      <c r="O2514" s="703">
        <v>17.892876183706111</v>
      </c>
      <c r="P2514" s="562" t="s">
        <v>623</v>
      </c>
      <c r="Q2514" s="372" t="s">
        <v>623</v>
      </c>
      <c r="R2514" s="695">
        <v>20230811</v>
      </c>
      <c r="S2514" s="372" t="s">
        <v>9098</v>
      </c>
      <c r="T2514" s="696" t="s">
        <v>772</v>
      </c>
      <c r="U2514" s="372">
        <v>0</v>
      </c>
      <c r="V2514" s="722">
        <v>0</v>
      </c>
      <c r="W2514" s="722">
        <v>1.1100000000000001</v>
      </c>
      <c r="X2514" s="722">
        <v>0</v>
      </c>
      <c r="Y2514" s="722">
        <v>0</v>
      </c>
      <c r="Z2514" s="382" t="s">
        <v>774</v>
      </c>
      <c r="AA2514" s="372">
        <v>0</v>
      </c>
      <c r="AB2514" s="372">
        <v>0</v>
      </c>
      <c r="AC2514" s="372">
        <v>0</v>
      </c>
      <c r="AD2514" s="372">
        <v>0</v>
      </c>
      <c r="AE2514" s="372">
        <v>0</v>
      </c>
      <c r="AF2514" s="372">
        <v>0</v>
      </c>
      <c r="AG2514" s="372">
        <v>0</v>
      </c>
      <c r="AH2514" s="372">
        <v>0</v>
      </c>
    </row>
    <row r="2515" spans="1:34">
      <c r="A2515" s="372" t="s">
        <v>15950</v>
      </c>
      <c r="B2515" s="372" t="s">
        <v>15951</v>
      </c>
      <c r="C2515" s="372" t="s">
        <v>15952</v>
      </c>
      <c r="D2515" s="374">
        <v>1101118358453</v>
      </c>
      <c r="E2515" s="372" t="s">
        <v>15953</v>
      </c>
      <c r="F2515" s="372" t="s">
        <v>1151</v>
      </c>
      <c r="G2515" s="375" t="s">
        <v>1152</v>
      </c>
      <c r="H2515" s="375" t="s">
        <v>902</v>
      </c>
      <c r="I2515" s="375" t="s">
        <v>869</v>
      </c>
      <c r="J2515" s="375">
        <v>0</v>
      </c>
      <c r="K2515" s="375">
        <v>-59.967199999999998</v>
      </c>
      <c r="L2515" s="375">
        <v>169.55463</v>
      </c>
      <c r="M2515" s="375">
        <v>5679.1066899999996</v>
      </c>
      <c r="N2515" s="372" t="s">
        <v>1033</v>
      </c>
      <c r="O2515" s="703">
        <v>5.7467458323818219</v>
      </c>
      <c r="P2515" s="562" t="s">
        <v>623</v>
      </c>
      <c r="Q2515" s="372" t="s">
        <v>623</v>
      </c>
      <c r="R2515" s="695">
        <v>20221103</v>
      </c>
      <c r="S2515" s="372" t="s">
        <v>9098</v>
      </c>
      <c r="T2515" s="696">
        <v>9.9000000000000005E-2</v>
      </c>
      <c r="U2515" s="372">
        <v>0</v>
      </c>
      <c r="V2515" s="722">
        <v>0</v>
      </c>
      <c r="W2515" s="722">
        <v>1.31</v>
      </c>
      <c r="X2515" s="722">
        <v>0</v>
      </c>
      <c r="Y2515" s="722">
        <v>0</v>
      </c>
      <c r="Z2515" s="382" t="s">
        <v>774</v>
      </c>
      <c r="AA2515" s="372">
        <v>0</v>
      </c>
      <c r="AB2515" s="372">
        <v>0</v>
      </c>
      <c r="AC2515" s="372">
        <v>0</v>
      </c>
      <c r="AD2515" s="372">
        <v>0</v>
      </c>
      <c r="AE2515" s="372">
        <v>0</v>
      </c>
      <c r="AF2515" s="372">
        <v>0</v>
      </c>
      <c r="AG2515" s="372">
        <v>0</v>
      </c>
      <c r="AH2515" s="372">
        <v>0</v>
      </c>
    </row>
    <row r="2516" spans="1:34">
      <c r="A2516" s="372"/>
      <c r="B2516" s="372"/>
      <c r="C2516" s="372"/>
      <c r="D2516" s="374"/>
      <c r="E2516" s="372"/>
      <c r="F2516" s="372"/>
      <c r="G2516" s="375"/>
      <c r="H2516" s="375"/>
      <c r="I2516" s="375"/>
      <c r="J2516" s="375"/>
      <c r="K2516" s="375"/>
      <c r="L2516" s="375"/>
      <c r="M2516" s="375"/>
      <c r="N2516" s="372"/>
      <c r="O2516" s="703"/>
      <c r="P2516" s="562"/>
      <c r="Q2516" s="372"/>
      <c r="R2516" s="695"/>
      <c r="S2516" s="372"/>
      <c r="T2516" s="696"/>
      <c r="U2516" s="372"/>
      <c r="V2516" s="722"/>
      <c r="W2516" s="722"/>
      <c r="X2516" s="722"/>
      <c r="Y2516" s="722"/>
      <c r="Z2516" s="382"/>
      <c r="AA2516" s="372"/>
      <c r="AB2516" s="372"/>
      <c r="AC2516" s="372"/>
      <c r="AD2516" s="372"/>
      <c r="AE2516" s="372"/>
      <c r="AF2516" s="372"/>
      <c r="AG2516" s="372"/>
      <c r="AH2516" s="372"/>
    </row>
    <row r="2517" spans="1:34">
      <c r="A2517" s="372"/>
      <c r="B2517" s="372"/>
      <c r="C2517" s="372"/>
      <c r="D2517" s="374"/>
      <c r="E2517" s="372"/>
      <c r="F2517" s="372"/>
      <c r="G2517" s="375"/>
      <c r="H2517" s="375"/>
      <c r="I2517" s="375"/>
      <c r="J2517" s="375"/>
      <c r="K2517" s="375"/>
      <c r="L2517" s="375"/>
      <c r="M2517" s="375"/>
      <c r="N2517" s="372"/>
      <c r="O2517" s="703"/>
      <c r="P2517" s="562"/>
      <c r="Q2517" s="372"/>
      <c r="R2517" s="695"/>
      <c r="S2517" s="372"/>
      <c r="T2517" s="696"/>
      <c r="U2517" s="372"/>
      <c r="V2517" s="722"/>
      <c r="W2517" s="722"/>
      <c r="X2517" s="722"/>
      <c r="Y2517" s="722"/>
      <c r="Z2517" s="382"/>
      <c r="AA2517" s="372"/>
      <c r="AB2517" s="372"/>
      <c r="AC2517" s="372"/>
      <c r="AD2517" s="372"/>
      <c r="AE2517" s="372"/>
      <c r="AF2517" s="372"/>
      <c r="AG2517" s="372"/>
      <c r="AH2517" s="372"/>
    </row>
    <row r="2518" spans="1:34">
      <c r="A2518" s="372"/>
      <c r="B2518" s="372"/>
      <c r="C2518" s="372"/>
      <c r="D2518" s="374"/>
      <c r="E2518" s="372"/>
      <c r="F2518" s="372"/>
      <c r="G2518" s="375"/>
      <c r="H2518" s="375"/>
      <c r="I2518" s="375"/>
      <c r="J2518" s="375"/>
      <c r="K2518" s="375"/>
      <c r="L2518" s="375"/>
      <c r="M2518" s="375"/>
      <c r="N2518" s="372"/>
      <c r="O2518" s="703"/>
      <c r="P2518" s="562"/>
      <c r="Q2518" s="372"/>
      <c r="R2518" s="695"/>
      <c r="S2518" s="372"/>
      <c r="T2518" s="696"/>
      <c r="U2518" s="372"/>
      <c r="V2518" s="722"/>
      <c r="W2518" s="722"/>
      <c r="X2518" s="722"/>
      <c r="Y2518" s="722"/>
      <c r="Z2518" s="382"/>
      <c r="AA2518" s="372"/>
      <c r="AB2518" s="372"/>
      <c r="AC2518" s="372"/>
      <c r="AD2518" s="372"/>
      <c r="AE2518" s="372"/>
      <c r="AF2518" s="372"/>
      <c r="AG2518" s="372"/>
      <c r="AH2518" s="372"/>
    </row>
    <row r="2519" spans="1:34">
      <c r="A2519" s="372"/>
      <c r="B2519" s="372"/>
      <c r="C2519" s="372"/>
      <c r="D2519" s="374"/>
      <c r="E2519" s="372"/>
      <c r="F2519" s="372"/>
      <c r="G2519" s="375"/>
      <c r="H2519" s="375"/>
      <c r="I2519" s="375"/>
      <c r="J2519" s="375"/>
      <c r="K2519" s="375"/>
      <c r="L2519" s="375"/>
      <c r="M2519" s="375"/>
      <c r="N2519" s="372"/>
      <c r="O2519" s="703"/>
      <c r="P2519" s="562"/>
      <c r="Q2519" s="372"/>
      <c r="R2519" s="695"/>
      <c r="S2519" s="372"/>
      <c r="T2519" s="696"/>
      <c r="U2519" s="372"/>
      <c r="V2519" s="722"/>
      <c r="W2519" s="722"/>
      <c r="X2519" s="722"/>
      <c r="Y2519" s="722"/>
      <c r="Z2519" s="382"/>
      <c r="AA2519" s="372"/>
      <c r="AB2519" s="372"/>
      <c r="AC2519" s="372"/>
      <c r="AD2519" s="372"/>
      <c r="AE2519" s="372"/>
      <c r="AF2519" s="372"/>
      <c r="AG2519" s="372"/>
      <c r="AH2519" s="372"/>
    </row>
    <row r="2520" spans="1:34">
      <c r="A2520" s="372"/>
      <c r="B2520" s="372"/>
      <c r="C2520" s="372"/>
      <c r="D2520" s="374"/>
      <c r="E2520" s="372"/>
      <c r="F2520" s="372"/>
      <c r="G2520" s="375"/>
      <c r="H2520" s="375"/>
      <c r="I2520" s="375"/>
      <c r="J2520" s="375"/>
      <c r="K2520" s="375"/>
      <c r="L2520" s="375"/>
      <c r="M2520" s="375"/>
      <c r="N2520" s="372"/>
      <c r="O2520" s="703"/>
      <c r="P2520" s="562"/>
      <c r="Q2520" s="372"/>
      <c r="R2520" s="695"/>
      <c r="S2520" s="372"/>
      <c r="T2520" s="696"/>
      <c r="U2520" s="372"/>
      <c r="V2520" s="722"/>
      <c r="W2520" s="722"/>
      <c r="X2520" s="722"/>
      <c r="Y2520" s="722"/>
      <c r="Z2520" s="382"/>
      <c r="AA2520" s="372"/>
      <c r="AB2520" s="372"/>
      <c r="AC2520" s="372"/>
      <c r="AD2520" s="372"/>
      <c r="AE2520" s="372"/>
      <c r="AF2520" s="372"/>
      <c r="AG2520" s="372"/>
      <c r="AH2520" s="372"/>
    </row>
    <row r="2521" spans="1:34">
      <c r="A2521" s="372"/>
      <c r="B2521" s="372"/>
      <c r="C2521" s="372"/>
      <c r="D2521" s="374"/>
      <c r="E2521" s="372"/>
      <c r="F2521" s="372"/>
      <c r="G2521" s="375"/>
      <c r="H2521" s="375"/>
      <c r="I2521" s="375"/>
      <c r="J2521" s="375"/>
      <c r="K2521" s="375"/>
      <c r="L2521" s="375"/>
      <c r="M2521" s="375"/>
      <c r="N2521" s="372"/>
      <c r="O2521" s="703"/>
      <c r="P2521" s="562"/>
      <c r="Q2521" s="372"/>
      <c r="R2521" s="695"/>
      <c r="S2521" s="372"/>
      <c r="T2521" s="696"/>
      <c r="U2521" s="372"/>
      <c r="V2521" s="722"/>
      <c r="W2521" s="722"/>
      <c r="X2521" s="722"/>
      <c r="Y2521" s="722"/>
      <c r="Z2521" s="382"/>
      <c r="AA2521" s="372"/>
      <c r="AB2521" s="372"/>
      <c r="AC2521" s="372"/>
      <c r="AD2521" s="372"/>
      <c r="AE2521" s="372"/>
      <c r="AF2521" s="372"/>
      <c r="AG2521" s="372"/>
      <c r="AH2521" s="372"/>
    </row>
    <row r="2522" spans="1:34">
      <c r="A2522" s="372"/>
      <c r="B2522" s="372"/>
      <c r="C2522" s="372"/>
      <c r="D2522" s="374"/>
      <c r="E2522" s="372"/>
      <c r="F2522" s="372"/>
      <c r="G2522" s="375"/>
      <c r="H2522" s="375"/>
      <c r="I2522" s="375"/>
      <c r="J2522" s="375"/>
      <c r="K2522" s="375"/>
      <c r="L2522" s="375"/>
      <c r="M2522" s="375"/>
      <c r="N2522" s="372"/>
      <c r="O2522" s="703"/>
      <c r="P2522" s="562"/>
      <c r="Q2522" s="372"/>
      <c r="R2522" s="695"/>
      <c r="S2522" s="372"/>
      <c r="T2522" s="696"/>
      <c r="U2522" s="372"/>
      <c r="V2522" s="722"/>
      <c r="W2522" s="722"/>
      <c r="X2522" s="722"/>
      <c r="Y2522" s="722"/>
      <c r="Z2522" s="382"/>
      <c r="AA2522" s="372"/>
      <c r="AB2522" s="372"/>
      <c r="AC2522" s="372"/>
      <c r="AD2522" s="372"/>
      <c r="AE2522" s="372"/>
      <c r="AF2522" s="372"/>
      <c r="AG2522" s="372"/>
      <c r="AH2522" s="372"/>
    </row>
    <row r="2523" spans="1:34">
      <c r="A2523" s="372"/>
      <c r="B2523" s="372"/>
      <c r="C2523" s="372"/>
      <c r="D2523" s="374"/>
      <c r="E2523" s="372"/>
      <c r="F2523" s="372"/>
      <c r="G2523" s="375"/>
      <c r="H2523" s="375"/>
      <c r="I2523" s="375"/>
      <c r="J2523" s="375"/>
      <c r="K2523" s="375"/>
      <c r="L2523" s="375"/>
      <c r="M2523" s="375"/>
      <c r="N2523" s="372"/>
      <c r="O2523" s="703"/>
      <c r="P2523" s="562"/>
      <c r="Q2523" s="372"/>
      <c r="R2523" s="695"/>
      <c r="S2523" s="372"/>
      <c r="T2523" s="696"/>
      <c r="U2523" s="372"/>
      <c r="V2523" s="722"/>
      <c r="W2523" s="722"/>
      <c r="X2523" s="722"/>
      <c r="Y2523" s="722"/>
      <c r="Z2523" s="382"/>
      <c r="AA2523" s="372"/>
      <c r="AB2523" s="372"/>
      <c r="AC2523" s="372"/>
      <c r="AD2523" s="372"/>
      <c r="AE2523" s="372"/>
      <c r="AF2523" s="372"/>
      <c r="AG2523" s="372"/>
      <c r="AH2523" s="372"/>
    </row>
    <row r="2524" spans="1:34">
      <c r="A2524" s="372"/>
      <c r="B2524" s="372"/>
      <c r="C2524" s="372"/>
      <c r="D2524" s="374"/>
      <c r="E2524" s="372"/>
      <c r="F2524" s="372"/>
      <c r="G2524" s="375"/>
      <c r="H2524" s="375"/>
      <c r="I2524" s="375"/>
      <c r="J2524" s="375"/>
      <c r="K2524" s="375"/>
      <c r="L2524" s="375"/>
      <c r="M2524" s="375"/>
      <c r="N2524" s="372"/>
      <c r="O2524" s="703"/>
      <c r="P2524" s="562"/>
      <c r="Q2524" s="372"/>
      <c r="R2524" s="695"/>
      <c r="S2524" s="372"/>
      <c r="T2524" s="696"/>
      <c r="U2524" s="372"/>
      <c r="V2524" s="722"/>
      <c r="W2524" s="722"/>
      <c r="X2524" s="722"/>
      <c r="Y2524" s="722"/>
      <c r="Z2524" s="382"/>
      <c r="AA2524" s="372"/>
      <c r="AB2524" s="372"/>
      <c r="AC2524" s="372"/>
      <c r="AD2524" s="372"/>
      <c r="AE2524" s="372"/>
      <c r="AF2524" s="372"/>
      <c r="AG2524" s="372"/>
      <c r="AH2524" s="372"/>
    </row>
    <row r="2525" spans="1:34">
      <c r="A2525" s="372"/>
      <c r="B2525" s="372"/>
      <c r="C2525" s="372"/>
      <c r="D2525" s="374"/>
      <c r="E2525" s="372"/>
      <c r="F2525" s="372"/>
      <c r="G2525" s="375"/>
      <c r="H2525" s="375"/>
      <c r="I2525" s="375"/>
      <c r="J2525" s="375"/>
      <c r="K2525" s="375"/>
      <c r="L2525" s="375"/>
      <c r="M2525" s="375"/>
      <c r="N2525" s="372"/>
      <c r="O2525" s="703"/>
      <c r="P2525" s="562"/>
      <c r="Q2525" s="372"/>
      <c r="R2525" s="695"/>
      <c r="S2525" s="372"/>
      <c r="T2525" s="696"/>
      <c r="U2525" s="372"/>
      <c r="V2525" s="722"/>
      <c r="W2525" s="722"/>
      <c r="X2525" s="722"/>
      <c r="Y2525" s="722"/>
      <c r="Z2525" s="382"/>
      <c r="AA2525" s="372"/>
      <c r="AB2525" s="372"/>
      <c r="AC2525" s="372"/>
      <c r="AD2525" s="372"/>
      <c r="AE2525" s="372"/>
      <c r="AF2525" s="372"/>
      <c r="AG2525" s="372"/>
      <c r="AH2525" s="372"/>
    </row>
    <row r="2526" spans="1:34">
      <c r="A2526" s="372"/>
      <c r="B2526" s="372"/>
      <c r="C2526" s="372"/>
      <c r="D2526" s="374"/>
      <c r="E2526" s="372"/>
      <c r="F2526" s="372"/>
      <c r="G2526" s="375"/>
      <c r="H2526" s="375"/>
      <c r="I2526" s="375"/>
      <c r="J2526" s="375"/>
      <c r="K2526" s="375"/>
      <c r="L2526" s="375"/>
      <c r="M2526" s="375"/>
      <c r="N2526" s="372"/>
      <c r="O2526" s="703"/>
      <c r="P2526" s="562"/>
      <c r="Q2526" s="372"/>
      <c r="R2526" s="695"/>
      <c r="S2526" s="372"/>
      <c r="T2526" s="696"/>
      <c r="U2526" s="372"/>
      <c r="V2526" s="722"/>
      <c r="W2526" s="722"/>
      <c r="X2526" s="722"/>
      <c r="Y2526" s="722"/>
      <c r="Z2526" s="382"/>
      <c r="AA2526" s="372"/>
      <c r="AB2526" s="372"/>
      <c r="AC2526" s="372"/>
      <c r="AD2526" s="372"/>
      <c r="AE2526" s="372"/>
      <c r="AF2526" s="372"/>
      <c r="AG2526" s="372"/>
      <c r="AH2526" s="372"/>
    </row>
    <row r="2527" spans="1:34">
      <c r="A2527" s="372"/>
      <c r="B2527" s="372"/>
      <c r="C2527" s="372"/>
      <c r="D2527" s="374"/>
      <c r="E2527" s="372"/>
      <c r="F2527" s="372"/>
      <c r="G2527" s="375"/>
      <c r="H2527" s="375"/>
      <c r="I2527" s="375"/>
      <c r="J2527" s="375"/>
      <c r="K2527" s="375"/>
      <c r="L2527" s="375"/>
      <c r="M2527" s="375"/>
      <c r="N2527" s="372"/>
      <c r="O2527" s="703"/>
      <c r="P2527" s="562"/>
      <c r="Q2527" s="372"/>
      <c r="R2527" s="695"/>
      <c r="S2527" s="372"/>
      <c r="T2527" s="696"/>
      <c r="U2527" s="372"/>
      <c r="V2527" s="722"/>
      <c r="W2527" s="722"/>
      <c r="X2527" s="722"/>
      <c r="Y2527" s="722"/>
      <c r="Z2527" s="382"/>
      <c r="AA2527" s="372"/>
      <c r="AB2527" s="372"/>
      <c r="AC2527" s="372"/>
      <c r="AD2527" s="372"/>
      <c r="AE2527" s="372"/>
      <c r="AF2527" s="372"/>
      <c r="AG2527" s="372"/>
      <c r="AH2527" s="372"/>
    </row>
    <row r="2528" spans="1:34">
      <c r="A2528" s="372"/>
      <c r="B2528" s="372"/>
      <c r="C2528" s="372"/>
      <c r="D2528" s="374"/>
      <c r="E2528" s="372"/>
      <c r="F2528" s="372"/>
      <c r="G2528" s="375"/>
      <c r="H2528" s="375"/>
      <c r="I2528" s="375"/>
      <c r="J2528" s="375"/>
      <c r="K2528" s="375"/>
      <c r="L2528" s="375"/>
      <c r="M2528" s="375"/>
      <c r="N2528" s="372"/>
      <c r="O2528" s="703"/>
      <c r="P2528" s="562"/>
      <c r="Q2528" s="372"/>
      <c r="R2528" s="695"/>
      <c r="S2528" s="372"/>
      <c r="T2528" s="696"/>
      <c r="U2528" s="372"/>
      <c r="V2528" s="722"/>
      <c r="W2528" s="722"/>
      <c r="X2528" s="722"/>
      <c r="Y2528" s="722"/>
      <c r="Z2528" s="382"/>
      <c r="AA2528" s="372"/>
      <c r="AB2528" s="372"/>
      <c r="AC2528" s="372"/>
      <c r="AD2528" s="372"/>
      <c r="AE2528" s="372"/>
      <c r="AF2528" s="372"/>
      <c r="AG2528" s="372"/>
      <c r="AH2528" s="372"/>
    </row>
    <row r="2529" spans="1:34">
      <c r="A2529" s="372"/>
      <c r="B2529" s="372"/>
      <c r="C2529" s="372"/>
      <c r="D2529" s="374"/>
      <c r="E2529" s="372"/>
      <c r="F2529" s="372"/>
      <c r="G2529" s="375"/>
      <c r="H2529" s="375"/>
      <c r="I2529" s="375"/>
      <c r="J2529" s="375"/>
      <c r="K2529" s="375"/>
      <c r="L2529" s="375"/>
      <c r="M2529" s="375"/>
      <c r="N2529" s="372"/>
      <c r="O2529" s="703"/>
      <c r="P2529" s="562"/>
      <c r="Q2529" s="372"/>
      <c r="R2529" s="695"/>
      <c r="S2529" s="372"/>
      <c r="T2529" s="696"/>
      <c r="U2529" s="372"/>
      <c r="V2529" s="722"/>
      <c r="W2529" s="722"/>
      <c r="X2529" s="722"/>
      <c r="Y2529" s="722"/>
      <c r="Z2529" s="382"/>
      <c r="AA2529" s="372"/>
      <c r="AB2529" s="372"/>
      <c r="AC2529" s="372"/>
      <c r="AD2529" s="372"/>
      <c r="AE2529" s="372"/>
      <c r="AF2529" s="372"/>
      <c r="AG2529" s="372"/>
      <c r="AH2529" s="372"/>
    </row>
    <row r="2530" spans="1:34">
      <c r="A2530" s="372"/>
      <c r="B2530" s="372"/>
      <c r="C2530" s="372"/>
      <c r="D2530" s="374"/>
      <c r="E2530" s="372"/>
      <c r="F2530" s="372"/>
      <c r="G2530" s="375"/>
      <c r="H2530" s="375"/>
      <c r="I2530" s="375"/>
      <c r="J2530" s="375"/>
      <c r="K2530" s="375"/>
      <c r="L2530" s="375"/>
      <c r="M2530" s="375"/>
      <c r="N2530" s="372"/>
      <c r="O2530" s="703"/>
      <c r="P2530" s="562"/>
      <c r="Q2530" s="372"/>
      <c r="R2530" s="695"/>
      <c r="S2530" s="372"/>
      <c r="T2530" s="696"/>
      <c r="U2530" s="372"/>
      <c r="V2530" s="722"/>
      <c r="W2530" s="722"/>
      <c r="X2530" s="722"/>
      <c r="Y2530" s="722"/>
      <c r="Z2530" s="382"/>
      <c r="AA2530" s="372"/>
      <c r="AB2530" s="372"/>
      <c r="AC2530" s="372"/>
      <c r="AD2530" s="372"/>
      <c r="AE2530" s="372"/>
      <c r="AF2530" s="372"/>
      <c r="AG2530" s="372"/>
      <c r="AH2530" s="372"/>
    </row>
    <row r="2531" spans="1:34">
      <c r="A2531" s="372"/>
      <c r="B2531" s="372"/>
      <c r="C2531" s="372"/>
      <c r="D2531" s="374"/>
      <c r="E2531" s="372"/>
      <c r="F2531" s="372"/>
      <c r="G2531" s="375"/>
      <c r="H2531" s="375"/>
      <c r="I2531" s="375"/>
      <c r="J2531" s="375"/>
      <c r="K2531" s="375"/>
      <c r="L2531" s="375"/>
      <c r="M2531" s="375"/>
      <c r="N2531" s="372"/>
      <c r="O2531" s="703"/>
      <c r="P2531" s="562"/>
      <c r="Q2531" s="372"/>
      <c r="R2531" s="695"/>
      <c r="S2531" s="372"/>
      <c r="T2531" s="696"/>
      <c r="U2531" s="372"/>
      <c r="V2531" s="722"/>
      <c r="W2531" s="722"/>
      <c r="X2531" s="722"/>
      <c r="Y2531" s="722"/>
      <c r="Z2531" s="382"/>
      <c r="AA2531" s="372"/>
      <c r="AB2531" s="372"/>
      <c r="AC2531" s="372"/>
      <c r="AD2531" s="372"/>
      <c r="AE2531" s="372"/>
      <c r="AF2531" s="372"/>
      <c r="AG2531" s="372"/>
      <c r="AH2531" s="372"/>
    </row>
    <row r="2532" spans="1:34">
      <c r="A2532" s="372"/>
      <c r="B2532" s="372"/>
      <c r="C2532" s="372"/>
      <c r="D2532" s="374"/>
      <c r="E2532" s="372"/>
      <c r="F2532" s="372"/>
      <c r="G2532" s="375"/>
      <c r="H2532" s="375"/>
      <c r="I2532" s="375"/>
      <c r="J2532" s="375"/>
      <c r="K2532" s="375"/>
      <c r="L2532" s="375"/>
      <c r="M2532" s="375"/>
      <c r="N2532" s="372"/>
      <c r="O2532" s="703"/>
      <c r="P2532" s="562"/>
      <c r="Q2532" s="372"/>
      <c r="R2532" s="695"/>
      <c r="S2532" s="372"/>
      <c r="T2532" s="696"/>
      <c r="U2532" s="372"/>
      <c r="V2532" s="722"/>
      <c r="W2532" s="722"/>
      <c r="X2532" s="722"/>
      <c r="Y2532" s="722"/>
      <c r="Z2532" s="382"/>
      <c r="AA2532" s="372"/>
      <c r="AB2532" s="372"/>
      <c r="AC2532" s="372"/>
      <c r="AD2532" s="372"/>
      <c r="AE2532" s="372"/>
      <c r="AF2532" s="372"/>
      <c r="AG2532" s="372"/>
      <c r="AH2532" s="372"/>
    </row>
    <row r="2533" spans="1:34">
      <c r="A2533" s="372"/>
      <c r="B2533" s="372"/>
      <c r="C2533" s="372"/>
      <c r="D2533" s="374"/>
      <c r="E2533" s="372"/>
      <c r="F2533" s="372"/>
      <c r="G2533" s="375"/>
      <c r="H2533" s="375"/>
      <c r="I2533" s="375"/>
      <c r="J2533" s="375"/>
      <c r="K2533" s="375"/>
      <c r="L2533" s="375"/>
      <c r="M2533" s="375"/>
      <c r="N2533" s="372"/>
      <c r="O2533" s="703"/>
      <c r="P2533" s="562"/>
      <c r="Q2533" s="372"/>
      <c r="R2533" s="695"/>
      <c r="S2533" s="372"/>
      <c r="T2533" s="696"/>
      <c r="U2533" s="372"/>
      <c r="V2533" s="722"/>
      <c r="W2533" s="722"/>
      <c r="X2533" s="722"/>
      <c r="Y2533" s="722"/>
      <c r="Z2533" s="382"/>
      <c r="AA2533" s="372"/>
      <c r="AB2533" s="372"/>
      <c r="AC2533" s="372"/>
      <c r="AD2533" s="372"/>
      <c r="AE2533" s="372"/>
      <c r="AF2533" s="372"/>
      <c r="AG2533" s="372"/>
      <c r="AH2533" s="372"/>
    </row>
    <row r="2534" spans="1:34">
      <c r="A2534" s="372"/>
      <c r="B2534" s="372"/>
      <c r="C2534" s="372"/>
      <c r="D2534" s="374"/>
      <c r="E2534" s="372"/>
      <c r="F2534" s="372"/>
      <c r="G2534" s="375"/>
      <c r="H2534" s="375"/>
      <c r="I2534" s="375"/>
      <c r="J2534" s="375"/>
      <c r="K2534" s="375"/>
      <c r="L2534" s="375"/>
      <c r="M2534" s="375"/>
      <c r="N2534" s="372"/>
      <c r="O2534" s="703"/>
      <c r="P2534" s="562"/>
      <c r="Q2534" s="372"/>
      <c r="R2534" s="695"/>
      <c r="S2534" s="372"/>
      <c r="T2534" s="696"/>
      <c r="U2534" s="372"/>
      <c r="V2534" s="722"/>
      <c r="W2534" s="722"/>
      <c r="X2534" s="722"/>
      <c r="Y2534" s="722"/>
      <c r="Z2534" s="382"/>
      <c r="AA2534" s="372"/>
      <c r="AB2534" s="372"/>
      <c r="AC2534" s="372"/>
      <c r="AD2534" s="372"/>
      <c r="AE2534" s="372"/>
      <c r="AF2534" s="372"/>
      <c r="AG2534" s="372"/>
      <c r="AH2534" s="372"/>
    </row>
    <row r="2535" spans="1:34">
      <c r="A2535" s="372"/>
      <c r="B2535" s="372"/>
      <c r="C2535" s="372"/>
      <c r="D2535" s="374"/>
      <c r="E2535" s="372"/>
      <c r="F2535" s="372"/>
      <c r="G2535" s="375"/>
      <c r="H2535" s="375"/>
      <c r="I2535" s="375"/>
      <c r="J2535" s="375"/>
      <c r="K2535" s="375"/>
      <c r="L2535" s="375"/>
      <c r="M2535" s="375"/>
      <c r="N2535" s="372"/>
      <c r="O2535" s="703"/>
      <c r="P2535" s="562"/>
      <c r="Q2535" s="372"/>
      <c r="R2535" s="695"/>
      <c r="S2535" s="372"/>
      <c r="T2535" s="696"/>
      <c r="U2535" s="372"/>
      <c r="V2535" s="722"/>
      <c r="W2535" s="722"/>
      <c r="X2535" s="722"/>
      <c r="Y2535" s="722"/>
      <c r="Z2535" s="382"/>
      <c r="AA2535" s="372"/>
      <c r="AB2535" s="372"/>
      <c r="AC2535" s="372"/>
      <c r="AD2535" s="372"/>
      <c r="AE2535" s="372"/>
      <c r="AF2535" s="372"/>
      <c r="AG2535" s="372"/>
      <c r="AH2535" s="372"/>
    </row>
    <row r="2536" spans="1:34">
      <c r="A2536" s="372"/>
      <c r="B2536" s="372"/>
      <c r="C2536" s="372"/>
      <c r="D2536" s="374"/>
      <c r="E2536" s="372"/>
      <c r="F2536" s="372"/>
      <c r="G2536" s="375"/>
      <c r="H2536" s="375"/>
      <c r="I2536" s="375"/>
      <c r="J2536" s="375"/>
      <c r="K2536" s="375"/>
      <c r="L2536" s="375"/>
      <c r="M2536" s="375"/>
      <c r="N2536" s="372"/>
      <c r="O2536" s="703"/>
      <c r="P2536" s="562"/>
      <c r="Q2536" s="372"/>
      <c r="R2536" s="695"/>
      <c r="S2536" s="372"/>
      <c r="T2536" s="696"/>
      <c r="U2536" s="372"/>
      <c r="V2536" s="722"/>
      <c r="W2536" s="722"/>
      <c r="X2536" s="722"/>
      <c r="Y2536" s="722"/>
      <c r="Z2536" s="382"/>
      <c r="AA2536" s="372"/>
      <c r="AB2536" s="372"/>
      <c r="AC2536" s="372"/>
      <c r="AD2536" s="372"/>
      <c r="AE2536" s="372"/>
      <c r="AF2536" s="372"/>
      <c r="AG2536" s="372"/>
      <c r="AH2536" s="372"/>
    </row>
    <row r="2537" spans="1:34">
      <c r="A2537" s="372"/>
      <c r="B2537" s="372"/>
      <c r="C2537" s="372"/>
      <c r="D2537" s="374"/>
      <c r="E2537" s="372"/>
      <c r="F2537" s="372"/>
      <c r="G2537" s="375"/>
      <c r="H2537" s="375"/>
      <c r="I2537" s="375"/>
      <c r="J2537" s="375"/>
      <c r="K2537" s="375"/>
      <c r="L2537" s="375"/>
      <c r="M2537" s="375"/>
      <c r="N2537" s="372"/>
      <c r="O2537" s="703"/>
      <c r="P2537" s="562"/>
      <c r="Q2537" s="372"/>
      <c r="R2537" s="695"/>
      <c r="S2537" s="372"/>
      <c r="T2537" s="696"/>
      <c r="U2537" s="372"/>
      <c r="V2537" s="722"/>
      <c r="W2537" s="722"/>
      <c r="X2537" s="722"/>
      <c r="Y2537" s="722"/>
      <c r="Z2537" s="382"/>
      <c r="AA2537" s="372"/>
      <c r="AB2537" s="372"/>
      <c r="AC2537" s="372"/>
      <c r="AD2537" s="372"/>
      <c r="AE2537" s="372"/>
      <c r="AF2537" s="372"/>
      <c r="AG2537" s="372"/>
      <c r="AH2537" s="372"/>
    </row>
    <row r="2538" spans="1:34">
      <c r="A2538" s="372"/>
      <c r="B2538" s="372"/>
      <c r="C2538" s="372"/>
      <c r="D2538" s="374"/>
      <c r="E2538" s="372"/>
      <c r="F2538" s="372"/>
      <c r="G2538" s="375"/>
      <c r="H2538" s="375"/>
      <c r="I2538" s="375"/>
      <c r="J2538" s="375"/>
      <c r="K2538" s="375"/>
      <c r="L2538" s="375"/>
      <c r="M2538" s="375"/>
      <c r="N2538" s="372"/>
      <c r="O2538" s="703"/>
      <c r="P2538" s="562"/>
      <c r="Q2538" s="372"/>
      <c r="R2538" s="695"/>
      <c r="S2538" s="372"/>
      <c r="T2538" s="696"/>
      <c r="U2538" s="372"/>
      <c r="V2538" s="722"/>
      <c r="W2538" s="722"/>
      <c r="X2538" s="722"/>
      <c r="Y2538" s="722"/>
      <c r="Z2538" s="382"/>
      <c r="AA2538" s="372"/>
      <c r="AB2538" s="372"/>
      <c r="AC2538" s="372"/>
      <c r="AD2538" s="372"/>
      <c r="AE2538" s="372"/>
      <c r="AF2538" s="372"/>
      <c r="AG2538" s="372"/>
      <c r="AH2538" s="372"/>
    </row>
    <row r="2539" spans="1:34">
      <c r="A2539" s="372"/>
      <c r="B2539" s="372"/>
      <c r="C2539" s="372"/>
      <c r="D2539" s="374"/>
      <c r="E2539" s="372"/>
      <c r="F2539" s="372"/>
      <c r="G2539" s="375"/>
      <c r="H2539" s="375"/>
      <c r="I2539" s="375"/>
      <c r="J2539" s="375"/>
      <c r="K2539" s="375"/>
      <c r="L2539" s="375"/>
      <c r="M2539" s="375"/>
      <c r="N2539" s="372"/>
      <c r="O2539" s="703"/>
      <c r="P2539" s="562"/>
      <c r="Q2539" s="372"/>
      <c r="R2539" s="695"/>
      <c r="S2539" s="372"/>
      <c r="T2539" s="696"/>
      <c r="U2539" s="372"/>
      <c r="V2539" s="722"/>
      <c r="W2539" s="722"/>
      <c r="X2539" s="722"/>
      <c r="Y2539" s="722"/>
      <c r="Z2539" s="382"/>
      <c r="AA2539" s="372"/>
      <c r="AB2539" s="372"/>
      <c r="AC2539" s="372"/>
      <c r="AD2539" s="372"/>
      <c r="AE2539" s="372"/>
      <c r="AF2539" s="372"/>
      <c r="AG2539" s="372"/>
      <c r="AH2539" s="372"/>
    </row>
    <row r="2540" spans="1:34">
      <c r="A2540" s="372"/>
      <c r="B2540" s="372"/>
      <c r="C2540" s="372"/>
      <c r="D2540" s="374"/>
      <c r="E2540" s="372"/>
      <c r="F2540" s="372"/>
      <c r="G2540" s="375"/>
      <c r="H2540" s="375"/>
      <c r="I2540" s="375"/>
      <c r="J2540" s="375"/>
      <c r="K2540" s="375"/>
      <c r="L2540" s="375"/>
      <c r="M2540" s="375"/>
      <c r="N2540" s="372"/>
      <c r="O2540" s="703"/>
      <c r="P2540" s="562"/>
      <c r="Q2540" s="372"/>
      <c r="R2540" s="695"/>
      <c r="S2540" s="372"/>
      <c r="T2540" s="696"/>
      <c r="U2540" s="372"/>
      <c r="V2540" s="722"/>
      <c r="W2540" s="722"/>
      <c r="X2540" s="722"/>
      <c r="Y2540" s="722"/>
      <c r="Z2540" s="382"/>
      <c r="AA2540" s="372"/>
      <c r="AB2540" s="372"/>
      <c r="AC2540" s="372"/>
      <c r="AD2540" s="372"/>
      <c r="AE2540" s="372"/>
      <c r="AF2540" s="372"/>
      <c r="AG2540" s="372"/>
      <c r="AH2540" s="372"/>
    </row>
    <row r="2541" spans="1:34">
      <c r="A2541" s="372"/>
      <c r="B2541" s="372"/>
      <c r="C2541" s="372"/>
      <c r="D2541" s="374"/>
      <c r="E2541" s="372"/>
      <c r="F2541" s="372"/>
      <c r="G2541" s="375"/>
      <c r="H2541" s="375"/>
      <c r="I2541" s="375"/>
      <c r="J2541" s="375"/>
      <c r="K2541" s="375"/>
      <c r="L2541" s="375"/>
      <c r="M2541" s="375"/>
      <c r="N2541" s="372"/>
      <c r="O2541" s="703"/>
      <c r="P2541" s="562"/>
      <c r="Q2541" s="372"/>
      <c r="R2541" s="695"/>
      <c r="S2541" s="372"/>
      <c r="T2541" s="696"/>
      <c r="U2541" s="372"/>
      <c r="V2541" s="722"/>
      <c r="W2541" s="722"/>
      <c r="X2541" s="722"/>
      <c r="Y2541" s="722"/>
      <c r="Z2541" s="382"/>
      <c r="AA2541" s="372"/>
      <c r="AB2541" s="372"/>
      <c r="AC2541" s="372"/>
      <c r="AD2541" s="372"/>
      <c r="AE2541" s="372"/>
      <c r="AF2541" s="372"/>
      <c r="AG2541" s="372"/>
      <c r="AH2541" s="372"/>
    </row>
    <row r="2542" spans="1:34">
      <c r="A2542" s="372"/>
      <c r="B2542" s="372"/>
      <c r="C2542" s="372"/>
      <c r="D2542" s="374"/>
      <c r="E2542" s="372"/>
      <c r="F2542" s="372"/>
      <c r="G2542" s="375"/>
      <c r="H2542" s="375"/>
      <c r="I2542" s="375"/>
      <c r="J2542" s="375"/>
      <c r="K2542" s="375"/>
      <c r="L2542" s="375"/>
      <c r="M2542" s="375"/>
      <c r="N2542" s="372"/>
      <c r="O2542" s="703"/>
      <c r="P2542" s="562"/>
      <c r="Q2542" s="372"/>
      <c r="R2542" s="695"/>
      <c r="S2542" s="372"/>
      <c r="T2542" s="696"/>
      <c r="U2542" s="372"/>
      <c r="V2542" s="722"/>
      <c r="W2542" s="722"/>
      <c r="X2542" s="722"/>
      <c r="Y2542" s="722"/>
      <c r="Z2542" s="382"/>
      <c r="AA2542" s="372"/>
      <c r="AB2542" s="372"/>
      <c r="AC2542" s="372"/>
      <c r="AD2542" s="372"/>
      <c r="AE2542" s="372"/>
      <c r="AF2542" s="372"/>
      <c r="AG2542" s="372"/>
      <c r="AH2542" s="372"/>
    </row>
    <row r="2543" spans="1:34">
      <c r="A2543" s="372"/>
      <c r="B2543" s="372"/>
      <c r="C2543" s="372"/>
      <c r="D2543" s="374"/>
      <c r="E2543" s="372"/>
      <c r="F2543" s="372"/>
      <c r="G2543" s="375"/>
      <c r="H2543" s="375"/>
      <c r="I2543" s="375"/>
      <c r="J2543" s="375"/>
      <c r="K2543" s="375"/>
      <c r="L2543" s="375"/>
      <c r="M2543" s="375"/>
      <c r="N2543" s="372"/>
      <c r="O2543" s="703"/>
      <c r="P2543" s="562"/>
      <c r="Q2543" s="372"/>
      <c r="R2543" s="695"/>
      <c r="S2543" s="372"/>
      <c r="T2543" s="696"/>
      <c r="U2543" s="372"/>
      <c r="V2543" s="722"/>
      <c r="W2543" s="722"/>
      <c r="X2543" s="722"/>
      <c r="Y2543" s="722"/>
      <c r="Z2543" s="382"/>
      <c r="AA2543" s="372"/>
      <c r="AB2543" s="372"/>
      <c r="AC2543" s="372"/>
      <c r="AD2543" s="372"/>
      <c r="AE2543" s="372"/>
      <c r="AF2543" s="372"/>
      <c r="AG2543" s="372"/>
      <c r="AH2543" s="372"/>
    </row>
    <row r="2544" spans="1:34">
      <c r="A2544" s="372"/>
      <c r="B2544" s="372"/>
      <c r="C2544" s="372"/>
      <c r="D2544" s="374"/>
      <c r="E2544" s="372"/>
      <c r="F2544" s="372"/>
      <c r="G2544" s="375"/>
      <c r="H2544" s="375"/>
      <c r="I2544" s="375"/>
      <c r="J2544" s="375"/>
      <c r="K2544" s="375"/>
      <c r="L2544" s="375"/>
      <c r="M2544" s="375"/>
      <c r="N2544" s="372"/>
      <c r="O2544" s="703"/>
      <c r="P2544" s="562"/>
      <c r="Q2544" s="372"/>
      <c r="R2544" s="695"/>
      <c r="S2544" s="372"/>
      <c r="T2544" s="696"/>
      <c r="U2544" s="372"/>
      <c r="V2544" s="722"/>
      <c r="W2544" s="722"/>
      <c r="X2544" s="722"/>
      <c r="Y2544" s="722"/>
      <c r="Z2544" s="382"/>
      <c r="AA2544" s="372"/>
      <c r="AB2544" s="372"/>
      <c r="AC2544" s="372"/>
      <c r="AD2544" s="372"/>
      <c r="AE2544" s="372"/>
      <c r="AF2544" s="372"/>
      <c r="AG2544" s="372"/>
      <c r="AH2544" s="372"/>
    </row>
    <row r="2545" spans="1:34">
      <c r="A2545" s="372"/>
      <c r="B2545" s="372"/>
      <c r="C2545" s="372"/>
      <c r="D2545" s="374"/>
      <c r="E2545" s="372"/>
      <c r="F2545" s="372"/>
      <c r="G2545" s="375"/>
      <c r="H2545" s="375"/>
      <c r="I2545" s="375"/>
      <c r="J2545" s="375"/>
      <c r="K2545" s="375"/>
      <c r="L2545" s="375"/>
      <c r="M2545" s="375"/>
      <c r="N2545" s="372"/>
      <c r="O2545" s="703"/>
      <c r="P2545" s="562"/>
      <c r="Q2545" s="372"/>
      <c r="R2545" s="695"/>
      <c r="S2545" s="372"/>
      <c r="T2545" s="696"/>
      <c r="U2545" s="372"/>
      <c r="V2545" s="722"/>
      <c r="W2545" s="722"/>
      <c r="X2545" s="722"/>
      <c r="Y2545" s="722"/>
      <c r="Z2545" s="382"/>
      <c r="AA2545" s="372"/>
      <c r="AB2545" s="372"/>
      <c r="AC2545" s="372"/>
      <c r="AD2545" s="372"/>
      <c r="AE2545" s="372"/>
      <c r="AF2545" s="372"/>
      <c r="AG2545" s="372"/>
      <c r="AH2545" s="372"/>
    </row>
    <row r="2546" spans="1:34">
      <c r="A2546" s="372"/>
      <c r="B2546" s="372"/>
      <c r="C2546" s="372"/>
      <c r="D2546" s="374"/>
      <c r="E2546" s="372"/>
      <c r="F2546" s="372"/>
      <c r="G2546" s="375"/>
      <c r="H2546" s="375"/>
      <c r="I2546" s="375"/>
      <c r="J2546" s="375"/>
      <c r="K2546" s="375"/>
      <c r="L2546" s="375"/>
      <c r="M2546" s="375"/>
      <c r="N2546" s="372"/>
      <c r="O2546" s="703"/>
      <c r="P2546" s="562"/>
      <c r="Q2546" s="372"/>
      <c r="R2546" s="695"/>
      <c r="S2546" s="372"/>
      <c r="T2546" s="696"/>
      <c r="U2546" s="372"/>
      <c r="V2546" s="722"/>
      <c r="W2546" s="722"/>
      <c r="X2546" s="722"/>
      <c r="Y2546" s="722"/>
      <c r="Z2546" s="382"/>
      <c r="AA2546" s="372"/>
      <c r="AB2546" s="372"/>
      <c r="AC2546" s="372"/>
      <c r="AD2546" s="372"/>
      <c r="AE2546" s="372"/>
      <c r="AF2546" s="372"/>
      <c r="AG2546" s="372"/>
      <c r="AH2546" s="372"/>
    </row>
    <row r="2547" spans="1:34">
      <c r="A2547" s="372"/>
      <c r="B2547" s="372"/>
      <c r="C2547" s="372"/>
      <c r="D2547" s="374"/>
      <c r="E2547" s="372"/>
      <c r="F2547" s="372"/>
      <c r="G2547" s="375"/>
      <c r="H2547" s="375"/>
      <c r="I2547" s="375"/>
      <c r="J2547" s="375"/>
      <c r="K2547" s="375"/>
      <c r="L2547" s="375"/>
      <c r="M2547" s="375"/>
      <c r="N2547" s="372"/>
      <c r="O2547" s="703"/>
      <c r="P2547" s="562"/>
      <c r="Q2547" s="372"/>
      <c r="R2547" s="695"/>
      <c r="S2547" s="372"/>
      <c r="T2547" s="696"/>
      <c r="U2547" s="372"/>
      <c r="V2547" s="722"/>
      <c r="W2547" s="722"/>
      <c r="X2547" s="722"/>
      <c r="Y2547" s="722"/>
      <c r="Z2547" s="382"/>
      <c r="AA2547" s="372"/>
      <c r="AB2547" s="372"/>
      <c r="AC2547" s="372"/>
      <c r="AD2547" s="372"/>
      <c r="AE2547" s="372"/>
      <c r="AF2547" s="372"/>
      <c r="AG2547" s="372"/>
      <c r="AH2547" s="372"/>
    </row>
    <row r="2548" spans="1:34">
      <c r="A2548" s="372"/>
      <c r="B2548" s="372"/>
      <c r="C2548" s="372"/>
      <c r="D2548" s="374"/>
      <c r="E2548" s="372"/>
      <c r="F2548" s="372"/>
      <c r="G2548" s="375"/>
      <c r="H2548" s="375"/>
      <c r="I2548" s="375"/>
      <c r="J2548" s="375"/>
      <c r="K2548" s="375"/>
      <c r="L2548" s="375"/>
      <c r="M2548" s="375"/>
      <c r="N2548" s="372"/>
      <c r="O2548" s="703"/>
      <c r="P2548" s="562"/>
      <c r="Q2548" s="372"/>
      <c r="R2548" s="695"/>
      <c r="S2548" s="372"/>
      <c r="T2548" s="696"/>
      <c r="U2548" s="372"/>
      <c r="V2548" s="722"/>
      <c r="W2548" s="722"/>
      <c r="X2548" s="722"/>
      <c r="Y2548" s="722"/>
      <c r="Z2548" s="382"/>
      <c r="AA2548" s="372"/>
      <c r="AB2548" s="372"/>
      <c r="AC2548" s="372"/>
      <c r="AD2548" s="372"/>
      <c r="AE2548" s="372"/>
      <c r="AF2548" s="372"/>
      <c r="AG2548" s="372"/>
      <c r="AH2548" s="372"/>
    </row>
    <row r="2549" spans="1:34">
      <c r="A2549" s="372"/>
      <c r="B2549" s="372"/>
      <c r="C2549" s="372"/>
      <c r="D2549" s="374"/>
      <c r="E2549" s="372"/>
      <c r="F2549" s="372"/>
      <c r="G2549" s="375"/>
      <c r="H2549" s="375"/>
      <c r="I2549" s="375"/>
      <c r="J2549" s="375"/>
      <c r="K2549" s="375"/>
      <c r="L2549" s="375"/>
      <c r="M2549" s="375"/>
      <c r="N2549" s="372"/>
      <c r="O2549" s="703"/>
      <c r="P2549" s="562"/>
      <c r="Q2549" s="372"/>
      <c r="R2549" s="695"/>
      <c r="S2549" s="372"/>
      <c r="T2549" s="696"/>
      <c r="U2549" s="372"/>
      <c r="V2549" s="722"/>
      <c r="W2549" s="722"/>
      <c r="X2549" s="722"/>
      <c r="Y2549" s="722"/>
      <c r="Z2549" s="382"/>
      <c r="AA2549" s="372"/>
      <c r="AB2549" s="372"/>
      <c r="AC2549" s="372"/>
      <c r="AD2549" s="372"/>
      <c r="AE2549" s="372"/>
      <c r="AF2549" s="372"/>
      <c r="AG2549" s="372"/>
      <c r="AH2549" s="372"/>
    </row>
    <row r="2550" spans="1:34">
      <c r="A2550" s="372"/>
      <c r="B2550" s="372"/>
      <c r="C2550" s="372"/>
      <c r="D2550" s="374"/>
      <c r="E2550" s="372"/>
      <c r="F2550" s="372"/>
      <c r="G2550" s="375"/>
      <c r="H2550" s="375"/>
      <c r="I2550" s="375"/>
      <c r="J2550" s="375"/>
      <c r="K2550" s="375"/>
      <c r="L2550" s="375"/>
      <c r="M2550" s="375"/>
      <c r="N2550" s="372"/>
      <c r="O2550" s="703"/>
      <c r="P2550" s="562"/>
      <c r="Q2550" s="372"/>
      <c r="R2550" s="695"/>
      <c r="S2550" s="372"/>
      <c r="T2550" s="696"/>
      <c r="U2550" s="372"/>
      <c r="V2550" s="722"/>
      <c r="W2550" s="722"/>
      <c r="X2550" s="722"/>
      <c r="Y2550" s="722"/>
      <c r="Z2550" s="382"/>
      <c r="AA2550" s="372"/>
      <c r="AB2550" s="372"/>
      <c r="AC2550" s="372"/>
      <c r="AD2550" s="372"/>
      <c r="AE2550" s="372"/>
      <c r="AF2550" s="372"/>
      <c r="AG2550" s="372"/>
      <c r="AH2550" s="372"/>
    </row>
    <row r="2551" spans="1:34">
      <c r="A2551" s="372"/>
      <c r="B2551" s="372"/>
      <c r="C2551" s="372"/>
      <c r="D2551" s="374"/>
      <c r="E2551" s="372"/>
      <c r="F2551" s="372"/>
      <c r="G2551" s="375"/>
      <c r="H2551" s="375"/>
      <c r="I2551" s="375"/>
      <c r="J2551" s="375"/>
      <c r="K2551" s="375"/>
      <c r="L2551" s="375"/>
      <c r="M2551" s="375"/>
      <c r="N2551" s="372"/>
      <c r="O2551" s="703"/>
      <c r="P2551" s="562"/>
      <c r="Q2551" s="372"/>
      <c r="R2551" s="695"/>
      <c r="S2551" s="372"/>
      <c r="T2551" s="696"/>
      <c r="U2551" s="372"/>
      <c r="V2551" s="722"/>
      <c r="W2551" s="722"/>
      <c r="X2551" s="722"/>
      <c r="Y2551" s="722"/>
      <c r="Z2551" s="382"/>
      <c r="AA2551" s="372"/>
      <c r="AB2551" s="372"/>
      <c r="AC2551" s="372"/>
      <c r="AD2551" s="372"/>
      <c r="AE2551" s="372"/>
      <c r="AF2551" s="372"/>
      <c r="AG2551" s="372"/>
      <c r="AH2551" s="372"/>
    </row>
    <row r="2552" spans="1:34">
      <c r="A2552" s="372"/>
      <c r="B2552" s="372"/>
      <c r="C2552" s="372"/>
      <c r="D2552" s="374"/>
      <c r="E2552" s="372"/>
      <c r="F2552" s="372"/>
      <c r="G2552" s="375"/>
      <c r="H2552" s="375"/>
      <c r="I2552" s="375"/>
      <c r="J2552" s="375"/>
      <c r="K2552" s="375"/>
      <c r="L2552" s="375"/>
      <c r="M2552" s="375"/>
      <c r="N2552" s="372"/>
      <c r="O2552" s="703"/>
      <c r="P2552" s="562"/>
      <c r="Q2552" s="372"/>
      <c r="R2552" s="695"/>
      <c r="S2552" s="372"/>
      <c r="T2552" s="696"/>
      <c r="U2552" s="372"/>
      <c r="V2552" s="722"/>
      <c r="W2552" s="722"/>
      <c r="X2552" s="722"/>
      <c r="Y2552" s="722"/>
      <c r="Z2552" s="382"/>
      <c r="AA2552" s="372"/>
      <c r="AB2552" s="372"/>
      <c r="AC2552" s="372"/>
      <c r="AD2552" s="372"/>
      <c r="AE2552" s="372"/>
      <c r="AF2552" s="372"/>
      <c r="AG2552" s="372"/>
      <c r="AH2552" s="372"/>
    </row>
    <row r="2553" spans="1:34">
      <c r="A2553" s="372"/>
      <c r="B2553" s="372"/>
      <c r="C2553" s="372"/>
      <c r="D2553" s="374"/>
      <c r="E2553" s="372"/>
      <c r="F2553" s="372"/>
      <c r="G2553" s="375"/>
      <c r="H2553" s="375"/>
      <c r="I2553" s="375"/>
      <c r="J2553" s="375"/>
      <c r="K2553" s="375"/>
      <c r="L2553" s="375"/>
      <c r="M2553" s="375"/>
      <c r="N2553" s="372"/>
      <c r="O2553" s="703"/>
      <c r="P2553" s="562"/>
      <c r="Q2553" s="372"/>
      <c r="R2553" s="695"/>
      <c r="S2553" s="372"/>
      <c r="T2553" s="696"/>
      <c r="U2553" s="372"/>
      <c r="V2553" s="722"/>
      <c r="W2553" s="722"/>
      <c r="X2553" s="722"/>
      <c r="Y2553" s="722"/>
      <c r="Z2553" s="382"/>
      <c r="AA2553" s="372"/>
      <c r="AB2553" s="372"/>
      <c r="AC2553" s="372"/>
      <c r="AD2553" s="372"/>
      <c r="AE2553" s="372"/>
      <c r="AF2553" s="372"/>
      <c r="AG2553" s="372"/>
      <c r="AH2553" s="372"/>
    </row>
    <row r="2554" spans="1:34">
      <c r="A2554" s="372"/>
      <c r="B2554" s="372"/>
      <c r="C2554" s="372"/>
      <c r="D2554" s="374"/>
      <c r="E2554" s="372"/>
      <c r="F2554" s="372"/>
      <c r="G2554" s="375"/>
      <c r="H2554" s="375"/>
      <c r="I2554" s="375"/>
      <c r="J2554" s="375"/>
      <c r="K2554" s="375"/>
      <c r="L2554" s="375"/>
      <c r="M2554" s="375"/>
      <c r="N2554" s="372"/>
      <c r="O2554" s="703"/>
      <c r="P2554" s="562"/>
      <c r="Q2554" s="372"/>
      <c r="R2554" s="695"/>
      <c r="S2554" s="372"/>
      <c r="T2554" s="696"/>
      <c r="U2554" s="372"/>
      <c r="V2554" s="722"/>
      <c r="W2554" s="722"/>
      <c r="X2554" s="722"/>
      <c r="Y2554" s="722"/>
      <c r="Z2554" s="382"/>
      <c r="AA2554" s="372"/>
      <c r="AB2554" s="372"/>
      <c r="AC2554" s="372"/>
      <c r="AD2554" s="372"/>
      <c r="AE2554" s="372"/>
      <c r="AF2554" s="372"/>
      <c r="AG2554" s="372"/>
      <c r="AH2554" s="372"/>
    </row>
    <row r="2555" spans="1:34">
      <c r="A2555" s="372"/>
      <c r="B2555" s="372"/>
      <c r="C2555" s="372"/>
      <c r="D2555" s="374"/>
      <c r="E2555" s="372"/>
      <c r="F2555" s="372"/>
      <c r="G2555" s="375"/>
      <c r="H2555" s="375"/>
      <c r="I2555" s="375"/>
      <c r="J2555" s="375"/>
      <c r="K2555" s="375"/>
      <c r="L2555" s="375"/>
      <c r="M2555" s="375"/>
      <c r="N2555" s="372"/>
      <c r="O2555" s="703"/>
      <c r="P2555" s="562"/>
      <c r="Q2555" s="372"/>
      <c r="R2555" s="695"/>
      <c r="S2555" s="372"/>
      <c r="T2555" s="696"/>
      <c r="U2555" s="372"/>
      <c r="V2555" s="722"/>
      <c r="W2555" s="722"/>
      <c r="X2555" s="722"/>
      <c r="Y2555" s="722"/>
      <c r="Z2555" s="382"/>
      <c r="AA2555" s="372"/>
      <c r="AB2555" s="372"/>
      <c r="AC2555" s="372"/>
      <c r="AD2555" s="372"/>
      <c r="AE2555" s="372"/>
      <c r="AF2555" s="372"/>
      <c r="AG2555" s="372"/>
      <c r="AH2555" s="372"/>
    </row>
    <row r="2556" spans="1:34">
      <c r="A2556" s="372"/>
      <c r="B2556" s="372"/>
      <c r="C2556" s="372"/>
      <c r="D2556" s="374"/>
      <c r="E2556" s="372"/>
      <c r="F2556" s="372"/>
      <c r="G2556" s="375"/>
      <c r="H2556" s="375"/>
      <c r="I2556" s="375"/>
      <c r="J2556" s="375"/>
      <c r="K2556" s="375"/>
      <c r="L2556" s="375"/>
      <c r="M2556" s="375"/>
      <c r="N2556" s="372"/>
      <c r="O2556" s="703"/>
      <c r="P2556" s="562"/>
      <c r="Q2556" s="372"/>
      <c r="R2556" s="695"/>
      <c r="S2556" s="372"/>
      <c r="T2556" s="696"/>
      <c r="U2556" s="372"/>
      <c r="V2556" s="722"/>
      <c r="W2556" s="722"/>
      <c r="X2556" s="722"/>
      <c r="Y2556" s="722"/>
      <c r="Z2556" s="382"/>
      <c r="AA2556" s="372"/>
      <c r="AB2556" s="372"/>
      <c r="AC2556" s="372"/>
      <c r="AD2556" s="372"/>
      <c r="AE2556" s="372"/>
      <c r="AF2556" s="372"/>
      <c r="AG2556" s="372"/>
      <c r="AH2556" s="372"/>
    </row>
    <row r="2557" spans="1:34">
      <c r="A2557" s="372"/>
      <c r="B2557" s="372"/>
      <c r="C2557" s="372"/>
      <c r="D2557" s="374"/>
      <c r="E2557" s="372"/>
      <c r="F2557" s="372"/>
      <c r="G2557" s="375"/>
      <c r="H2557" s="375"/>
      <c r="I2557" s="375"/>
      <c r="J2557" s="375"/>
      <c r="K2557" s="375"/>
      <c r="L2557" s="375"/>
      <c r="M2557" s="375"/>
      <c r="N2557" s="372"/>
      <c r="O2557" s="703"/>
      <c r="P2557" s="562"/>
      <c r="Q2557" s="372"/>
      <c r="R2557" s="695"/>
      <c r="S2557" s="372"/>
      <c r="T2557" s="696"/>
      <c r="U2557" s="372"/>
      <c r="V2557" s="722"/>
      <c r="W2557" s="722"/>
      <c r="X2557" s="722"/>
      <c r="Y2557" s="722"/>
      <c r="Z2557" s="382"/>
      <c r="AA2557" s="372"/>
      <c r="AB2557" s="372"/>
      <c r="AC2557" s="372"/>
      <c r="AD2557" s="372"/>
      <c r="AE2557" s="372"/>
      <c r="AF2557" s="372"/>
      <c r="AG2557" s="372"/>
      <c r="AH2557" s="372"/>
    </row>
    <row r="2558" spans="1:34">
      <c r="A2558" s="372"/>
      <c r="B2558" s="372"/>
      <c r="C2558" s="372"/>
      <c r="D2558" s="374"/>
      <c r="E2558" s="372"/>
      <c r="F2558" s="372"/>
      <c r="G2558" s="375"/>
      <c r="H2558" s="375"/>
      <c r="I2558" s="375"/>
      <c r="J2558" s="375"/>
      <c r="K2558" s="375"/>
      <c r="L2558" s="375"/>
      <c r="M2558" s="375"/>
      <c r="N2558" s="372"/>
      <c r="O2558" s="703"/>
      <c r="P2558" s="562"/>
      <c r="Q2558" s="372"/>
      <c r="R2558" s="695"/>
      <c r="S2558" s="372"/>
      <c r="T2558" s="696"/>
      <c r="U2558" s="372"/>
      <c r="V2558" s="722"/>
      <c r="W2558" s="722"/>
      <c r="X2558" s="722"/>
      <c r="Y2558" s="722"/>
      <c r="Z2558" s="382"/>
      <c r="AA2558" s="372"/>
      <c r="AB2558" s="372"/>
      <c r="AC2558" s="372"/>
      <c r="AD2558" s="372"/>
      <c r="AE2558" s="372"/>
      <c r="AF2558" s="372"/>
      <c r="AG2558" s="372"/>
      <c r="AH2558" s="372"/>
    </row>
    <row r="2559" spans="1:34">
      <c r="A2559" s="372"/>
      <c r="B2559" s="372"/>
      <c r="C2559" s="372"/>
      <c r="D2559" s="374"/>
      <c r="E2559" s="372"/>
      <c r="F2559" s="372"/>
      <c r="G2559" s="375"/>
      <c r="H2559" s="375"/>
      <c r="I2559" s="375"/>
      <c r="J2559" s="375"/>
      <c r="K2559" s="375"/>
      <c r="L2559" s="375"/>
      <c r="M2559" s="375"/>
      <c r="N2559" s="372"/>
      <c r="O2559" s="703"/>
      <c r="P2559" s="562"/>
      <c r="Q2559" s="372"/>
      <c r="R2559" s="695"/>
      <c r="S2559" s="372"/>
      <c r="T2559" s="696"/>
      <c r="U2559" s="372"/>
      <c r="V2559" s="722"/>
      <c r="W2559" s="722"/>
      <c r="X2559" s="722"/>
      <c r="Y2559" s="722"/>
      <c r="Z2559" s="382"/>
      <c r="AA2559" s="372"/>
      <c r="AB2559" s="372"/>
      <c r="AC2559" s="372"/>
      <c r="AD2559" s="372"/>
      <c r="AE2559" s="372"/>
      <c r="AF2559" s="372"/>
      <c r="AG2559" s="372"/>
      <c r="AH2559" s="372"/>
    </row>
    <row r="2560" spans="1:34">
      <c r="A2560" s="372"/>
      <c r="B2560" s="372"/>
      <c r="C2560" s="372"/>
      <c r="D2560" s="374"/>
      <c r="E2560" s="372"/>
      <c r="F2560" s="372"/>
      <c r="G2560" s="375"/>
      <c r="H2560" s="375"/>
      <c r="I2560" s="375"/>
      <c r="J2560" s="375"/>
      <c r="K2560" s="375"/>
      <c r="L2560" s="375"/>
      <c r="M2560" s="375"/>
      <c r="N2560" s="372"/>
      <c r="O2560" s="703"/>
      <c r="P2560" s="562"/>
      <c r="Q2560" s="372"/>
      <c r="R2560" s="695"/>
      <c r="S2560" s="372"/>
      <c r="T2560" s="696"/>
      <c r="U2560" s="372"/>
      <c r="V2560" s="722"/>
      <c r="W2560" s="722"/>
      <c r="X2560" s="722"/>
      <c r="Y2560" s="722"/>
      <c r="Z2560" s="382"/>
      <c r="AA2560" s="372"/>
      <c r="AB2560" s="372"/>
      <c r="AC2560" s="372"/>
      <c r="AD2560" s="372"/>
      <c r="AE2560" s="372"/>
      <c r="AF2560" s="372"/>
      <c r="AG2560" s="372"/>
      <c r="AH2560" s="372"/>
    </row>
    <row r="2561" spans="1:34">
      <c r="A2561" s="372"/>
      <c r="B2561" s="372"/>
      <c r="C2561" s="372"/>
      <c r="D2561" s="374"/>
      <c r="E2561" s="372"/>
      <c r="F2561" s="372"/>
      <c r="G2561" s="375"/>
      <c r="H2561" s="375"/>
      <c r="I2561" s="375"/>
      <c r="J2561" s="375"/>
      <c r="K2561" s="375"/>
      <c r="L2561" s="375"/>
      <c r="M2561" s="375"/>
      <c r="N2561" s="372"/>
      <c r="O2561" s="703"/>
      <c r="P2561" s="562"/>
      <c r="Q2561" s="372"/>
      <c r="R2561" s="695"/>
      <c r="S2561" s="372"/>
      <c r="T2561" s="696"/>
      <c r="U2561" s="372"/>
      <c r="V2561" s="722"/>
      <c r="W2561" s="722"/>
      <c r="X2561" s="722"/>
      <c r="Y2561" s="722"/>
      <c r="Z2561" s="382"/>
      <c r="AA2561" s="372"/>
      <c r="AB2561" s="372"/>
      <c r="AC2561" s="372"/>
      <c r="AD2561" s="372"/>
      <c r="AE2561" s="372"/>
      <c r="AF2561" s="372"/>
      <c r="AG2561" s="372"/>
      <c r="AH2561" s="372"/>
    </row>
    <row r="2562" spans="1:34">
      <c r="A2562" s="372"/>
      <c r="B2562" s="372"/>
      <c r="C2562" s="372"/>
      <c r="D2562" s="374"/>
      <c r="E2562" s="372"/>
      <c r="F2562" s="372"/>
      <c r="G2562" s="375"/>
      <c r="H2562" s="375"/>
      <c r="I2562" s="375"/>
      <c r="J2562" s="375"/>
      <c r="K2562" s="375"/>
      <c r="L2562" s="375"/>
      <c r="M2562" s="375"/>
      <c r="N2562" s="372"/>
      <c r="O2562" s="703"/>
      <c r="P2562" s="562"/>
      <c r="Q2562" s="372"/>
      <c r="R2562" s="695"/>
      <c r="S2562" s="372"/>
      <c r="T2562" s="696"/>
      <c r="U2562" s="372"/>
      <c r="V2562" s="722"/>
      <c r="W2562" s="722"/>
      <c r="X2562" s="722"/>
      <c r="Y2562" s="722"/>
      <c r="Z2562" s="382"/>
      <c r="AA2562" s="372"/>
      <c r="AB2562" s="372"/>
      <c r="AC2562" s="372"/>
      <c r="AD2562" s="372"/>
      <c r="AE2562" s="372"/>
      <c r="AF2562" s="372"/>
      <c r="AG2562" s="372"/>
      <c r="AH2562" s="372"/>
    </row>
    <row r="2563" spans="1:34">
      <c r="A2563" s="372"/>
      <c r="B2563" s="372"/>
      <c r="C2563" s="372"/>
      <c r="D2563" s="374"/>
      <c r="E2563" s="372"/>
      <c r="F2563" s="372"/>
      <c r="G2563" s="375"/>
      <c r="H2563" s="375"/>
      <c r="I2563" s="375"/>
      <c r="J2563" s="375"/>
      <c r="K2563" s="375"/>
      <c r="L2563" s="375"/>
      <c r="M2563" s="375"/>
      <c r="N2563" s="372"/>
      <c r="O2563" s="703"/>
      <c r="P2563" s="562"/>
      <c r="Q2563" s="372"/>
      <c r="R2563" s="695"/>
      <c r="S2563" s="372"/>
      <c r="T2563" s="696"/>
      <c r="U2563" s="372"/>
      <c r="V2563" s="722"/>
      <c r="W2563" s="722"/>
      <c r="X2563" s="722"/>
      <c r="Y2563" s="722"/>
      <c r="Z2563" s="382"/>
      <c r="AA2563" s="372"/>
      <c r="AB2563" s="372"/>
      <c r="AC2563" s="372"/>
      <c r="AD2563" s="372"/>
      <c r="AE2563" s="372"/>
      <c r="AF2563" s="372"/>
      <c r="AG2563" s="372"/>
      <c r="AH2563" s="372"/>
    </row>
    <row r="2564" spans="1:34">
      <c r="A2564" s="372"/>
      <c r="B2564" s="372"/>
      <c r="C2564" s="372"/>
      <c r="D2564" s="374"/>
      <c r="E2564" s="372"/>
      <c r="F2564" s="372"/>
      <c r="G2564" s="375"/>
      <c r="H2564" s="375"/>
      <c r="I2564" s="375"/>
      <c r="J2564" s="375"/>
      <c r="K2564" s="375"/>
      <c r="L2564" s="375"/>
      <c r="M2564" s="375"/>
      <c r="N2564" s="372"/>
      <c r="O2564" s="703"/>
      <c r="P2564" s="562"/>
      <c r="Q2564" s="372"/>
      <c r="R2564" s="695"/>
      <c r="S2564" s="372"/>
      <c r="T2564" s="696"/>
      <c r="U2564" s="372"/>
      <c r="V2564" s="722"/>
      <c r="W2564" s="722"/>
      <c r="X2564" s="722"/>
      <c r="Y2564" s="722"/>
      <c r="Z2564" s="382"/>
      <c r="AA2564" s="372"/>
      <c r="AB2564" s="372"/>
      <c r="AC2564" s="372"/>
      <c r="AD2564" s="372"/>
      <c r="AE2564" s="372"/>
      <c r="AF2564" s="372"/>
      <c r="AG2564" s="372"/>
      <c r="AH2564" s="372"/>
    </row>
    <row r="2565" spans="1:34">
      <c r="A2565" s="372"/>
      <c r="B2565" s="372"/>
      <c r="C2565" s="372"/>
      <c r="D2565" s="374"/>
      <c r="E2565" s="372"/>
      <c r="F2565" s="372"/>
      <c r="G2565" s="375"/>
      <c r="H2565" s="375"/>
      <c r="I2565" s="375"/>
      <c r="J2565" s="375"/>
      <c r="K2565" s="375"/>
      <c r="L2565" s="375"/>
      <c r="M2565" s="375"/>
      <c r="N2565" s="372"/>
      <c r="O2565" s="703"/>
      <c r="P2565" s="562"/>
      <c r="Q2565" s="372"/>
      <c r="R2565" s="695"/>
      <c r="S2565" s="372"/>
      <c r="T2565" s="696"/>
      <c r="U2565" s="372"/>
      <c r="V2565" s="722"/>
      <c r="W2565" s="722"/>
      <c r="X2565" s="722"/>
      <c r="Y2565" s="722"/>
      <c r="Z2565" s="382"/>
      <c r="AA2565" s="372"/>
      <c r="AB2565" s="372"/>
      <c r="AC2565" s="372"/>
      <c r="AD2565" s="372"/>
      <c r="AE2565" s="372"/>
      <c r="AF2565" s="372"/>
      <c r="AG2565" s="372"/>
      <c r="AH2565" s="372"/>
    </row>
    <row r="2566" spans="1:34">
      <c r="A2566" s="372"/>
      <c r="B2566" s="372"/>
      <c r="C2566" s="372"/>
      <c r="D2566" s="374"/>
      <c r="E2566" s="372"/>
      <c r="F2566" s="372"/>
      <c r="G2566" s="375"/>
      <c r="H2566" s="375"/>
      <c r="I2566" s="375"/>
      <c r="J2566" s="375"/>
      <c r="K2566" s="375"/>
      <c r="L2566" s="375"/>
      <c r="M2566" s="375"/>
      <c r="N2566" s="372"/>
      <c r="O2566" s="703"/>
      <c r="P2566" s="562"/>
      <c r="Q2566" s="372"/>
      <c r="R2566" s="695"/>
      <c r="S2566" s="372"/>
      <c r="T2566" s="696"/>
      <c r="U2566" s="372"/>
      <c r="V2566" s="722"/>
      <c r="W2566" s="722"/>
      <c r="X2566" s="722"/>
      <c r="Y2566" s="722"/>
      <c r="Z2566" s="382"/>
      <c r="AA2566" s="372"/>
      <c r="AB2566" s="372"/>
      <c r="AC2566" s="372"/>
      <c r="AD2566" s="372"/>
      <c r="AE2566" s="372"/>
      <c r="AF2566" s="372"/>
      <c r="AG2566" s="372"/>
      <c r="AH2566" s="372"/>
    </row>
    <row r="2567" spans="1:34">
      <c r="A2567" s="372"/>
      <c r="B2567" s="372"/>
      <c r="C2567" s="372"/>
      <c r="D2567" s="374"/>
      <c r="E2567" s="372"/>
      <c r="F2567" s="372"/>
      <c r="G2567" s="375"/>
      <c r="H2567" s="375"/>
      <c r="I2567" s="375"/>
      <c r="J2567" s="375"/>
      <c r="K2567" s="375"/>
      <c r="L2567" s="375"/>
      <c r="M2567" s="375"/>
      <c r="N2567" s="372"/>
      <c r="O2567" s="703"/>
      <c r="P2567" s="562"/>
      <c r="Q2567" s="372"/>
      <c r="R2567" s="695"/>
      <c r="S2567" s="372"/>
      <c r="T2567" s="696"/>
      <c r="U2567" s="372"/>
      <c r="V2567" s="722"/>
      <c r="W2567" s="722"/>
      <c r="X2567" s="722"/>
      <c r="Y2567" s="722"/>
      <c r="Z2567" s="382"/>
      <c r="AA2567" s="372"/>
      <c r="AB2567" s="372"/>
      <c r="AC2567" s="372"/>
      <c r="AD2567" s="372"/>
      <c r="AE2567" s="372"/>
      <c r="AF2567" s="372"/>
      <c r="AG2567" s="372"/>
      <c r="AH2567" s="372"/>
    </row>
    <row r="2568" spans="1:34">
      <c r="A2568" s="372"/>
      <c r="B2568" s="372"/>
      <c r="C2568" s="372"/>
      <c r="D2568" s="374"/>
      <c r="E2568" s="372"/>
      <c r="F2568" s="372"/>
      <c r="G2568" s="375"/>
      <c r="H2568" s="375"/>
      <c r="I2568" s="375"/>
      <c r="J2568" s="375"/>
      <c r="K2568" s="375"/>
      <c r="L2568" s="375"/>
      <c r="M2568" s="375"/>
      <c r="N2568" s="372"/>
      <c r="O2568" s="703"/>
      <c r="P2568" s="562"/>
      <c r="Q2568" s="372"/>
      <c r="R2568" s="695"/>
      <c r="S2568" s="372"/>
      <c r="T2568" s="696"/>
      <c r="U2568" s="372"/>
      <c r="V2568" s="722"/>
      <c r="W2568" s="722"/>
      <c r="X2568" s="722"/>
      <c r="Y2568" s="722"/>
      <c r="Z2568" s="382"/>
      <c r="AA2568" s="372"/>
      <c r="AB2568" s="372"/>
      <c r="AC2568" s="372"/>
      <c r="AD2568" s="372"/>
      <c r="AE2568" s="372"/>
      <c r="AF2568" s="372"/>
      <c r="AG2568" s="372"/>
      <c r="AH2568" s="372"/>
    </row>
    <row r="2569" spans="1:34">
      <c r="A2569" s="372"/>
      <c r="B2569" s="372"/>
      <c r="C2569" s="372"/>
      <c r="D2569" s="374"/>
      <c r="E2569" s="372"/>
      <c r="F2569" s="372"/>
      <c r="G2569" s="375"/>
      <c r="H2569" s="375"/>
      <c r="I2569" s="375"/>
      <c r="J2569" s="375"/>
      <c r="K2569" s="375"/>
      <c r="L2569" s="375"/>
      <c r="M2569" s="375"/>
      <c r="N2569" s="372"/>
      <c r="O2569" s="703"/>
      <c r="P2569" s="562"/>
      <c r="Q2569" s="372"/>
      <c r="R2569" s="695"/>
      <c r="S2569" s="372"/>
      <c r="T2569" s="696"/>
      <c r="U2569" s="372"/>
      <c r="V2569" s="722"/>
      <c r="W2569" s="722"/>
      <c r="X2569" s="722"/>
      <c r="Y2569" s="722"/>
      <c r="Z2569" s="382"/>
      <c r="AA2569" s="372"/>
      <c r="AB2569" s="372"/>
      <c r="AC2569" s="372"/>
      <c r="AD2569" s="372"/>
      <c r="AE2569" s="372"/>
      <c r="AF2569" s="372"/>
      <c r="AG2569" s="372"/>
      <c r="AH2569" s="372"/>
    </row>
    <row r="2570" spans="1:34">
      <c r="A2570" s="372"/>
      <c r="B2570" s="372"/>
      <c r="C2570" s="372"/>
      <c r="D2570" s="374"/>
      <c r="E2570" s="372"/>
      <c r="F2570" s="372"/>
      <c r="G2570" s="375"/>
      <c r="H2570" s="375"/>
      <c r="I2570" s="375"/>
      <c r="J2570" s="375"/>
      <c r="K2570" s="375"/>
      <c r="L2570" s="375"/>
      <c r="M2570" s="375"/>
      <c r="N2570" s="372"/>
      <c r="O2570" s="703"/>
      <c r="P2570" s="562"/>
      <c r="Q2570" s="372"/>
      <c r="R2570" s="695"/>
      <c r="S2570" s="372"/>
      <c r="T2570" s="696"/>
      <c r="U2570" s="372"/>
      <c r="V2570" s="722"/>
      <c r="W2570" s="722"/>
      <c r="X2570" s="722"/>
      <c r="Y2570" s="722"/>
      <c r="Z2570" s="382"/>
      <c r="AA2570" s="372"/>
      <c r="AB2570" s="372"/>
      <c r="AC2570" s="372"/>
      <c r="AD2570" s="372"/>
      <c r="AE2570" s="372"/>
      <c r="AF2570" s="372"/>
      <c r="AG2570" s="372"/>
      <c r="AH2570" s="372"/>
    </row>
    <row r="2571" spans="1:34">
      <c r="A2571" s="372"/>
      <c r="B2571" s="372"/>
      <c r="C2571" s="372"/>
      <c r="D2571" s="374"/>
      <c r="E2571" s="372"/>
      <c r="F2571" s="372"/>
      <c r="G2571" s="375"/>
      <c r="H2571" s="375"/>
      <c r="I2571" s="375"/>
      <c r="J2571" s="375"/>
      <c r="K2571" s="375"/>
      <c r="L2571" s="375"/>
      <c r="M2571" s="375"/>
      <c r="N2571" s="372"/>
      <c r="O2571" s="703"/>
      <c r="P2571" s="562"/>
      <c r="Q2571" s="372"/>
      <c r="R2571" s="695"/>
      <c r="S2571" s="372"/>
      <c r="T2571" s="696"/>
      <c r="U2571" s="372"/>
      <c r="V2571" s="722"/>
      <c r="W2571" s="722"/>
      <c r="X2571" s="722"/>
      <c r="Y2571" s="722"/>
      <c r="Z2571" s="382"/>
      <c r="AA2571" s="372"/>
      <c r="AB2571" s="372"/>
      <c r="AC2571" s="372"/>
      <c r="AD2571" s="372"/>
      <c r="AE2571" s="372"/>
      <c r="AF2571" s="372"/>
      <c r="AG2571" s="372"/>
      <c r="AH2571" s="372"/>
    </row>
    <row r="2572" spans="1:34">
      <c r="A2572" s="372"/>
      <c r="B2572" s="372"/>
      <c r="C2572" s="372"/>
      <c r="D2572" s="374"/>
      <c r="E2572" s="372"/>
      <c r="F2572" s="372"/>
      <c r="G2572" s="375"/>
      <c r="H2572" s="375"/>
      <c r="I2572" s="375"/>
      <c r="J2572" s="375"/>
      <c r="K2572" s="375"/>
      <c r="L2572" s="375"/>
      <c r="M2572" s="375"/>
      <c r="N2572" s="372"/>
      <c r="O2572" s="703"/>
      <c r="P2572" s="562"/>
      <c r="Q2572" s="372"/>
      <c r="R2572" s="695"/>
      <c r="S2572" s="372"/>
      <c r="T2572" s="696"/>
      <c r="U2572" s="372"/>
      <c r="V2572" s="722"/>
      <c r="W2572" s="722"/>
      <c r="X2572" s="722"/>
      <c r="Y2572" s="722"/>
      <c r="Z2572" s="382"/>
      <c r="AA2572" s="372"/>
      <c r="AB2572" s="372"/>
      <c r="AC2572" s="372"/>
      <c r="AD2572" s="372"/>
      <c r="AE2572" s="372"/>
      <c r="AF2572" s="372"/>
      <c r="AG2572" s="372"/>
      <c r="AH2572" s="372"/>
    </row>
    <row r="2573" spans="1:34">
      <c r="A2573" s="372"/>
      <c r="B2573" s="372"/>
      <c r="C2573" s="372"/>
      <c r="D2573" s="374"/>
      <c r="E2573" s="372"/>
      <c r="F2573" s="372"/>
      <c r="G2573" s="375"/>
      <c r="H2573" s="375"/>
      <c r="I2573" s="375"/>
      <c r="J2573" s="375"/>
      <c r="K2573" s="375"/>
      <c r="L2573" s="375"/>
      <c r="M2573" s="375"/>
      <c r="N2573" s="372"/>
      <c r="O2573" s="703"/>
      <c r="P2573" s="562"/>
      <c r="Q2573" s="372"/>
      <c r="R2573" s="695"/>
      <c r="S2573" s="372"/>
      <c r="T2573" s="696"/>
      <c r="U2573" s="372"/>
      <c r="V2573" s="722"/>
      <c r="W2573" s="722"/>
      <c r="X2573" s="722"/>
      <c r="Y2573" s="722"/>
      <c r="Z2573" s="382"/>
      <c r="AA2573" s="372"/>
      <c r="AB2573" s="372"/>
      <c r="AC2573" s="372"/>
      <c r="AD2573" s="372"/>
      <c r="AE2573" s="372"/>
      <c r="AF2573" s="372"/>
      <c r="AG2573" s="372"/>
      <c r="AH2573" s="372"/>
    </row>
    <row r="2574" spans="1:34">
      <c r="A2574" s="372"/>
      <c r="B2574" s="372"/>
      <c r="C2574" s="372"/>
      <c r="D2574" s="374"/>
      <c r="E2574" s="372"/>
      <c r="F2574" s="372"/>
      <c r="G2574" s="375"/>
      <c r="H2574" s="375"/>
      <c r="I2574" s="375"/>
      <c r="J2574" s="375"/>
      <c r="K2574" s="375"/>
      <c r="L2574" s="375"/>
      <c r="M2574" s="375"/>
      <c r="N2574" s="372"/>
      <c r="O2574" s="703"/>
      <c r="P2574" s="562"/>
      <c r="Q2574" s="372"/>
      <c r="R2574" s="695"/>
      <c r="S2574" s="372"/>
      <c r="T2574" s="696"/>
      <c r="U2574" s="372"/>
      <c r="V2574" s="722"/>
      <c r="W2574" s="722"/>
      <c r="X2574" s="722"/>
      <c r="Y2574" s="722"/>
      <c r="Z2574" s="382"/>
      <c r="AA2574" s="372"/>
      <c r="AB2574" s="372"/>
      <c r="AC2574" s="372"/>
      <c r="AD2574" s="372"/>
      <c r="AE2574" s="372"/>
      <c r="AF2574" s="372"/>
      <c r="AG2574" s="372"/>
      <c r="AH2574" s="372"/>
    </row>
    <row r="2575" spans="1:34">
      <c r="A2575" s="372"/>
      <c r="B2575" s="372"/>
      <c r="C2575" s="372"/>
      <c r="D2575" s="374"/>
      <c r="E2575" s="372"/>
      <c r="F2575" s="372"/>
      <c r="G2575" s="375"/>
      <c r="H2575" s="375"/>
      <c r="I2575" s="375"/>
      <c r="J2575" s="375"/>
      <c r="K2575" s="375"/>
      <c r="L2575" s="375"/>
      <c r="M2575" s="375"/>
      <c r="N2575" s="372"/>
      <c r="O2575" s="703"/>
      <c r="P2575" s="562"/>
      <c r="Q2575" s="372"/>
      <c r="R2575" s="695"/>
      <c r="S2575" s="372"/>
      <c r="T2575" s="696"/>
      <c r="U2575" s="372"/>
      <c r="V2575" s="722"/>
      <c r="W2575" s="722"/>
      <c r="X2575" s="722"/>
      <c r="Y2575" s="722"/>
      <c r="Z2575" s="382"/>
      <c r="AA2575" s="372"/>
      <c r="AB2575" s="372"/>
      <c r="AC2575" s="372"/>
      <c r="AD2575" s="372"/>
      <c r="AE2575" s="372"/>
      <c r="AF2575" s="372"/>
      <c r="AG2575" s="372"/>
      <c r="AH2575" s="372"/>
    </row>
    <row r="2576" spans="1:34">
      <c r="A2576" s="372"/>
      <c r="B2576" s="372"/>
      <c r="C2576" s="372"/>
      <c r="D2576" s="374"/>
      <c r="E2576" s="372"/>
      <c r="F2576" s="372"/>
      <c r="G2576" s="375"/>
      <c r="H2576" s="375"/>
      <c r="I2576" s="375"/>
      <c r="J2576" s="375"/>
      <c r="K2576" s="375"/>
      <c r="L2576" s="375"/>
      <c r="M2576" s="375"/>
      <c r="N2576" s="372"/>
      <c r="O2576" s="703"/>
      <c r="P2576" s="562"/>
      <c r="Q2576" s="372"/>
      <c r="R2576" s="695"/>
      <c r="S2576" s="372"/>
      <c r="T2576" s="696"/>
      <c r="U2576" s="372"/>
      <c r="V2576" s="722"/>
      <c r="W2576" s="722"/>
      <c r="X2576" s="722"/>
      <c r="Y2576" s="722"/>
      <c r="Z2576" s="382"/>
      <c r="AA2576" s="372"/>
      <c r="AB2576" s="372"/>
      <c r="AC2576" s="372"/>
      <c r="AD2576" s="372"/>
      <c r="AE2576" s="372"/>
      <c r="AF2576" s="372"/>
      <c r="AG2576" s="372"/>
      <c r="AH2576" s="372"/>
    </row>
    <row r="2577" spans="1:34">
      <c r="A2577" s="372"/>
      <c r="B2577" s="372"/>
      <c r="C2577" s="372"/>
      <c r="D2577" s="374"/>
      <c r="E2577" s="372"/>
      <c r="F2577" s="372"/>
      <c r="G2577" s="375"/>
      <c r="H2577" s="375"/>
      <c r="I2577" s="375"/>
      <c r="J2577" s="375"/>
      <c r="K2577" s="375"/>
      <c r="L2577" s="375"/>
      <c r="M2577" s="375"/>
      <c r="N2577" s="372"/>
      <c r="O2577" s="703"/>
      <c r="P2577" s="562"/>
      <c r="Q2577" s="372"/>
      <c r="R2577" s="695"/>
      <c r="S2577" s="372"/>
      <c r="T2577" s="696"/>
      <c r="U2577" s="372"/>
      <c r="V2577" s="722"/>
      <c r="W2577" s="722"/>
      <c r="X2577" s="722"/>
      <c r="Y2577" s="722"/>
      <c r="Z2577" s="382"/>
      <c r="AA2577" s="372"/>
      <c r="AB2577" s="372"/>
      <c r="AC2577" s="372"/>
      <c r="AD2577" s="372"/>
      <c r="AE2577" s="372"/>
      <c r="AF2577" s="372"/>
      <c r="AG2577" s="372"/>
      <c r="AH2577" s="372"/>
    </row>
    <row r="2578" spans="1:34">
      <c r="A2578" s="372"/>
      <c r="B2578" s="372"/>
      <c r="C2578" s="372"/>
      <c r="D2578" s="374"/>
      <c r="E2578" s="372"/>
      <c r="F2578" s="372"/>
      <c r="G2578" s="375"/>
      <c r="H2578" s="375"/>
      <c r="I2578" s="375"/>
      <c r="J2578" s="375"/>
      <c r="K2578" s="375"/>
      <c r="L2578" s="375"/>
      <c r="M2578" s="375"/>
      <c r="N2578" s="372"/>
      <c r="O2578" s="703"/>
      <c r="P2578" s="562"/>
      <c r="Q2578" s="372"/>
      <c r="R2578" s="695"/>
      <c r="S2578" s="372"/>
      <c r="T2578" s="696"/>
      <c r="U2578" s="372"/>
      <c r="V2578" s="722"/>
      <c r="W2578" s="722"/>
      <c r="X2578" s="722"/>
      <c r="Y2578" s="722"/>
      <c r="Z2578" s="382"/>
      <c r="AA2578" s="372"/>
      <c r="AB2578" s="372"/>
      <c r="AC2578" s="372"/>
      <c r="AD2578" s="372"/>
      <c r="AE2578" s="372"/>
      <c r="AF2578" s="372"/>
      <c r="AG2578" s="372"/>
      <c r="AH2578" s="372"/>
    </row>
    <row r="2579" spans="1:34">
      <c r="A2579" s="372"/>
      <c r="B2579" s="372"/>
      <c r="C2579" s="372"/>
      <c r="D2579" s="374"/>
      <c r="E2579" s="372"/>
      <c r="F2579" s="372"/>
      <c r="G2579" s="375"/>
      <c r="H2579" s="375"/>
      <c r="I2579" s="375"/>
      <c r="J2579" s="375"/>
      <c r="K2579" s="375"/>
      <c r="L2579" s="375"/>
      <c r="M2579" s="375"/>
      <c r="N2579" s="372"/>
      <c r="O2579" s="703"/>
      <c r="P2579" s="562"/>
      <c r="Q2579" s="372"/>
      <c r="R2579" s="695"/>
      <c r="S2579" s="372"/>
      <c r="T2579" s="696"/>
      <c r="U2579" s="372"/>
      <c r="V2579" s="722"/>
      <c r="W2579" s="722"/>
      <c r="X2579" s="722"/>
      <c r="Y2579" s="722"/>
      <c r="Z2579" s="382"/>
      <c r="AA2579" s="372"/>
      <c r="AB2579" s="372"/>
      <c r="AC2579" s="372"/>
      <c r="AD2579" s="372"/>
      <c r="AE2579" s="372"/>
      <c r="AF2579" s="372"/>
      <c r="AG2579" s="372"/>
      <c r="AH2579" s="372"/>
    </row>
    <row r="2580" spans="1:34">
      <c r="A2580" s="372"/>
      <c r="B2580" s="372"/>
      <c r="C2580" s="372"/>
      <c r="D2580" s="374"/>
      <c r="E2580" s="372"/>
      <c r="F2580" s="372"/>
      <c r="G2580" s="375"/>
      <c r="H2580" s="375"/>
      <c r="I2580" s="375"/>
      <c r="J2580" s="375"/>
      <c r="K2580" s="375"/>
      <c r="L2580" s="375"/>
      <c r="M2580" s="375"/>
      <c r="N2580" s="372"/>
      <c r="O2580" s="703"/>
      <c r="P2580" s="562"/>
      <c r="Q2580" s="372"/>
      <c r="R2580" s="695"/>
      <c r="S2580" s="372"/>
      <c r="T2580" s="696"/>
      <c r="U2580" s="372"/>
      <c r="V2580" s="722"/>
      <c r="W2580" s="722"/>
      <c r="X2580" s="722"/>
      <c r="Y2580" s="722"/>
      <c r="Z2580" s="382"/>
      <c r="AA2580" s="372"/>
      <c r="AB2580" s="372"/>
      <c r="AC2580" s="372"/>
      <c r="AD2580" s="372"/>
      <c r="AE2580" s="372"/>
      <c r="AF2580" s="372"/>
      <c r="AG2580" s="372"/>
      <c r="AH2580" s="372"/>
    </row>
    <row r="2581" spans="1:34">
      <c r="A2581" s="372"/>
      <c r="B2581" s="372"/>
      <c r="C2581" s="372"/>
      <c r="D2581" s="374"/>
      <c r="E2581" s="372"/>
      <c r="F2581" s="372"/>
      <c r="G2581" s="375"/>
      <c r="H2581" s="375"/>
      <c r="I2581" s="375"/>
      <c r="J2581" s="375"/>
      <c r="K2581" s="375"/>
      <c r="L2581" s="375"/>
      <c r="M2581" s="375"/>
      <c r="N2581" s="372"/>
      <c r="O2581" s="703"/>
      <c r="P2581" s="562"/>
      <c r="Q2581" s="372"/>
      <c r="R2581" s="695"/>
      <c r="S2581" s="372"/>
      <c r="T2581" s="696"/>
      <c r="U2581" s="372"/>
      <c r="V2581" s="722"/>
      <c r="W2581" s="722"/>
      <c r="X2581" s="722"/>
      <c r="Y2581" s="722"/>
      <c r="Z2581" s="382"/>
      <c r="AA2581" s="372"/>
      <c r="AB2581" s="372"/>
      <c r="AC2581" s="372"/>
      <c r="AD2581" s="372"/>
      <c r="AE2581" s="372"/>
      <c r="AF2581" s="372"/>
      <c r="AG2581" s="372"/>
      <c r="AH2581" s="372"/>
    </row>
    <row r="2582" spans="1:34">
      <c r="A2582" s="372"/>
      <c r="B2582" s="372"/>
      <c r="C2582" s="372"/>
      <c r="D2582" s="374"/>
      <c r="E2582" s="372"/>
      <c r="F2582" s="372"/>
      <c r="G2582" s="375"/>
      <c r="H2582" s="375"/>
      <c r="I2582" s="375"/>
      <c r="J2582" s="375"/>
      <c r="K2582" s="375"/>
      <c r="L2582" s="375"/>
      <c r="M2582" s="375"/>
      <c r="N2582" s="372"/>
      <c r="O2582" s="703"/>
      <c r="P2582" s="562"/>
      <c r="Q2582" s="372"/>
      <c r="R2582" s="695"/>
      <c r="S2582" s="372"/>
      <c r="T2582" s="696"/>
      <c r="U2582" s="372"/>
      <c r="V2582" s="722"/>
      <c r="W2582" s="722"/>
      <c r="X2582" s="722"/>
      <c r="Y2582" s="722"/>
      <c r="Z2582" s="382"/>
      <c r="AA2582" s="372"/>
      <c r="AB2582" s="372"/>
      <c r="AC2582" s="372"/>
      <c r="AD2582" s="372"/>
      <c r="AE2582" s="372"/>
      <c r="AF2582" s="372"/>
      <c r="AG2582" s="372"/>
      <c r="AH2582" s="372"/>
    </row>
    <row r="2583" spans="1:34">
      <c r="A2583" s="372"/>
      <c r="B2583" s="372"/>
      <c r="C2583" s="372"/>
      <c r="D2583" s="374"/>
      <c r="E2583" s="372"/>
      <c r="F2583" s="372"/>
      <c r="G2583" s="375"/>
      <c r="H2583" s="375"/>
      <c r="I2583" s="375"/>
      <c r="J2583" s="375"/>
      <c r="K2583" s="375"/>
      <c r="L2583" s="375"/>
      <c r="M2583" s="375"/>
      <c r="N2583" s="372"/>
      <c r="O2583" s="703"/>
      <c r="P2583" s="562"/>
      <c r="Q2583" s="372"/>
      <c r="R2583" s="695"/>
      <c r="S2583" s="372"/>
      <c r="T2583" s="696"/>
      <c r="U2583" s="372"/>
      <c r="V2583" s="722"/>
      <c r="W2583" s="722"/>
      <c r="X2583" s="722"/>
      <c r="Y2583" s="722"/>
      <c r="Z2583" s="382"/>
      <c r="AA2583" s="372"/>
      <c r="AB2583" s="372"/>
      <c r="AC2583" s="372"/>
      <c r="AD2583" s="372"/>
      <c r="AE2583" s="372"/>
      <c r="AF2583" s="372"/>
      <c r="AG2583" s="372"/>
      <c r="AH2583" s="372"/>
    </row>
    <row r="2584" spans="1:34">
      <c r="A2584" s="372"/>
      <c r="B2584" s="372"/>
      <c r="C2584" s="372"/>
      <c r="D2584" s="374"/>
      <c r="E2584" s="372"/>
      <c r="F2584" s="372"/>
      <c r="G2584" s="375"/>
      <c r="H2584" s="375"/>
      <c r="I2584" s="375"/>
      <c r="J2584" s="375"/>
      <c r="K2584" s="375"/>
      <c r="L2584" s="375"/>
      <c r="M2584" s="375"/>
      <c r="N2584" s="372"/>
      <c r="O2584" s="703"/>
      <c r="P2584" s="562"/>
      <c r="Q2584" s="372"/>
      <c r="R2584" s="695"/>
      <c r="S2584" s="372"/>
      <c r="T2584" s="696"/>
      <c r="U2584" s="372"/>
      <c r="V2584" s="722"/>
      <c r="W2584" s="722"/>
      <c r="X2584" s="722"/>
      <c r="Y2584" s="722"/>
      <c r="Z2584" s="382"/>
      <c r="AA2584" s="372"/>
      <c r="AB2584" s="372"/>
      <c r="AC2584" s="372"/>
      <c r="AD2584" s="372"/>
      <c r="AE2584" s="372"/>
      <c r="AF2584" s="372"/>
      <c r="AG2584" s="372"/>
      <c r="AH2584" s="372"/>
    </row>
    <row r="2585" spans="1:34">
      <c r="A2585" s="372"/>
      <c r="B2585" s="372"/>
      <c r="C2585" s="372"/>
      <c r="D2585" s="374"/>
      <c r="E2585" s="372"/>
      <c r="F2585" s="372"/>
      <c r="G2585" s="375"/>
      <c r="H2585" s="375"/>
      <c r="I2585" s="375"/>
      <c r="J2585" s="375"/>
      <c r="K2585" s="375"/>
      <c r="L2585" s="375"/>
      <c r="M2585" s="375"/>
      <c r="N2585" s="372"/>
      <c r="O2585" s="703"/>
      <c r="P2585" s="562"/>
      <c r="Q2585" s="372"/>
      <c r="R2585" s="695"/>
      <c r="S2585" s="372"/>
      <c r="T2585" s="696"/>
      <c r="U2585" s="372"/>
      <c r="V2585" s="722"/>
      <c r="W2585" s="722"/>
      <c r="X2585" s="722"/>
      <c r="Y2585" s="722"/>
      <c r="Z2585" s="382"/>
      <c r="AA2585" s="372"/>
      <c r="AB2585" s="372"/>
      <c r="AC2585" s="372"/>
      <c r="AD2585" s="372"/>
      <c r="AE2585" s="372"/>
      <c r="AF2585" s="372"/>
      <c r="AG2585" s="372"/>
      <c r="AH2585" s="372"/>
    </row>
    <row r="2586" spans="1:34">
      <c r="A2586" s="372"/>
      <c r="B2586" s="372"/>
      <c r="C2586" s="372"/>
      <c r="D2586" s="374"/>
      <c r="E2586" s="372"/>
      <c r="F2586" s="372"/>
      <c r="G2586" s="375"/>
      <c r="H2586" s="375"/>
      <c r="I2586" s="375"/>
      <c r="J2586" s="375"/>
      <c r="K2586" s="375"/>
      <c r="L2586" s="375"/>
      <c r="M2586" s="375"/>
      <c r="N2586" s="372"/>
      <c r="O2586" s="703"/>
      <c r="P2586" s="562"/>
      <c r="Q2586" s="372"/>
      <c r="R2586" s="695"/>
      <c r="S2586" s="372"/>
      <c r="T2586" s="696"/>
      <c r="U2586" s="372"/>
      <c r="V2586" s="722"/>
      <c r="W2586" s="722"/>
      <c r="X2586" s="722"/>
      <c r="Y2586" s="722"/>
      <c r="Z2586" s="382"/>
      <c r="AA2586" s="372"/>
      <c r="AB2586" s="372"/>
      <c r="AC2586" s="372"/>
      <c r="AD2586" s="372"/>
      <c r="AE2586" s="372"/>
      <c r="AF2586" s="372"/>
      <c r="AG2586" s="372"/>
      <c r="AH2586" s="372"/>
    </row>
    <row r="2587" spans="1:34">
      <c r="A2587" s="372"/>
      <c r="B2587" s="372"/>
      <c r="C2587" s="372"/>
      <c r="D2587" s="374"/>
      <c r="E2587" s="372"/>
      <c r="F2587" s="372"/>
      <c r="G2587" s="375"/>
      <c r="H2587" s="375"/>
      <c r="I2587" s="375"/>
      <c r="J2587" s="375"/>
      <c r="K2587" s="375"/>
      <c r="L2587" s="375"/>
      <c r="M2587" s="375"/>
      <c r="N2587" s="372"/>
      <c r="O2587" s="703"/>
      <c r="P2587" s="562"/>
      <c r="Q2587" s="372"/>
      <c r="R2587" s="695"/>
      <c r="S2587" s="372"/>
      <c r="T2587" s="696"/>
      <c r="U2587" s="372"/>
      <c r="V2587" s="722"/>
      <c r="W2587" s="722"/>
      <c r="X2587" s="722"/>
      <c r="Y2587" s="722"/>
      <c r="Z2587" s="382"/>
      <c r="AA2587" s="372"/>
      <c r="AB2587" s="372"/>
      <c r="AC2587" s="372"/>
      <c r="AD2587" s="372"/>
      <c r="AE2587" s="372"/>
      <c r="AF2587" s="372"/>
      <c r="AG2587" s="372"/>
      <c r="AH2587" s="372"/>
    </row>
    <row r="2588" spans="1:34">
      <c r="A2588" s="372"/>
      <c r="B2588" s="372"/>
      <c r="C2588" s="372"/>
      <c r="D2588" s="374"/>
      <c r="E2588" s="372"/>
      <c r="F2588" s="372"/>
      <c r="G2588" s="375"/>
      <c r="H2588" s="375"/>
      <c r="I2588" s="375"/>
      <c r="J2588" s="375"/>
      <c r="K2588" s="375"/>
      <c r="L2588" s="375"/>
      <c r="M2588" s="375"/>
      <c r="N2588" s="372"/>
      <c r="O2588" s="703"/>
      <c r="P2588" s="562"/>
      <c r="Q2588" s="372"/>
      <c r="R2588" s="695"/>
      <c r="S2588" s="372"/>
      <c r="T2588" s="696"/>
      <c r="U2588" s="372"/>
      <c r="V2588" s="722"/>
      <c r="W2588" s="722"/>
      <c r="X2588" s="722"/>
      <c r="Y2588" s="722"/>
      <c r="Z2588" s="382"/>
      <c r="AA2588" s="372"/>
      <c r="AB2588" s="372"/>
      <c r="AC2588" s="372"/>
      <c r="AD2588" s="372"/>
      <c r="AE2588" s="372"/>
      <c r="AF2588" s="372"/>
      <c r="AG2588" s="372"/>
      <c r="AH2588" s="372"/>
    </row>
    <row r="2589" spans="1:34">
      <c r="A2589" s="372"/>
      <c r="B2589" s="372"/>
      <c r="C2589" s="372"/>
      <c r="D2589" s="374"/>
      <c r="E2589" s="372"/>
      <c r="F2589" s="372"/>
      <c r="G2589" s="375"/>
      <c r="H2589" s="375"/>
      <c r="I2589" s="375"/>
      <c r="J2589" s="375"/>
      <c r="K2589" s="375"/>
      <c r="L2589" s="375"/>
      <c r="M2589" s="375"/>
      <c r="N2589" s="372"/>
      <c r="O2589" s="703"/>
      <c r="P2589" s="562"/>
      <c r="Q2589" s="372"/>
      <c r="R2589" s="695"/>
      <c r="S2589" s="372"/>
      <c r="T2589" s="696"/>
      <c r="U2589" s="372"/>
      <c r="V2589" s="722"/>
      <c r="W2589" s="722"/>
      <c r="X2589" s="722"/>
      <c r="Y2589" s="722"/>
      <c r="Z2589" s="382"/>
      <c r="AA2589" s="372"/>
      <c r="AB2589" s="372"/>
      <c r="AC2589" s="372"/>
      <c r="AD2589" s="372"/>
      <c r="AE2589" s="372"/>
      <c r="AF2589" s="372"/>
      <c r="AG2589" s="372"/>
      <c r="AH2589" s="372"/>
    </row>
    <row r="2590" spans="1:34">
      <c r="A2590" s="372"/>
      <c r="B2590" s="372"/>
      <c r="C2590" s="372"/>
      <c r="D2590" s="374"/>
      <c r="E2590" s="372"/>
      <c r="F2590" s="372"/>
      <c r="G2590" s="375"/>
      <c r="H2590" s="375"/>
      <c r="I2590" s="375"/>
      <c r="J2590" s="375"/>
      <c r="K2590" s="375"/>
      <c r="L2590" s="375"/>
      <c r="M2590" s="375"/>
      <c r="N2590" s="372"/>
      <c r="O2590" s="703"/>
      <c r="P2590" s="562"/>
      <c r="Q2590" s="372"/>
      <c r="R2590" s="695"/>
      <c r="S2590" s="372"/>
      <c r="T2590" s="696"/>
      <c r="U2590" s="372"/>
      <c r="V2590" s="722"/>
      <c r="W2590" s="722"/>
      <c r="X2590" s="722"/>
      <c r="Y2590" s="722"/>
      <c r="Z2590" s="382"/>
      <c r="AA2590" s="372"/>
      <c r="AB2590" s="372"/>
      <c r="AC2590" s="372"/>
      <c r="AD2590" s="372"/>
      <c r="AE2590" s="372"/>
      <c r="AF2590" s="372"/>
      <c r="AG2590" s="372"/>
      <c r="AH2590" s="372"/>
    </row>
    <row r="2591" spans="1:34">
      <c r="A2591" s="372"/>
      <c r="B2591" s="372"/>
      <c r="C2591" s="372"/>
      <c r="D2591" s="374"/>
      <c r="E2591" s="372"/>
      <c r="F2591" s="372"/>
      <c r="G2591" s="375"/>
      <c r="H2591" s="375"/>
      <c r="I2591" s="375"/>
      <c r="J2591" s="375"/>
      <c r="K2591" s="375"/>
      <c r="L2591" s="375"/>
      <c r="M2591" s="375"/>
      <c r="N2591" s="372"/>
      <c r="O2591" s="703"/>
      <c r="P2591" s="562"/>
      <c r="Q2591" s="372"/>
      <c r="R2591" s="695"/>
      <c r="S2591" s="372"/>
      <c r="T2591" s="696"/>
      <c r="U2591" s="372"/>
      <c r="V2591" s="722"/>
      <c r="W2591" s="722"/>
      <c r="X2591" s="722"/>
      <c r="Y2591" s="722"/>
      <c r="Z2591" s="382"/>
      <c r="AA2591" s="372"/>
      <c r="AB2591" s="372"/>
      <c r="AC2591" s="372"/>
      <c r="AD2591" s="372"/>
      <c r="AE2591" s="372"/>
      <c r="AF2591" s="372"/>
      <c r="AG2591" s="372"/>
      <c r="AH2591" s="372"/>
    </row>
    <row r="2592" spans="1:34">
      <c r="A2592" s="372"/>
      <c r="B2592" s="372"/>
      <c r="C2592" s="372"/>
      <c r="D2592" s="374"/>
      <c r="E2592" s="372"/>
      <c r="F2592" s="372"/>
      <c r="G2592" s="375"/>
      <c r="H2592" s="375"/>
      <c r="I2592" s="375"/>
      <c r="J2592" s="375"/>
      <c r="K2592" s="375"/>
      <c r="L2592" s="375"/>
      <c r="M2592" s="375"/>
      <c r="N2592" s="372"/>
      <c r="O2592" s="703"/>
      <c r="P2592" s="562"/>
      <c r="Q2592" s="372"/>
      <c r="R2592" s="695"/>
      <c r="S2592" s="372"/>
      <c r="T2592" s="696"/>
      <c r="U2592" s="372"/>
      <c r="V2592" s="722"/>
      <c r="W2592" s="722"/>
      <c r="X2592" s="722"/>
      <c r="Y2592" s="722"/>
      <c r="Z2592" s="382"/>
      <c r="AA2592" s="372"/>
      <c r="AB2592" s="372"/>
      <c r="AC2592" s="372"/>
      <c r="AD2592" s="372"/>
      <c r="AE2592" s="372"/>
      <c r="AF2592" s="372"/>
      <c r="AG2592" s="372"/>
      <c r="AH2592" s="372"/>
    </row>
    <row r="2593" spans="1:34">
      <c r="A2593" s="372"/>
      <c r="B2593" s="372"/>
      <c r="C2593" s="372"/>
      <c r="D2593" s="374"/>
      <c r="E2593" s="372"/>
      <c r="F2593" s="372"/>
      <c r="G2593" s="375"/>
      <c r="H2593" s="375"/>
      <c r="I2593" s="375"/>
      <c r="J2593" s="375"/>
      <c r="K2593" s="375"/>
      <c r="L2593" s="375"/>
      <c r="M2593" s="375"/>
      <c r="N2593" s="372"/>
      <c r="O2593" s="703"/>
      <c r="P2593" s="562"/>
      <c r="Q2593" s="372"/>
      <c r="R2593" s="695"/>
      <c r="S2593" s="372"/>
      <c r="T2593" s="696"/>
      <c r="U2593" s="372"/>
      <c r="V2593" s="722"/>
      <c r="W2593" s="722"/>
      <c r="X2593" s="722"/>
      <c r="Y2593" s="722"/>
      <c r="Z2593" s="382"/>
      <c r="AA2593" s="372"/>
      <c r="AB2593" s="372"/>
      <c r="AC2593" s="372"/>
      <c r="AD2593" s="372"/>
      <c r="AE2593" s="372"/>
      <c r="AF2593" s="372"/>
      <c r="AG2593" s="372"/>
      <c r="AH2593" s="372"/>
    </row>
    <row r="2594" spans="1:34">
      <c r="A2594" s="372"/>
      <c r="B2594" s="372"/>
      <c r="C2594" s="372"/>
      <c r="D2594" s="374"/>
      <c r="E2594" s="372"/>
      <c r="F2594" s="372"/>
      <c r="G2594" s="375"/>
      <c r="H2594" s="375"/>
      <c r="I2594" s="375"/>
      <c r="J2594" s="375"/>
      <c r="K2594" s="375"/>
      <c r="L2594" s="375"/>
      <c r="M2594" s="375"/>
      <c r="N2594" s="372"/>
      <c r="O2594" s="703"/>
      <c r="P2594" s="562"/>
      <c r="Q2594" s="372"/>
      <c r="R2594" s="695"/>
      <c r="S2594" s="372"/>
      <c r="T2594" s="696"/>
      <c r="U2594" s="372"/>
      <c r="V2594" s="722"/>
      <c r="W2594" s="722"/>
      <c r="X2594" s="722"/>
      <c r="Y2594" s="722"/>
      <c r="Z2594" s="382"/>
      <c r="AA2594" s="372"/>
      <c r="AB2594" s="372"/>
      <c r="AC2594" s="372"/>
      <c r="AD2594" s="372"/>
      <c r="AE2594" s="372"/>
      <c r="AF2594" s="372"/>
      <c r="AG2594" s="372"/>
      <c r="AH2594" s="372"/>
    </row>
    <row r="2595" spans="1:34">
      <c r="A2595" s="372"/>
      <c r="B2595" s="372"/>
      <c r="C2595" s="372"/>
      <c r="D2595" s="374"/>
      <c r="E2595" s="372"/>
      <c r="F2595" s="372"/>
      <c r="G2595" s="375"/>
      <c r="H2595" s="375"/>
      <c r="I2595" s="375"/>
      <c r="J2595" s="375"/>
      <c r="K2595" s="375"/>
      <c r="L2595" s="375"/>
      <c r="M2595" s="375"/>
      <c r="N2595" s="372"/>
      <c r="O2595" s="703"/>
      <c r="P2595" s="562"/>
      <c r="Q2595" s="372"/>
      <c r="R2595" s="695"/>
      <c r="S2595" s="372"/>
      <c r="T2595" s="696"/>
      <c r="U2595" s="372"/>
      <c r="V2595" s="722"/>
      <c r="W2595" s="722"/>
      <c r="X2595" s="722"/>
      <c r="Y2595" s="722"/>
      <c r="Z2595" s="382"/>
      <c r="AA2595" s="372"/>
      <c r="AB2595" s="372"/>
      <c r="AC2595" s="372"/>
      <c r="AD2595" s="372"/>
      <c r="AE2595" s="372"/>
      <c r="AF2595" s="372"/>
      <c r="AG2595" s="372"/>
      <c r="AH2595" s="372"/>
    </row>
    <row r="2596" spans="1:34">
      <c r="A2596" s="372"/>
      <c r="B2596" s="372"/>
      <c r="C2596" s="372"/>
      <c r="D2596" s="374"/>
      <c r="E2596" s="372"/>
      <c r="F2596" s="372"/>
      <c r="G2596" s="375"/>
      <c r="H2596" s="375"/>
      <c r="I2596" s="375"/>
      <c r="J2596" s="375"/>
      <c r="K2596" s="375"/>
      <c r="L2596" s="375"/>
      <c r="M2596" s="375"/>
      <c r="N2596" s="372"/>
      <c r="O2596" s="703"/>
      <c r="P2596" s="562"/>
      <c r="Q2596" s="372"/>
      <c r="R2596" s="695"/>
      <c r="S2596" s="372"/>
      <c r="T2596" s="696"/>
      <c r="U2596" s="372"/>
      <c r="V2596" s="722"/>
      <c r="W2596" s="722"/>
      <c r="X2596" s="722"/>
      <c r="Y2596" s="722"/>
      <c r="Z2596" s="382"/>
      <c r="AA2596" s="372"/>
      <c r="AB2596" s="372"/>
      <c r="AC2596" s="372"/>
      <c r="AD2596" s="372"/>
      <c r="AE2596" s="372"/>
      <c r="AF2596" s="372"/>
      <c r="AG2596" s="372"/>
      <c r="AH2596" s="372"/>
    </row>
    <row r="2597" spans="1:34">
      <c r="A2597" s="372"/>
      <c r="B2597" s="372"/>
      <c r="C2597" s="372"/>
      <c r="D2597" s="374"/>
      <c r="E2597" s="372"/>
      <c r="F2597" s="372"/>
      <c r="G2597" s="375"/>
      <c r="H2597" s="375"/>
      <c r="I2597" s="375"/>
      <c r="J2597" s="375"/>
      <c r="K2597" s="375"/>
      <c r="L2597" s="375"/>
      <c r="M2597" s="375"/>
      <c r="N2597" s="372"/>
      <c r="O2597" s="703"/>
      <c r="P2597" s="562"/>
      <c r="Q2597" s="372"/>
      <c r="R2597" s="695"/>
      <c r="S2597" s="372"/>
      <c r="T2597" s="696"/>
      <c r="U2597" s="372"/>
      <c r="V2597" s="722"/>
      <c r="W2597" s="722"/>
      <c r="X2597" s="722"/>
      <c r="Y2597" s="722"/>
      <c r="Z2597" s="382"/>
      <c r="AA2597" s="372"/>
      <c r="AB2597" s="372"/>
      <c r="AC2597" s="372"/>
      <c r="AD2597" s="372"/>
      <c r="AE2597" s="372"/>
      <c r="AF2597" s="372"/>
      <c r="AG2597" s="372"/>
      <c r="AH2597" s="372"/>
    </row>
    <row r="2598" spans="1:34">
      <c r="A2598" s="372"/>
      <c r="B2598" s="372"/>
      <c r="C2598" s="372"/>
      <c r="D2598" s="374"/>
      <c r="E2598" s="372"/>
      <c r="F2598" s="372"/>
      <c r="G2598" s="375"/>
      <c r="H2598" s="375"/>
      <c r="I2598" s="375"/>
      <c r="J2598" s="375"/>
      <c r="K2598" s="375"/>
      <c r="L2598" s="375"/>
      <c r="M2598" s="375"/>
      <c r="N2598" s="372"/>
      <c r="O2598" s="703"/>
      <c r="P2598" s="562"/>
      <c r="Q2598" s="372"/>
      <c r="R2598" s="695"/>
      <c r="S2598" s="372"/>
      <c r="T2598" s="696"/>
      <c r="U2598" s="372"/>
      <c r="V2598" s="722"/>
      <c r="W2598" s="722"/>
      <c r="X2598" s="722"/>
      <c r="Y2598" s="722"/>
      <c r="Z2598" s="382"/>
      <c r="AA2598" s="372"/>
      <c r="AB2598" s="372"/>
      <c r="AC2598" s="372"/>
      <c r="AD2598" s="372"/>
      <c r="AE2598" s="372"/>
      <c r="AF2598" s="372"/>
      <c r="AG2598" s="372"/>
      <c r="AH2598" s="372"/>
    </row>
    <row r="2599" spans="1:34">
      <c r="A2599" s="372"/>
      <c r="B2599" s="372"/>
      <c r="C2599" s="372"/>
      <c r="D2599" s="374"/>
      <c r="E2599" s="372"/>
      <c r="F2599" s="372"/>
      <c r="G2599" s="375"/>
      <c r="H2599" s="375"/>
      <c r="I2599" s="375"/>
      <c r="J2599" s="375"/>
      <c r="K2599" s="375"/>
      <c r="L2599" s="375"/>
      <c r="M2599" s="375"/>
      <c r="N2599" s="372"/>
      <c r="O2599" s="703"/>
      <c r="P2599" s="562"/>
      <c r="Q2599" s="372"/>
      <c r="R2599" s="695"/>
      <c r="S2599" s="372"/>
      <c r="T2599" s="696"/>
      <c r="U2599" s="372"/>
      <c r="V2599" s="722"/>
      <c r="W2599" s="722"/>
      <c r="X2599" s="722"/>
      <c r="Y2599" s="722"/>
      <c r="Z2599" s="382"/>
      <c r="AA2599" s="372"/>
      <c r="AB2599" s="372"/>
      <c r="AC2599" s="372"/>
      <c r="AD2599" s="372"/>
      <c r="AE2599" s="372"/>
      <c r="AF2599" s="372"/>
      <c r="AG2599" s="372"/>
      <c r="AH2599" s="372"/>
    </row>
    <row r="2600" spans="1:34">
      <c r="A2600" s="372"/>
      <c r="B2600" s="372"/>
      <c r="C2600" s="372"/>
      <c r="D2600" s="374"/>
      <c r="E2600" s="372"/>
      <c r="F2600" s="372"/>
      <c r="G2600" s="375"/>
      <c r="H2600" s="375"/>
      <c r="I2600" s="375"/>
      <c r="J2600" s="375"/>
      <c r="K2600" s="375"/>
      <c r="L2600" s="375"/>
      <c r="M2600" s="375"/>
      <c r="N2600" s="372"/>
      <c r="O2600" s="703"/>
      <c r="P2600" s="562"/>
      <c r="Q2600" s="372"/>
      <c r="R2600" s="695"/>
      <c r="S2600" s="372"/>
      <c r="T2600" s="696"/>
      <c r="U2600" s="372"/>
      <c r="V2600" s="722"/>
      <c r="W2600" s="722"/>
      <c r="X2600" s="722"/>
      <c r="Y2600" s="722"/>
      <c r="Z2600" s="382"/>
      <c r="AA2600" s="372"/>
      <c r="AB2600" s="372"/>
      <c r="AC2600" s="372"/>
      <c r="AD2600" s="372"/>
      <c r="AE2600" s="372"/>
      <c r="AF2600" s="372"/>
      <c r="AG2600" s="372"/>
      <c r="AH2600" s="372"/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I120"/>
  <sheetViews>
    <sheetView showGridLines="0" topLeftCell="C1" zoomScale="85" zoomScaleNormal="85" workbookViewId="0">
      <selection activeCell="C1" sqref="C1"/>
    </sheetView>
  </sheetViews>
  <sheetFormatPr defaultColWidth="9" defaultRowHeight="16.5"/>
  <cols>
    <col min="1" max="2" width="9" style="70" hidden="1" customWidth="1"/>
    <col min="3" max="3" width="9" style="70"/>
    <col min="4" max="4" width="39.75" style="70" bestFit="1" customWidth="1"/>
    <col min="5" max="5" width="12.375" style="70" bestFit="1" customWidth="1"/>
    <col min="6" max="7" width="11" style="70" bestFit="1" customWidth="1"/>
    <col min="8" max="8" width="10.875" style="70" customWidth="1"/>
    <col min="9" max="9" width="10.625" style="70" customWidth="1"/>
    <col min="10" max="16384" width="9" style="70"/>
  </cols>
  <sheetData>
    <row r="1" spans="1:8">
      <c r="A1" s="70">
        <v>16</v>
      </c>
      <c r="C1" s="80" t="s">
        <v>16343</v>
      </c>
      <c r="D1" s="80"/>
      <c r="E1" s="69" t="s">
        <v>16377</v>
      </c>
      <c r="F1" s="69" t="s">
        <v>16379</v>
      </c>
      <c r="G1" s="69" t="s">
        <v>16381</v>
      </c>
      <c r="H1" s="69" t="s">
        <v>16383</v>
      </c>
    </row>
    <row r="2" spans="1:8">
      <c r="A2" s="70" t="s">
        <v>14</v>
      </c>
      <c r="B2" s="70" t="s">
        <v>13</v>
      </c>
      <c r="C2" s="80" t="s">
        <v>16344</v>
      </c>
      <c r="D2" s="74" t="s">
        <v>16345</v>
      </c>
      <c r="E2" s="74"/>
      <c r="F2" s="74"/>
      <c r="G2" s="74"/>
      <c r="H2" s="74"/>
    </row>
    <row r="3" spans="1:8">
      <c r="A3" s="70" t="s">
        <v>14</v>
      </c>
      <c r="B3" s="70" t="s">
        <v>13</v>
      </c>
      <c r="C3" s="80" t="s">
        <v>16346</v>
      </c>
      <c r="D3" s="74" t="s">
        <v>16347</v>
      </c>
      <c r="E3" s="74"/>
      <c r="F3" s="74"/>
      <c r="G3" s="74"/>
      <c r="H3" s="74"/>
    </row>
    <row r="4" spans="1:8">
      <c r="A4" s="70" t="s">
        <v>14</v>
      </c>
      <c r="B4" s="70" t="s">
        <v>13</v>
      </c>
      <c r="C4" s="80" t="s">
        <v>16348</v>
      </c>
      <c r="D4" s="74" t="s">
        <v>16349</v>
      </c>
      <c r="E4" s="74"/>
      <c r="F4" s="74"/>
      <c r="G4" s="74"/>
      <c r="H4" s="74"/>
    </row>
    <row r="5" spans="1:8">
      <c r="A5" s="70" t="s">
        <v>14</v>
      </c>
      <c r="B5" s="70" t="s">
        <v>13</v>
      </c>
      <c r="C5" s="80" t="s">
        <v>16350</v>
      </c>
      <c r="D5" s="74" t="s">
        <v>16351</v>
      </c>
      <c r="E5" s="74"/>
      <c r="F5" s="74"/>
      <c r="G5" s="74"/>
      <c r="H5" s="74"/>
    </row>
    <row r="6" spans="1:8">
      <c r="A6" s="70" t="s">
        <v>14</v>
      </c>
      <c r="B6" s="70" t="s">
        <v>13</v>
      </c>
      <c r="C6" s="80" t="s">
        <v>16352</v>
      </c>
      <c r="D6" s="74" t="s">
        <v>16353</v>
      </c>
      <c r="E6" s="74"/>
      <c r="F6" s="74"/>
      <c r="G6" s="74"/>
      <c r="H6" s="74"/>
    </row>
    <row r="7" spans="1:8">
      <c r="A7" s="70" t="s">
        <v>14</v>
      </c>
      <c r="B7" s="70" t="s">
        <v>13</v>
      </c>
      <c r="C7" s="80" t="s">
        <v>16354</v>
      </c>
      <c r="D7" s="74" t="s">
        <v>16355</v>
      </c>
      <c r="E7" s="74">
        <v>300</v>
      </c>
      <c r="F7" s="74">
        <v>11369</v>
      </c>
      <c r="G7" s="74">
        <v>19067</v>
      </c>
      <c r="H7" s="74">
        <v>17502</v>
      </c>
    </row>
    <row r="8" spans="1:8">
      <c r="A8" s="70" t="s">
        <v>14</v>
      </c>
      <c r="B8" s="70" t="s">
        <v>13</v>
      </c>
      <c r="C8" s="80" t="s">
        <v>16356</v>
      </c>
      <c r="D8" s="74" t="s">
        <v>16357</v>
      </c>
      <c r="E8" s="74">
        <v>300</v>
      </c>
      <c r="F8" s="74">
        <v>11369</v>
      </c>
      <c r="G8" s="74">
        <v>19067</v>
      </c>
      <c r="H8" s="74">
        <v>17502</v>
      </c>
    </row>
    <row r="9" spans="1:8">
      <c r="A9" s="70" t="s">
        <v>14</v>
      </c>
      <c r="B9" s="70" t="s">
        <v>13</v>
      </c>
      <c r="C9" s="80" t="s">
        <v>16358</v>
      </c>
      <c r="D9" s="74" t="s">
        <v>16359</v>
      </c>
      <c r="E9" s="84">
        <f>E12+E13</f>
        <v>4811</v>
      </c>
      <c r="F9" s="84">
        <f t="shared" ref="F9:H9" si="0">F12+F13</f>
        <v>595</v>
      </c>
      <c r="G9" s="84">
        <f t="shared" si="0"/>
        <v>856</v>
      </c>
      <c r="H9" s="84">
        <f t="shared" si="0"/>
        <v>0</v>
      </c>
    </row>
    <row r="10" spans="1:8">
      <c r="A10" s="70" t="s">
        <v>14</v>
      </c>
      <c r="B10" s="70" t="s">
        <v>13</v>
      </c>
      <c r="C10" s="80" t="s">
        <v>16360</v>
      </c>
      <c r="D10" s="74" t="s">
        <v>16361</v>
      </c>
      <c r="E10" s="74"/>
      <c r="F10" s="74"/>
      <c r="G10" s="74"/>
      <c r="H10" s="74"/>
    </row>
    <row r="11" spans="1:8">
      <c r="A11" s="70" t="s">
        <v>14</v>
      </c>
      <c r="B11" s="70" t="s">
        <v>13</v>
      </c>
      <c r="C11" s="80" t="s">
        <v>16362</v>
      </c>
      <c r="D11" s="74" t="s">
        <v>16363</v>
      </c>
      <c r="E11" s="74"/>
      <c r="F11" s="74"/>
      <c r="G11" s="74"/>
      <c r="H11" s="74"/>
    </row>
    <row r="12" spans="1:8">
      <c r="A12" s="70" t="s">
        <v>14</v>
      </c>
      <c r="B12" s="70" t="s">
        <v>13</v>
      </c>
      <c r="C12" s="80" t="s">
        <v>16364</v>
      </c>
      <c r="D12" s="74" t="s">
        <v>16365</v>
      </c>
      <c r="E12" s="74">
        <v>594</v>
      </c>
      <c r="F12" s="74">
        <v>28</v>
      </c>
      <c r="G12" s="74">
        <v>428</v>
      </c>
      <c r="H12" s="74"/>
    </row>
    <row r="13" spans="1:8">
      <c r="A13" s="70" t="s">
        <v>14</v>
      </c>
      <c r="B13" s="70" t="s">
        <v>13</v>
      </c>
      <c r="C13" s="80" t="s">
        <v>16366</v>
      </c>
      <c r="D13" s="74" t="s">
        <v>16367</v>
      </c>
      <c r="E13" s="74">
        <v>4217</v>
      </c>
      <c r="F13" s="74">
        <v>567</v>
      </c>
      <c r="G13" s="74">
        <v>428</v>
      </c>
      <c r="H13" s="74"/>
    </row>
    <row r="14" spans="1:8">
      <c r="A14" s="70" t="s">
        <v>14</v>
      </c>
      <c r="B14" s="70" t="s">
        <v>13</v>
      </c>
      <c r="C14" s="80" t="s">
        <v>16368</v>
      </c>
      <c r="D14" s="74" t="s">
        <v>16369</v>
      </c>
      <c r="E14" s="74"/>
      <c r="F14" s="74"/>
      <c r="G14" s="74"/>
      <c r="H14" s="74"/>
    </row>
    <row r="15" spans="1:8">
      <c r="A15" s="70" t="s">
        <v>14</v>
      </c>
      <c r="B15" s="70" t="s">
        <v>13</v>
      </c>
      <c r="C15" s="80" t="s">
        <v>16370</v>
      </c>
      <c r="D15" s="74" t="s">
        <v>16371</v>
      </c>
      <c r="E15" s="74"/>
      <c r="F15" s="74"/>
      <c r="G15" s="74"/>
      <c r="H15" s="74"/>
    </row>
    <row r="16" spans="1:8">
      <c r="A16" s="70" t="s">
        <v>14</v>
      </c>
      <c r="B16" s="70" t="s">
        <v>13</v>
      </c>
      <c r="C16" s="80" t="s">
        <v>16372</v>
      </c>
      <c r="D16" s="74" t="s">
        <v>16373</v>
      </c>
      <c r="E16" s="74"/>
      <c r="F16" s="74"/>
      <c r="G16" s="74"/>
      <c r="H16" s="74"/>
    </row>
    <row r="17" spans="1:9">
      <c r="A17" s="70" t="s">
        <v>14</v>
      </c>
      <c r="B17" s="70" t="s">
        <v>13</v>
      </c>
      <c r="C17" s="80" t="s">
        <v>16374</v>
      </c>
      <c r="D17" s="74" t="s">
        <v>16375</v>
      </c>
      <c r="E17" s="84">
        <f>E8+E12+E14+E16</f>
        <v>894</v>
      </c>
      <c r="F17" s="84">
        <f>F8+F12+F14+F16</f>
        <v>11397</v>
      </c>
      <c r="G17" s="84">
        <f>G8+G12+G14+G16</f>
        <v>19495</v>
      </c>
      <c r="H17" s="84">
        <f>H8+H12+H14+H16</f>
        <v>17502</v>
      </c>
    </row>
    <row r="18" spans="1:9">
      <c r="C18" s="79"/>
      <c r="D18" s="79"/>
      <c r="E18" s="79"/>
      <c r="F18" s="79"/>
      <c r="G18" s="79"/>
      <c r="H18" s="78"/>
    </row>
    <row r="19" spans="1:9">
      <c r="C19" s="79"/>
      <c r="D19" s="79"/>
      <c r="E19" s="79"/>
      <c r="F19" s="79"/>
      <c r="G19" s="79"/>
      <c r="H19" s="76"/>
    </row>
    <row r="20" spans="1:9">
      <c r="C20" s="79"/>
      <c r="D20" s="79"/>
      <c r="E20" s="79"/>
      <c r="F20" s="79"/>
      <c r="G20" s="79"/>
      <c r="H20" s="78"/>
    </row>
    <row r="21" spans="1:9">
      <c r="A21" s="70">
        <v>5</v>
      </c>
      <c r="C21" s="80" t="s">
        <v>16384</v>
      </c>
      <c r="D21" s="80" t="s">
        <v>16385</v>
      </c>
      <c r="E21" s="80" t="s">
        <v>16377</v>
      </c>
      <c r="F21" s="80" t="s">
        <v>16379</v>
      </c>
      <c r="G21" s="80" t="s">
        <v>16381</v>
      </c>
      <c r="H21" s="80" t="s">
        <v>16383</v>
      </c>
      <c r="I21" s="80"/>
    </row>
    <row r="22" spans="1:9">
      <c r="A22" s="70" t="s">
        <v>14</v>
      </c>
      <c r="B22" s="70" t="s">
        <v>13</v>
      </c>
      <c r="C22" s="80" t="s">
        <v>16386</v>
      </c>
      <c r="D22" s="79" t="s">
        <v>16387</v>
      </c>
      <c r="E22" s="79">
        <v>4400</v>
      </c>
      <c r="F22" s="79">
        <v>3144</v>
      </c>
      <c r="G22" s="79">
        <v>-2194</v>
      </c>
      <c r="H22" s="78">
        <v>5638</v>
      </c>
    </row>
    <row r="23" spans="1:9">
      <c r="A23" s="70" t="s">
        <v>14</v>
      </c>
      <c r="B23" s="70" t="s">
        <v>13</v>
      </c>
      <c r="C23" s="80" t="s">
        <v>16388</v>
      </c>
      <c r="D23" s="79" t="s">
        <v>16389</v>
      </c>
      <c r="E23" s="79">
        <v>-3636</v>
      </c>
      <c r="F23" s="79">
        <v>-7575</v>
      </c>
      <c r="G23" s="79">
        <v>11991</v>
      </c>
      <c r="H23" s="78">
        <v>-371</v>
      </c>
    </row>
    <row r="24" spans="1:9">
      <c r="A24" s="70" t="s">
        <v>14</v>
      </c>
      <c r="B24" s="70" t="s">
        <v>13</v>
      </c>
      <c r="C24" s="80" t="s">
        <v>16390</v>
      </c>
      <c r="D24" s="79" t="s">
        <v>16391</v>
      </c>
      <c r="E24" s="79">
        <v>-620</v>
      </c>
      <c r="F24" s="79">
        <v>6852</v>
      </c>
      <c r="G24" s="79">
        <v>-6652</v>
      </c>
      <c r="H24" s="78">
        <v>-7179</v>
      </c>
    </row>
    <row r="25" spans="1:9">
      <c r="A25" s="70" t="s">
        <v>14</v>
      </c>
      <c r="B25" s="70" t="s">
        <v>16266</v>
      </c>
      <c r="C25" s="80" t="s">
        <v>16392</v>
      </c>
      <c r="D25" s="79" t="s">
        <v>16393</v>
      </c>
      <c r="E25" s="79"/>
      <c r="F25" s="79"/>
      <c r="G25" s="79"/>
      <c r="H25" s="78"/>
    </row>
    <row r="26" spans="1:9">
      <c r="A26" s="70" t="s">
        <v>14</v>
      </c>
      <c r="B26" s="70" t="s">
        <v>16266</v>
      </c>
      <c r="C26" s="80" t="s">
        <v>16394</v>
      </c>
      <c r="D26" s="79" t="s">
        <v>16395</v>
      </c>
      <c r="E26" s="79"/>
      <c r="F26" s="79"/>
      <c r="G26" s="79"/>
      <c r="H26" s="78"/>
    </row>
    <row r="27" spans="1:9">
      <c r="C27" s="79"/>
      <c r="D27" s="79"/>
      <c r="E27" s="79"/>
      <c r="F27" s="79"/>
      <c r="G27" s="79"/>
      <c r="H27" s="78"/>
    </row>
    <row r="28" spans="1:9">
      <c r="C28" s="79"/>
      <c r="D28" s="79"/>
      <c r="E28" s="79"/>
      <c r="F28" s="79"/>
      <c r="G28" s="79"/>
      <c r="H28" s="78"/>
    </row>
    <row r="29" spans="1:9">
      <c r="C29" s="71"/>
      <c r="D29" s="71"/>
      <c r="E29" s="71"/>
      <c r="F29" s="71"/>
      <c r="G29" s="71"/>
    </row>
    <row r="30" spans="1:9">
      <c r="A30" s="70">
        <v>59</v>
      </c>
      <c r="C30" s="80" t="s">
        <v>16396</v>
      </c>
      <c r="D30" s="80" t="s">
        <v>16397</v>
      </c>
      <c r="E30" s="72" t="s">
        <v>16377</v>
      </c>
      <c r="F30" s="72" t="s">
        <v>16379</v>
      </c>
      <c r="G30" s="72" t="s">
        <v>16381</v>
      </c>
      <c r="H30" s="72" t="s">
        <v>16383</v>
      </c>
      <c r="I30" s="80"/>
    </row>
    <row r="31" spans="1:9">
      <c r="A31" s="70" t="s">
        <v>14</v>
      </c>
      <c r="B31" s="70" t="s">
        <v>13</v>
      </c>
      <c r="C31" s="80" t="s">
        <v>16398</v>
      </c>
      <c r="D31" s="79" t="s">
        <v>16399</v>
      </c>
      <c r="E31" s="71">
        <v>21340</v>
      </c>
      <c r="F31" s="71">
        <v>24270</v>
      </c>
      <c r="G31" s="71">
        <v>38252</v>
      </c>
      <c r="H31" s="70">
        <v>37634</v>
      </c>
    </row>
    <row r="32" spans="1:9">
      <c r="A32" s="70" t="s">
        <v>14</v>
      </c>
      <c r="B32" s="70" t="s">
        <v>16266</v>
      </c>
      <c r="C32" s="80" t="s">
        <v>16400</v>
      </c>
      <c r="D32" s="79" t="s">
        <v>16401</v>
      </c>
      <c r="E32" s="71"/>
      <c r="F32" s="71"/>
      <c r="G32" s="71"/>
    </row>
    <row r="33" spans="1:9">
      <c r="A33" s="70" t="s">
        <v>14</v>
      </c>
      <c r="B33" s="70" t="s">
        <v>13</v>
      </c>
      <c r="C33" s="80" t="s">
        <v>16402</v>
      </c>
      <c r="D33" s="79" t="s">
        <v>16403</v>
      </c>
      <c r="E33" s="71">
        <v>6638</v>
      </c>
      <c r="F33" s="71">
        <v>6867</v>
      </c>
      <c r="G33" s="71">
        <v>8729</v>
      </c>
      <c r="H33" s="70">
        <v>3791</v>
      </c>
    </row>
    <row r="34" spans="1:9">
      <c r="A34" s="70" t="s">
        <v>14</v>
      </c>
      <c r="B34" s="70" t="s">
        <v>16266</v>
      </c>
      <c r="C34" s="80" t="s">
        <v>16404</v>
      </c>
      <c r="D34" s="78" t="s">
        <v>16405</v>
      </c>
    </row>
    <row r="35" spans="1:9">
      <c r="A35" s="70" t="s">
        <v>14</v>
      </c>
      <c r="B35" s="70" t="s">
        <v>13</v>
      </c>
      <c r="C35" s="80" t="s">
        <v>16406</v>
      </c>
      <c r="D35" s="78" t="s">
        <v>16407</v>
      </c>
      <c r="E35" s="70">
        <v>11137</v>
      </c>
      <c r="F35" s="70">
        <v>9777</v>
      </c>
      <c r="G35" s="70">
        <v>3702</v>
      </c>
      <c r="H35" s="70">
        <v>2444</v>
      </c>
    </row>
    <row r="36" spans="1:9">
      <c r="A36" s="70" t="s">
        <v>14</v>
      </c>
      <c r="B36" s="70" t="s">
        <v>16266</v>
      </c>
      <c r="C36" s="80" t="s">
        <v>16408</v>
      </c>
      <c r="D36" s="78" t="s">
        <v>16409</v>
      </c>
    </row>
    <row r="37" spans="1:9">
      <c r="A37" s="70" t="s">
        <v>14</v>
      </c>
      <c r="B37" s="70" t="s">
        <v>16266</v>
      </c>
      <c r="C37" s="80" t="s">
        <v>16410</v>
      </c>
      <c r="D37" s="79" t="s">
        <v>16411</v>
      </c>
      <c r="E37" s="71"/>
      <c r="F37" s="71"/>
      <c r="G37" s="71"/>
    </row>
    <row r="38" spans="1:9">
      <c r="A38" s="70" t="s">
        <v>14</v>
      </c>
      <c r="B38" s="70" t="s">
        <v>13</v>
      </c>
      <c r="C38" s="80" t="s">
        <v>16412</v>
      </c>
      <c r="D38" s="78" t="s">
        <v>16413</v>
      </c>
      <c r="E38" s="70">
        <v>20875</v>
      </c>
      <c r="F38" s="70">
        <v>27959</v>
      </c>
      <c r="G38" s="70">
        <v>17475</v>
      </c>
      <c r="H38" s="70">
        <v>14642</v>
      </c>
    </row>
    <row r="39" spans="1:9">
      <c r="A39" s="70" t="s">
        <v>14</v>
      </c>
      <c r="B39" s="70" t="s">
        <v>13</v>
      </c>
      <c r="C39" s="80" t="s">
        <v>16414</v>
      </c>
      <c r="D39" s="78" t="s">
        <v>16415</v>
      </c>
      <c r="E39" s="70">
        <v>6314</v>
      </c>
      <c r="F39" s="70">
        <v>15014</v>
      </c>
      <c r="G39" s="70">
        <v>20383</v>
      </c>
      <c r="H39" s="70">
        <v>18446</v>
      </c>
    </row>
    <row r="40" spans="1:9">
      <c r="A40" s="70" t="s">
        <v>14</v>
      </c>
      <c r="B40" s="70" t="s">
        <v>16266</v>
      </c>
      <c r="C40" s="80" t="s">
        <v>16416</v>
      </c>
      <c r="D40" s="78" t="s">
        <v>16417</v>
      </c>
    </row>
    <row r="41" spans="1:9">
      <c r="A41" s="70" t="s">
        <v>14</v>
      </c>
      <c r="C41" s="80" t="s">
        <v>16418</v>
      </c>
      <c r="D41" s="80" t="s">
        <v>16419</v>
      </c>
      <c r="E41" s="72"/>
      <c r="F41" s="72"/>
      <c r="G41" s="72"/>
      <c r="H41" s="72"/>
      <c r="I41" s="80"/>
    </row>
    <row r="42" spans="1:9">
      <c r="A42" s="70" t="s">
        <v>14</v>
      </c>
      <c r="B42" s="70" t="s">
        <v>13</v>
      </c>
      <c r="C42" s="80" t="s">
        <v>16420</v>
      </c>
      <c r="D42" s="78" t="s">
        <v>16421</v>
      </c>
      <c r="E42" s="70">
        <v>21340</v>
      </c>
      <c r="F42" s="70">
        <v>24270</v>
      </c>
      <c r="G42" s="70">
        <v>38252</v>
      </c>
      <c r="H42" s="70">
        <v>37634</v>
      </c>
    </row>
    <row r="43" spans="1:9">
      <c r="A43" s="70" t="s">
        <v>14</v>
      </c>
      <c r="B43" s="70" t="s">
        <v>13</v>
      </c>
      <c r="C43" s="80" t="s">
        <v>16422</v>
      </c>
      <c r="D43" s="78" t="s">
        <v>16423</v>
      </c>
      <c r="E43" s="70">
        <v>9878</v>
      </c>
      <c r="F43" s="70">
        <v>12885</v>
      </c>
      <c r="G43" s="70">
        <v>23322</v>
      </c>
      <c r="H43" s="70">
        <v>23465</v>
      </c>
    </row>
    <row r="44" spans="1:9">
      <c r="A44" s="70" t="s">
        <v>14</v>
      </c>
      <c r="B44" s="70" t="s">
        <v>13</v>
      </c>
      <c r="C44" s="80" t="s">
        <v>16424</v>
      </c>
      <c r="D44" s="79" t="s">
        <v>16425</v>
      </c>
      <c r="E44" s="71">
        <v>11462</v>
      </c>
      <c r="F44" s="71">
        <v>11386</v>
      </c>
      <c r="G44" s="71">
        <v>14930</v>
      </c>
      <c r="H44" s="70">
        <v>14169</v>
      </c>
    </row>
    <row r="45" spans="1:9">
      <c r="A45" s="70" t="s">
        <v>14</v>
      </c>
      <c r="B45" s="70" t="s">
        <v>13</v>
      </c>
      <c r="C45" s="80" t="s">
        <v>16426</v>
      </c>
      <c r="D45" s="78" t="s">
        <v>16427</v>
      </c>
      <c r="E45" s="70">
        <v>4824</v>
      </c>
      <c r="F45" s="70">
        <v>4518</v>
      </c>
      <c r="G45" s="70">
        <v>6201</v>
      </c>
      <c r="H45" s="70">
        <v>10378</v>
      </c>
    </row>
    <row r="46" spans="1:9">
      <c r="A46" s="70" t="s">
        <v>14</v>
      </c>
      <c r="B46" s="70" t="s">
        <v>13</v>
      </c>
      <c r="C46" s="80" t="s">
        <v>16428</v>
      </c>
      <c r="D46" s="79" t="s">
        <v>16429</v>
      </c>
      <c r="E46" s="71">
        <v>83</v>
      </c>
      <c r="F46" s="71">
        <v>113</v>
      </c>
      <c r="G46" s="71">
        <v>53</v>
      </c>
      <c r="H46" s="70">
        <v>223</v>
      </c>
    </row>
    <row r="47" spans="1:9">
      <c r="A47" s="70" t="s">
        <v>14</v>
      </c>
      <c r="B47" s="70" t="s">
        <v>13</v>
      </c>
      <c r="C47" s="80" t="s">
        <v>16430</v>
      </c>
      <c r="D47" s="78" t="s">
        <v>16431</v>
      </c>
      <c r="E47" s="70">
        <v>51</v>
      </c>
      <c r="F47" s="70">
        <v>55</v>
      </c>
      <c r="G47" s="70">
        <v>68</v>
      </c>
      <c r="H47" s="70">
        <v>73</v>
      </c>
    </row>
    <row r="48" spans="1:9">
      <c r="A48" s="70" t="s">
        <v>14</v>
      </c>
      <c r="B48" s="70" t="s">
        <v>13</v>
      </c>
      <c r="C48" s="80" t="s">
        <v>16432</v>
      </c>
      <c r="D48" s="78" t="s">
        <v>16433</v>
      </c>
      <c r="E48" s="70">
        <v>1093</v>
      </c>
      <c r="F48" s="70">
        <v>1196</v>
      </c>
      <c r="G48" s="70">
        <v>1532</v>
      </c>
      <c r="H48" s="70">
        <v>2012</v>
      </c>
    </row>
    <row r="49" spans="1:8">
      <c r="A49" s="70" t="s">
        <v>14</v>
      </c>
      <c r="B49" s="70" t="s">
        <v>13</v>
      </c>
      <c r="C49" s="80" t="s">
        <v>16434</v>
      </c>
      <c r="D49" s="78" t="s">
        <v>16435</v>
      </c>
    </row>
    <row r="50" spans="1:8">
      <c r="A50" s="70" t="s">
        <v>14</v>
      </c>
      <c r="B50" s="70" t="s">
        <v>13</v>
      </c>
      <c r="C50" s="80" t="s">
        <v>16436</v>
      </c>
      <c r="D50" s="78" t="s">
        <v>16437</v>
      </c>
    </row>
    <row r="51" spans="1:8">
      <c r="A51" s="70" t="s">
        <v>14</v>
      </c>
      <c r="B51" s="70" t="s">
        <v>13</v>
      </c>
      <c r="C51" s="80" t="s">
        <v>16438</v>
      </c>
      <c r="D51" s="78" t="s">
        <v>16439</v>
      </c>
      <c r="E51" s="70">
        <v>25</v>
      </c>
      <c r="F51" s="70">
        <v>64</v>
      </c>
      <c r="G51" s="70">
        <v>55</v>
      </c>
      <c r="H51" s="70">
        <v>98</v>
      </c>
    </row>
    <row r="52" spans="1:8">
      <c r="A52" s="70" t="s">
        <v>14</v>
      </c>
      <c r="B52" s="70" t="s">
        <v>13</v>
      </c>
      <c r="C52" s="80" t="s">
        <v>16440</v>
      </c>
      <c r="D52" s="78" t="s">
        <v>16441</v>
      </c>
      <c r="E52" s="70">
        <v>342</v>
      </c>
      <c r="F52" s="70">
        <v>579</v>
      </c>
      <c r="G52" s="70">
        <v>933</v>
      </c>
      <c r="H52" s="70">
        <v>2031</v>
      </c>
    </row>
    <row r="53" spans="1:8" s="74" customFormat="1">
      <c r="A53" s="75" t="s">
        <v>14</v>
      </c>
      <c r="B53" s="75" t="s">
        <v>13</v>
      </c>
      <c r="C53" s="82" t="s">
        <v>16442</v>
      </c>
      <c r="D53" s="81" t="s">
        <v>16443</v>
      </c>
      <c r="E53" s="75"/>
    </row>
    <row r="54" spans="1:8">
      <c r="A54" s="70" t="s">
        <v>14</v>
      </c>
      <c r="B54" s="70" t="s">
        <v>13</v>
      </c>
      <c r="C54" s="80" t="s">
        <v>16444</v>
      </c>
      <c r="D54" s="78" t="s">
        <v>16445</v>
      </c>
      <c r="F54" s="70">
        <v>5</v>
      </c>
      <c r="G54" s="70">
        <v>1</v>
      </c>
      <c r="H54" s="70">
        <v>57</v>
      </c>
    </row>
    <row r="55" spans="1:8">
      <c r="A55" s="75" t="s">
        <v>14</v>
      </c>
      <c r="B55" s="75" t="s">
        <v>13</v>
      </c>
      <c r="C55" s="80" t="s">
        <v>16446</v>
      </c>
      <c r="D55" s="81" t="s">
        <v>16447</v>
      </c>
      <c r="E55" s="75"/>
    </row>
    <row r="56" spans="1:8">
      <c r="A56" s="70" t="s">
        <v>14</v>
      </c>
      <c r="B56" s="70" t="s">
        <v>13</v>
      </c>
      <c r="C56" s="80" t="s">
        <v>16448</v>
      </c>
      <c r="D56" s="78" t="s">
        <v>16449</v>
      </c>
      <c r="E56" s="70">
        <v>8</v>
      </c>
      <c r="F56" s="70">
        <v>686</v>
      </c>
      <c r="G56" s="70">
        <v>1029</v>
      </c>
      <c r="H56" s="70">
        <v>2009</v>
      </c>
    </row>
    <row r="57" spans="1:8">
      <c r="A57" s="70" t="s">
        <v>14</v>
      </c>
      <c r="B57" s="70" t="s">
        <v>13</v>
      </c>
      <c r="C57" s="80" t="s">
        <v>16450</v>
      </c>
      <c r="D57" s="78" t="s">
        <v>16451</v>
      </c>
    </row>
    <row r="58" spans="1:8">
      <c r="A58" s="70" t="s">
        <v>14</v>
      </c>
      <c r="B58" s="70" t="s">
        <v>13</v>
      </c>
      <c r="C58" s="80" t="s">
        <v>16452</v>
      </c>
      <c r="D58" s="78" t="s">
        <v>16453</v>
      </c>
    </row>
    <row r="59" spans="1:8">
      <c r="A59" s="70" t="s">
        <v>14</v>
      </c>
      <c r="B59" s="70" t="s">
        <v>13</v>
      </c>
      <c r="C59" s="80" t="s">
        <v>16454</v>
      </c>
      <c r="D59" s="78" t="s">
        <v>16455</v>
      </c>
    </row>
    <row r="60" spans="1:8">
      <c r="A60" s="70" t="s">
        <v>14</v>
      </c>
      <c r="B60" s="70" t="s">
        <v>13</v>
      </c>
      <c r="C60" s="80" t="s">
        <v>16456</v>
      </c>
      <c r="D60" s="78" t="s">
        <v>16457</v>
      </c>
      <c r="F60" s="70">
        <v>5</v>
      </c>
      <c r="G60" s="70">
        <v>12</v>
      </c>
      <c r="H60" s="70">
        <v>14</v>
      </c>
    </row>
    <row r="61" spans="1:8">
      <c r="A61" s="70" t="s">
        <v>14</v>
      </c>
      <c r="B61" s="70" t="s">
        <v>13</v>
      </c>
      <c r="C61" s="80" t="s">
        <v>16458</v>
      </c>
      <c r="D61" s="78" t="s">
        <v>16459</v>
      </c>
    </row>
    <row r="62" spans="1:8">
      <c r="A62" s="70" t="s">
        <v>14</v>
      </c>
      <c r="B62" s="70" t="s">
        <v>13</v>
      </c>
      <c r="C62" s="80" t="s">
        <v>16460</v>
      </c>
      <c r="D62" s="78" t="s">
        <v>16461</v>
      </c>
    </row>
    <row r="63" spans="1:8">
      <c r="A63" s="70" t="s">
        <v>14</v>
      </c>
      <c r="B63" s="70" t="s">
        <v>13</v>
      </c>
      <c r="C63" s="80" t="s">
        <v>16462</v>
      </c>
      <c r="D63" s="78" t="s">
        <v>16463</v>
      </c>
    </row>
    <row r="64" spans="1:8">
      <c r="A64" s="70" t="s">
        <v>14</v>
      </c>
      <c r="B64" s="70" t="s">
        <v>13</v>
      </c>
      <c r="C64" s="80" t="s">
        <v>16464</v>
      </c>
      <c r="D64" s="78" t="s">
        <v>16465</v>
      </c>
    </row>
    <row r="65" spans="1:9">
      <c r="A65" s="70" t="s">
        <v>14</v>
      </c>
      <c r="B65" s="70" t="s">
        <v>13</v>
      </c>
      <c r="C65" s="80" t="s">
        <v>16466</v>
      </c>
      <c r="D65" s="78" t="s">
        <v>16467</v>
      </c>
      <c r="E65" s="70">
        <v>2034</v>
      </c>
      <c r="F65" s="70">
        <v>501</v>
      </c>
      <c r="G65" s="70">
        <v>640</v>
      </c>
      <c r="H65" s="70">
        <v>224</v>
      </c>
    </row>
    <row r="66" spans="1:9">
      <c r="A66" s="70" t="s">
        <v>14</v>
      </c>
      <c r="B66" s="70" t="s">
        <v>13</v>
      </c>
      <c r="C66" s="80" t="s">
        <v>16468</v>
      </c>
      <c r="D66" s="78" t="s">
        <v>16469</v>
      </c>
    </row>
    <row r="67" spans="1:9">
      <c r="A67" s="70" t="s">
        <v>14</v>
      </c>
      <c r="B67" s="70" t="s">
        <v>13</v>
      </c>
      <c r="C67" s="80" t="s">
        <v>16470</v>
      </c>
      <c r="D67" s="78" t="s">
        <v>16471</v>
      </c>
    </row>
    <row r="68" spans="1:9">
      <c r="A68" s="70" t="s">
        <v>14</v>
      </c>
      <c r="B68" s="70" t="s">
        <v>13</v>
      </c>
      <c r="C68" s="80" t="s">
        <v>16472</v>
      </c>
      <c r="D68" s="78" t="s">
        <v>16473</v>
      </c>
      <c r="E68" s="73">
        <f>SUM(E44:E67)</f>
        <v>19922</v>
      </c>
      <c r="F68" s="73">
        <v>3</v>
      </c>
      <c r="G68" s="73">
        <f t="shared" ref="F68:G68" si="1">SUM(G44:G67)</f>
        <v>25454</v>
      </c>
      <c r="H68" s="73">
        <f>SUM(H44:H67)</f>
        <v>31288</v>
      </c>
      <c r="I68" s="73">
        <f>SUM(I44:I67)</f>
        <v>0</v>
      </c>
    </row>
    <row r="69" spans="1:9">
      <c r="A69" s="70" t="s">
        <v>14</v>
      </c>
      <c r="B69" s="70" t="s">
        <v>13</v>
      </c>
      <c r="C69" s="80" t="s">
        <v>16474</v>
      </c>
      <c r="D69" s="78" t="s">
        <v>16475</v>
      </c>
    </row>
    <row r="70" spans="1:9">
      <c r="A70" s="70" t="s">
        <v>108</v>
      </c>
      <c r="B70" s="70" t="s">
        <v>13</v>
      </c>
      <c r="C70" s="80" t="s">
        <v>16476</v>
      </c>
      <c r="D70" s="78" t="s">
        <v>16477</v>
      </c>
    </row>
    <row r="71" spans="1:9">
      <c r="A71" s="70" t="s">
        <v>14</v>
      </c>
      <c r="B71" s="70" t="s">
        <v>13</v>
      </c>
      <c r="C71" s="80" t="s">
        <v>16478</v>
      </c>
      <c r="D71" s="78" t="s">
        <v>16479</v>
      </c>
    </row>
    <row r="72" spans="1:9">
      <c r="A72" s="70" t="s">
        <v>14</v>
      </c>
      <c r="B72" s="70" t="s">
        <v>13</v>
      </c>
      <c r="C72" s="80" t="s">
        <v>16480</v>
      </c>
      <c r="D72" s="78" t="s">
        <v>16481</v>
      </c>
      <c r="E72" s="70">
        <v>505</v>
      </c>
      <c r="F72" s="70">
        <v>566</v>
      </c>
      <c r="G72" s="70">
        <v>719</v>
      </c>
      <c r="H72" s="70">
        <v>2105</v>
      </c>
    </row>
    <row r="73" spans="1:9">
      <c r="A73" s="70" t="s">
        <v>14</v>
      </c>
      <c r="B73" s="70" t="s">
        <v>13</v>
      </c>
      <c r="C73" s="80" t="s">
        <v>16482</v>
      </c>
      <c r="D73" s="78" t="s">
        <v>16483</v>
      </c>
      <c r="E73" s="73">
        <f>SUM(E69:E72)</f>
        <v>505</v>
      </c>
      <c r="F73" s="73">
        <f t="shared" ref="F73:I73" si="2">SUM(F69:F72)</f>
        <v>566</v>
      </c>
      <c r="G73" s="73">
        <f t="shared" si="2"/>
        <v>719</v>
      </c>
      <c r="H73" s="73">
        <f t="shared" si="2"/>
        <v>2105</v>
      </c>
      <c r="I73" s="73">
        <f t="shared" si="2"/>
        <v>0</v>
      </c>
    </row>
    <row r="74" spans="1:9">
      <c r="A74" s="70" t="s">
        <v>14</v>
      </c>
      <c r="B74" s="70" t="s">
        <v>13</v>
      </c>
      <c r="C74" s="80" t="s">
        <v>16484</v>
      </c>
      <c r="D74" s="78" t="s">
        <v>16485</v>
      </c>
      <c r="E74" s="70">
        <v>31</v>
      </c>
      <c r="F74" s="70">
        <v>84</v>
      </c>
      <c r="G74" s="70">
        <v>91</v>
      </c>
    </row>
    <row r="75" spans="1:9">
      <c r="A75" s="70" t="s">
        <v>14</v>
      </c>
      <c r="B75" s="70" t="s">
        <v>13</v>
      </c>
      <c r="C75" s="80" t="s">
        <v>16486</v>
      </c>
      <c r="D75" s="78" t="s">
        <v>16487</v>
      </c>
    </row>
    <row r="76" spans="1:9">
      <c r="A76" s="70" t="s">
        <v>14</v>
      </c>
      <c r="B76" s="70" t="s">
        <v>13</v>
      </c>
      <c r="C76" s="80" t="s">
        <v>16488</v>
      </c>
      <c r="D76" s="78" t="s">
        <v>16489</v>
      </c>
      <c r="E76" s="73">
        <v>128</v>
      </c>
      <c r="F76" s="73">
        <v>-31</v>
      </c>
      <c r="G76" s="73">
        <v>215</v>
      </c>
      <c r="H76" s="73">
        <v>336</v>
      </c>
      <c r="I76" s="73">
        <f>SUM(I74:I75)</f>
        <v>0</v>
      </c>
    </row>
    <row r="77" spans="1:9">
      <c r="A77" s="70" t="s">
        <v>14</v>
      </c>
      <c r="B77" s="70" t="s">
        <v>13</v>
      </c>
      <c r="C77" s="80" t="s">
        <v>16490</v>
      </c>
      <c r="D77" s="78" t="s">
        <v>16491</v>
      </c>
      <c r="E77" s="73">
        <f>E73+E76</f>
        <v>633</v>
      </c>
      <c r="F77" s="73">
        <f t="shared" ref="F77:G77" si="3">F73+F76</f>
        <v>535</v>
      </c>
      <c r="G77" s="73">
        <f t="shared" si="3"/>
        <v>934</v>
      </c>
      <c r="H77" s="73">
        <f>H73+H76</f>
        <v>2441</v>
      </c>
      <c r="I77" s="73">
        <f>I73+I76</f>
        <v>0</v>
      </c>
    </row>
    <row r="78" spans="1:9">
      <c r="A78" s="70" t="s">
        <v>14</v>
      </c>
      <c r="B78" s="70" t="s">
        <v>13</v>
      </c>
      <c r="C78" s="80" t="s">
        <v>16492</v>
      </c>
      <c r="D78" s="78" t="s">
        <v>16493</v>
      </c>
    </row>
    <row r="79" spans="1:9">
      <c r="A79" s="70" t="s">
        <v>108</v>
      </c>
      <c r="B79" s="70" t="s">
        <v>13</v>
      </c>
      <c r="C79" s="80" t="s">
        <v>16494</v>
      </c>
      <c r="D79" s="78" t="s">
        <v>16495</v>
      </c>
    </row>
    <row r="80" spans="1:9">
      <c r="A80" s="70" t="s">
        <v>14</v>
      </c>
      <c r="B80" s="70" t="s">
        <v>13</v>
      </c>
      <c r="C80" s="80" t="s">
        <v>16496</v>
      </c>
      <c r="D80" s="78" t="s">
        <v>16497</v>
      </c>
      <c r="E80" s="70">
        <v>135</v>
      </c>
      <c r="F80" s="70">
        <v>152</v>
      </c>
      <c r="G80" s="70">
        <v>277</v>
      </c>
      <c r="H80" s="70">
        <v>248</v>
      </c>
    </row>
    <row r="81" spans="1:9">
      <c r="A81" s="70" t="s">
        <v>14</v>
      </c>
      <c r="B81" s="70" t="s">
        <v>13</v>
      </c>
      <c r="C81" s="80" t="s">
        <v>16498</v>
      </c>
      <c r="D81" s="78" t="s">
        <v>16499</v>
      </c>
    </row>
    <row r="82" spans="1:9">
      <c r="A82" s="70" t="s">
        <v>14</v>
      </c>
      <c r="B82" s="70" t="s">
        <v>13</v>
      </c>
      <c r="C82" s="80" t="s">
        <v>16500</v>
      </c>
      <c r="D82" s="78" t="s">
        <v>16501</v>
      </c>
    </row>
    <row r="83" spans="1:9">
      <c r="A83" s="70" t="s">
        <v>14</v>
      </c>
      <c r="B83" s="70" t="s">
        <v>13</v>
      </c>
      <c r="C83" s="80" t="s">
        <v>16502</v>
      </c>
      <c r="D83" s="78" t="s">
        <v>16503</v>
      </c>
      <c r="E83" s="73">
        <f>SUM(E78:E82)</f>
        <v>135</v>
      </c>
      <c r="F83" s="73">
        <v>1</v>
      </c>
      <c r="G83" s="73">
        <v>0</v>
      </c>
      <c r="H83" s="73">
        <v>2</v>
      </c>
      <c r="I83" s="73">
        <f t="shared" ref="F83:I83" si="4">SUM(I78:I82)</f>
        <v>0</v>
      </c>
    </row>
    <row r="84" spans="1:9">
      <c r="A84" s="70" t="s">
        <v>14</v>
      </c>
      <c r="B84" s="70" t="s">
        <v>13</v>
      </c>
      <c r="C84" s="80" t="s">
        <v>16504</v>
      </c>
      <c r="D84" s="78" t="s">
        <v>16505</v>
      </c>
      <c r="E84" s="83">
        <f>E43/E42*100</f>
        <v>46.288659793814432</v>
      </c>
      <c r="F84" s="83">
        <f t="shared" ref="F84:H84" si="5">F43/F42*100</f>
        <v>53.090234857849197</v>
      </c>
      <c r="G84" s="83">
        <f t="shared" si="5"/>
        <v>60.969361079159256</v>
      </c>
      <c r="H84" s="83">
        <f t="shared" si="5"/>
        <v>62.350534091512998</v>
      </c>
      <c r="I84" s="83" t="e">
        <f t="shared" ref="I84" si="6">I43/I42*100</f>
        <v>#DIV/0!</v>
      </c>
    </row>
    <row r="85" spans="1:9">
      <c r="A85" s="70" t="s">
        <v>108</v>
      </c>
      <c r="B85" s="70" t="s">
        <v>13</v>
      </c>
      <c r="C85" s="80" t="s">
        <v>16506</v>
      </c>
      <c r="D85" s="78" t="s">
        <v>16507</v>
      </c>
      <c r="E85" s="83">
        <f>E68/E42*100</f>
        <v>93.35520149953139</v>
      </c>
      <c r="F85" s="83">
        <f t="shared" ref="F85:H85" si="7">F68/F42*100</f>
        <v>1.2360939431396788E-2</v>
      </c>
      <c r="G85" s="83">
        <f t="shared" si="7"/>
        <v>66.542925860085745</v>
      </c>
      <c r="H85" s="83">
        <f t="shared" si="7"/>
        <v>83.137588350959234</v>
      </c>
      <c r="I85" s="83" t="e">
        <f t="shared" ref="I85" si="8">I68/I42*100</f>
        <v>#DIV/0!</v>
      </c>
    </row>
    <row r="86" spans="1:9">
      <c r="A86" s="70" t="s">
        <v>14</v>
      </c>
      <c r="B86" s="70" t="s">
        <v>16266</v>
      </c>
      <c r="C86" s="80" t="s">
        <v>16508</v>
      </c>
      <c r="D86" s="78" t="s">
        <v>16509</v>
      </c>
      <c r="E86" s="83">
        <f>E76/E73*100</f>
        <v>25.346534653465348</v>
      </c>
      <c r="F86" s="83">
        <f t="shared" ref="F86:G86" si="9">F76/F73*100</f>
        <v>-5.4770318021201412</v>
      </c>
      <c r="G86" s="83">
        <f t="shared" si="9"/>
        <v>29.902642559109875</v>
      </c>
      <c r="H86" s="83">
        <f>H76/H73*100</f>
        <v>15.961995249406174</v>
      </c>
      <c r="I86" s="83" t="e">
        <f>I76/I73*100</f>
        <v>#DIV/0!</v>
      </c>
    </row>
    <row r="87" spans="1:9">
      <c r="A87" s="70" t="s">
        <v>14</v>
      </c>
      <c r="B87" s="70" t="s">
        <v>16266</v>
      </c>
      <c r="C87" s="80" t="s">
        <v>16510</v>
      </c>
      <c r="D87" s="79" t="s">
        <v>16511</v>
      </c>
      <c r="E87" s="83">
        <f>E83/E77*100</f>
        <v>21.327014218009481</v>
      </c>
      <c r="F87" s="83">
        <f t="shared" ref="F87:H87" si="10">F83/F77*100</f>
        <v>0.18691588785046731</v>
      </c>
      <c r="G87" s="83">
        <f t="shared" si="10"/>
        <v>0</v>
      </c>
      <c r="H87" s="83">
        <f t="shared" si="10"/>
        <v>8.1933633756657104E-2</v>
      </c>
      <c r="I87" s="83" t="e">
        <f t="shared" ref="I87" si="11">I83/I77*100</f>
        <v>#DIV/0!</v>
      </c>
    </row>
    <row r="88" spans="1:9">
      <c r="A88" s="70" t="s">
        <v>14</v>
      </c>
      <c r="B88" s="70" t="s">
        <v>16266</v>
      </c>
      <c r="C88" s="70" t="s">
        <v>16512</v>
      </c>
      <c r="D88" s="70" t="s">
        <v>16513</v>
      </c>
    </row>
    <row r="89" spans="1:9">
      <c r="A89" s="70" t="s">
        <v>14</v>
      </c>
      <c r="B89" s="70" t="s">
        <v>16266</v>
      </c>
      <c r="C89" s="70" t="s">
        <v>16514</v>
      </c>
      <c r="D89" s="70" t="s">
        <v>16515</v>
      </c>
    </row>
    <row r="91" spans="1:9">
      <c r="C91" s="72"/>
      <c r="D91" s="72"/>
      <c r="E91" s="72"/>
      <c r="F91" s="72"/>
      <c r="G91" s="72"/>
    </row>
    <row r="93" spans="1:9">
      <c r="A93" s="70">
        <v>5</v>
      </c>
      <c r="C93" s="70" t="s">
        <v>16516</v>
      </c>
      <c r="D93" s="70" t="s">
        <v>16517</v>
      </c>
      <c r="E93" s="70" t="s">
        <v>16377</v>
      </c>
      <c r="F93" s="70" t="s">
        <v>16379</v>
      </c>
      <c r="G93" s="70" t="s">
        <v>16381</v>
      </c>
      <c r="H93" s="70" t="s">
        <v>16383</v>
      </c>
    </row>
    <row r="94" spans="1:9">
      <c r="A94" s="70" t="s">
        <v>14</v>
      </c>
      <c r="B94" s="70" t="s">
        <v>13</v>
      </c>
      <c r="C94" s="70" t="s">
        <v>16518</v>
      </c>
      <c r="D94" s="70" t="s">
        <v>16519</v>
      </c>
      <c r="E94" s="70">
        <v>27189</v>
      </c>
      <c r="F94" s="70">
        <v>42973</v>
      </c>
      <c r="G94" s="70">
        <v>37858</v>
      </c>
      <c r="H94" s="70">
        <v>33088</v>
      </c>
    </row>
    <row r="95" spans="1:9">
      <c r="A95" s="70" t="s">
        <v>14</v>
      </c>
      <c r="B95" s="70" t="s">
        <v>13</v>
      </c>
      <c r="C95" s="70" t="s">
        <v>16520</v>
      </c>
      <c r="D95" s="70" t="s">
        <v>16521</v>
      </c>
      <c r="E95" s="70">
        <v>17983</v>
      </c>
      <c r="F95" s="70">
        <v>31449</v>
      </c>
      <c r="G95" s="70">
        <v>25013</v>
      </c>
      <c r="H95" s="70">
        <v>21260</v>
      </c>
    </row>
    <row r="96" spans="1:9">
      <c r="A96" s="70" t="s">
        <v>14</v>
      </c>
      <c r="B96" s="70" t="s">
        <v>13</v>
      </c>
      <c r="C96" s="70" t="s">
        <v>16522</v>
      </c>
      <c r="D96" s="70" t="s">
        <v>16523</v>
      </c>
      <c r="E96" s="70">
        <v>9206</v>
      </c>
      <c r="F96" s="70">
        <v>11524</v>
      </c>
      <c r="G96" s="70">
        <v>12845</v>
      </c>
      <c r="H96" s="70">
        <v>11828</v>
      </c>
    </row>
    <row r="97" spans="1:8">
      <c r="A97" s="70" t="s">
        <v>14</v>
      </c>
      <c r="B97" s="70" t="s">
        <v>13</v>
      </c>
      <c r="C97" s="70" t="s">
        <v>16524</v>
      </c>
      <c r="D97" s="70" t="s">
        <v>16525</v>
      </c>
      <c r="E97" s="70">
        <v>5650</v>
      </c>
      <c r="F97" s="70">
        <v>14916</v>
      </c>
      <c r="G97" s="70">
        <v>20268</v>
      </c>
      <c r="H97" s="70">
        <v>18446</v>
      </c>
    </row>
    <row r="98" spans="1:8">
      <c r="A98" s="70" t="s">
        <v>14</v>
      </c>
      <c r="B98" s="70" t="s">
        <v>13</v>
      </c>
      <c r="C98" s="70" t="s">
        <v>16526</v>
      </c>
      <c r="D98" s="70" t="s">
        <v>16527</v>
      </c>
      <c r="E98" s="70">
        <v>664</v>
      </c>
      <c r="F98" s="70">
        <v>98</v>
      </c>
      <c r="G98" s="70">
        <v>115</v>
      </c>
    </row>
    <row r="102" spans="1:8">
      <c r="A102" s="726">
        <v>1</v>
      </c>
      <c r="B102" s="726"/>
      <c r="C102" s="726"/>
      <c r="D102" s="726" t="s">
        <v>16278</v>
      </c>
      <c r="E102" s="727" t="s">
        <v>16528</v>
      </c>
      <c r="F102" s="726" t="s">
        <v>16529</v>
      </c>
      <c r="G102" s="726" t="s">
        <v>16530</v>
      </c>
    </row>
    <row r="103" spans="1:8">
      <c r="D103" s="70">
        <v>20201231</v>
      </c>
      <c r="E103" s="77" t="s">
        <v>16531</v>
      </c>
      <c r="F103" s="70">
        <v>22</v>
      </c>
      <c r="G103" s="70">
        <v>100</v>
      </c>
    </row>
    <row r="107" spans="1:8">
      <c r="A107" s="726">
        <v>1</v>
      </c>
      <c r="B107" s="726"/>
      <c r="C107" s="726"/>
      <c r="D107" s="726" t="s">
        <v>16278</v>
      </c>
      <c r="E107" s="726" t="s">
        <v>16532</v>
      </c>
    </row>
    <row r="120" spans="5:5">
      <c r="E120" s="77"/>
    </row>
  </sheetData>
  <sheetProtection selectLockedCells="1"/>
  <phoneticPr fontId="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74"/>
  <sheetViews>
    <sheetView showGridLines="0" topLeftCell="C1" zoomScale="85" zoomScaleNormal="85" workbookViewId="0">
      <pane ySplit="1" topLeftCell="A2" activePane="bottomLeft" state="frozen"/>
      <selection activeCell="C1" sqref="C1"/>
      <selection pane="bottomLeft" activeCell="T20" sqref="T20"/>
    </sheetView>
  </sheetViews>
  <sheetFormatPr defaultColWidth="9" defaultRowHeight="16.5"/>
  <cols>
    <col min="1" max="2" width="9" style="2" hidden="1" customWidth="1"/>
    <col min="3" max="3" width="9" style="2"/>
    <col min="4" max="4" width="43.625" style="2" customWidth="1"/>
    <col min="5" max="11" width="11.625" style="2" customWidth="1"/>
    <col min="12" max="17" width="12.625" style="2" customWidth="1"/>
    <col min="18" max="23" width="9.625" style="2" customWidth="1"/>
    <col min="24" max="16384" width="9" style="2"/>
  </cols>
  <sheetData>
    <row r="1" spans="1:19">
      <c r="A1" s="367">
        <v>37</v>
      </c>
      <c r="B1" s="1"/>
      <c r="C1" s="12" t="s">
        <v>16533</v>
      </c>
      <c r="D1" s="12" t="s">
        <v>16534</v>
      </c>
      <c r="E1" s="12" t="s">
        <v>16611</v>
      </c>
      <c r="F1"/>
      <c r="I1" s="109" t="s">
        <v>17</v>
      </c>
      <c r="J1" s="115" t="s">
        <v>68</v>
      </c>
      <c r="L1" s="279" t="s">
        <v>114</v>
      </c>
      <c r="M1" s="279"/>
      <c r="N1" s="279"/>
      <c r="O1" s="279"/>
      <c r="P1" s="279"/>
      <c r="Q1" s="279"/>
      <c r="R1" s="279"/>
      <c r="S1" s="279"/>
    </row>
    <row r="2" spans="1:19">
      <c r="A2" s="1" t="s">
        <v>14</v>
      </c>
      <c r="B2" s="1" t="s">
        <v>2</v>
      </c>
      <c r="C2" s="12" t="s">
        <v>16535</v>
      </c>
      <c r="D2" s="2" t="s">
        <v>16536</v>
      </c>
      <c r="E2" s="18">
        <v>33088</v>
      </c>
      <c r="I2" s="208">
        <f>IF(E2=J2," ",E2-J2)</f>
        <v>33088</v>
      </c>
      <c r="J2" s="101"/>
      <c r="K2" s="99"/>
      <c r="L2" s="280" t="s">
        <v>115</v>
      </c>
      <c r="M2" s="280"/>
      <c r="N2" s="280"/>
      <c r="O2" s="280"/>
      <c r="P2" s="280"/>
      <c r="Q2" s="280"/>
      <c r="R2" s="280"/>
      <c r="S2" s="280"/>
    </row>
    <row r="3" spans="1:19">
      <c r="A3" s="1" t="s">
        <v>14</v>
      </c>
      <c r="B3" s="1" t="s">
        <v>2</v>
      </c>
      <c r="C3" s="12" t="s">
        <v>16537</v>
      </c>
      <c r="D3" s="2" t="s">
        <v>16538</v>
      </c>
      <c r="E3" s="18">
        <v>18446</v>
      </c>
      <c r="I3" s="208">
        <f t="shared" ref="I3:I39" si="0">IF(E3=J3," ",E3-J3)</f>
        <v>18446</v>
      </c>
      <c r="J3" s="101"/>
      <c r="K3" s="99"/>
      <c r="L3" s="281" t="s">
        <v>116</v>
      </c>
      <c r="M3" s="282"/>
      <c r="N3" s="282"/>
      <c r="O3" s="282"/>
      <c r="P3" s="282"/>
      <c r="Q3" s="282"/>
      <c r="R3" s="282"/>
      <c r="S3" s="282"/>
    </row>
    <row r="4" spans="1:19">
      <c r="A4" s="1" t="s">
        <v>14</v>
      </c>
      <c r="B4" s="1" t="s">
        <v>2</v>
      </c>
      <c r="C4" s="12" t="s">
        <v>16539</v>
      </c>
      <c r="D4" s="2" t="s">
        <v>16540</v>
      </c>
      <c r="E4" s="18">
        <v>14642</v>
      </c>
      <c r="I4" s="208">
        <f t="shared" si="0"/>
        <v>14642</v>
      </c>
      <c r="J4" s="101"/>
      <c r="K4" s="99"/>
      <c r="L4" s="281" t="s">
        <v>117</v>
      </c>
      <c r="M4" s="283"/>
      <c r="N4" s="283"/>
      <c r="O4" s="283"/>
      <c r="P4" s="283"/>
      <c r="Q4" s="283"/>
      <c r="R4" s="283"/>
      <c r="S4" s="283"/>
    </row>
    <row r="5" spans="1:19">
      <c r="A5" s="1" t="s">
        <v>108</v>
      </c>
      <c r="B5" s="1" t="s">
        <v>3</v>
      </c>
      <c r="C5" s="12" t="s">
        <v>16541</v>
      </c>
      <c r="D5" s="2" t="s">
        <v>16542</v>
      </c>
      <c r="E5" s="22">
        <f>E3/E4*100</f>
        <v>125.98005736921185</v>
      </c>
      <c r="F5" s="204"/>
      <c r="I5" s="208" t="e">
        <f t="shared" si="0"/>
        <v>#DIV/0!</v>
      </c>
      <c r="J5" s="110" t="e">
        <f>J3/J4*100</f>
        <v>#DIV/0!</v>
      </c>
      <c r="K5" s="99"/>
      <c r="L5" s="281" t="s">
        <v>118</v>
      </c>
      <c r="M5" s="284"/>
      <c r="N5" s="284"/>
      <c r="O5" s="284"/>
      <c r="P5" s="284"/>
      <c r="Q5" s="284"/>
      <c r="R5" s="284"/>
      <c r="S5" s="284"/>
    </row>
    <row r="6" spans="1:19">
      <c r="A6" s="1" t="s">
        <v>14</v>
      </c>
      <c r="B6" s="1" t="s">
        <v>2</v>
      </c>
      <c r="C6" s="12" t="s">
        <v>16543</v>
      </c>
      <c r="D6" s="2" t="s">
        <v>16544</v>
      </c>
      <c r="E6" s="257">
        <v>17502</v>
      </c>
      <c r="I6" s="208">
        <f t="shared" si="0"/>
        <v>17502</v>
      </c>
      <c r="J6" s="90"/>
      <c r="K6" s="99"/>
      <c r="L6" s="280" t="s">
        <v>119</v>
      </c>
      <c r="M6" s="285" t="str">
        <f>IFERROR(M4/M5,"")</f>
        <v/>
      </c>
      <c r="N6" s="285" t="str">
        <f t="shared" ref="N6:S6" si="1">IFERROR(N4/N5,"")</f>
        <v/>
      </c>
      <c r="O6" s="285" t="str">
        <f t="shared" si="1"/>
        <v/>
      </c>
      <c r="P6" s="285" t="str">
        <f t="shared" si="1"/>
        <v/>
      </c>
      <c r="Q6" s="285" t="str">
        <f t="shared" si="1"/>
        <v/>
      </c>
      <c r="R6" s="285" t="str">
        <f t="shared" si="1"/>
        <v/>
      </c>
      <c r="S6" s="285" t="str">
        <f t="shared" si="1"/>
        <v/>
      </c>
    </row>
    <row r="7" spans="1:19">
      <c r="A7" s="1" t="s">
        <v>14</v>
      </c>
      <c r="B7" s="1" t="s">
        <v>2</v>
      </c>
      <c r="C7" s="12" t="s">
        <v>16545</v>
      </c>
      <c r="D7" s="2" t="s">
        <v>16546</v>
      </c>
      <c r="E7" s="257"/>
      <c r="I7" s="208" t="str">
        <f t="shared" si="0"/>
        <v xml:space="preserve"> </v>
      </c>
      <c r="J7" s="90"/>
      <c r="K7" s="99"/>
      <c r="L7" s="99"/>
      <c r="M7" s="99"/>
      <c r="N7" s="99"/>
    </row>
    <row r="8" spans="1:19">
      <c r="A8" s="1" t="s">
        <v>14</v>
      </c>
      <c r="B8" s="1" t="s">
        <v>2</v>
      </c>
      <c r="C8" s="12" t="s">
        <v>16547</v>
      </c>
      <c r="D8" s="2" t="s">
        <v>16548</v>
      </c>
      <c r="E8" s="257"/>
      <c r="I8" s="208" t="str">
        <f t="shared" si="0"/>
        <v xml:space="preserve"> </v>
      </c>
      <c r="J8" s="90"/>
      <c r="K8" s="99"/>
    </row>
    <row r="9" spans="1:19">
      <c r="A9" s="1" t="s">
        <v>14</v>
      </c>
      <c r="B9" s="1" t="s">
        <v>2</v>
      </c>
      <c r="C9" s="12" t="s">
        <v>16549</v>
      </c>
      <c r="D9" s="2" t="s">
        <v>16550</v>
      </c>
      <c r="E9" s="257"/>
      <c r="I9" s="208" t="str">
        <f t="shared" si="0"/>
        <v xml:space="preserve"> </v>
      </c>
      <c r="J9" s="90"/>
      <c r="K9" s="99"/>
      <c r="L9" s="268" t="s">
        <v>16138</v>
      </c>
      <c r="M9" s="269" t="s">
        <v>93</v>
      </c>
      <c r="N9" s="269" t="s">
        <v>94</v>
      </c>
      <c r="O9" s="269" t="s">
        <v>95</v>
      </c>
      <c r="P9" s="269" t="s">
        <v>96</v>
      </c>
      <c r="Q9" s="269" t="s">
        <v>97</v>
      </c>
    </row>
    <row r="10" spans="1:19">
      <c r="A10" s="1" t="s">
        <v>14</v>
      </c>
      <c r="B10" s="1" t="s">
        <v>2</v>
      </c>
      <c r="C10" s="12" t="s">
        <v>16551</v>
      </c>
      <c r="D10" s="2" t="s">
        <v>16552</v>
      </c>
      <c r="E10" s="258"/>
      <c r="I10" s="208" t="str">
        <f t="shared" si="0"/>
        <v xml:space="preserve"> </v>
      </c>
      <c r="J10" s="91"/>
      <c r="K10" s="99"/>
      <c r="L10" s="204" t="s">
        <v>92</v>
      </c>
      <c r="M10" s="270" t="s">
        <v>98</v>
      </c>
      <c r="N10" s="204">
        <v>4.1100000000000003</v>
      </c>
      <c r="O10" s="204">
        <v>4.2699999999999996</v>
      </c>
      <c r="P10" s="204">
        <v>4.51</v>
      </c>
      <c r="Q10" s="271">
        <v>4.99</v>
      </c>
    </row>
    <row r="11" spans="1:19">
      <c r="A11" s="1" t="s">
        <v>14</v>
      </c>
      <c r="B11" s="1" t="s">
        <v>13</v>
      </c>
      <c r="C11" s="12" t="s">
        <v>16553</v>
      </c>
      <c r="D11" s="3" t="s">
        <v>16554</v>
      </c>
      <c r="E11" s="257"/>
      <c r="I11" s="208" t="str">
        <f t="shared" si="0"/>
        <v xml:space="preserve"> </v>
      </c>
      <c r="J11" s="90"/>
      <c r="K11" s="99"/>
      <c r="L11" s="204" t="s">
        <v>92</v>
      </c>
      <c r="M11" s="270" t="s">
        <v>99</v>
      </c>
      <c r="N11" s="204">
        <v>4.29</v>
      </c>
      <c r="O11" s="204">
        <v>4.45</v>
      </c>
      <c r="P11" s="204">
        <v>4.7699999999999996</v>
      </c>
      <c r="Q11" s="271">
        <v>5.4</v>
      </c>
    </row>
    <row r="12" spans="1:19">
      <c r="A12" s="1" t="s">
        <v>108</v>
      </c>
      <c r="B12" s="1" t="s">
        <v>2</v>
      </c>
      <c r="C12" s="12" t="s">
        <v>16555</v>
      </c>
      <c r="D12" s="2" t="s">
        <v>16556</v>
      </c>
      <c r="E12" s="26">
        <f>SUM(E6:E11)</f>
        <v>17502</v>
      </c>
      <c r="F12" s="255">
        <f>100*E12/E4</f>
        <v>119.53285070345581</v>
      </c>
      <c r="G12" s="155" t="s">
        <v>72</v>
      </c>
      <c r="I12" s="208">
        <f t="shared" si="0"/>
        <v>17502</v>
      </c>
      <c r="J12" s="147">
        <f>SUM(J6:J11)</f>
        <v>0</v>
      </c>
      <c r="K12" s="99"/>
      <c r="L12" s="204" t="s">
        <v>92</v>
      </c>
      <c r="M12" s="270" t="s">
        <v>100</v>
      </c>
      <c r="N12" s="204">
        <v>4.54</v>
      </c>
      <c r="O12" s="204">
        <v>4.76</v>
      </c>
      <c r="P12" s="204">
        <v>5.21</v>
      </c>
      <c r="Q12" s="271">
        <v>5.94</v>
      </c>
    </row>
    <row r="13" spans="1:19">
      <c r="A13" s="1" t="s">
        <v>14</v>
      </c>
      <c r="B13" s="1" t="s">
        <v>2</v>
      </c>
      <c r="C13" s="12" t="s">
        <v>16557</v>
      </c>
      <c r="D13" s="100" t="s">
        <v>16558</v>
      </c>
      <c r="E13" s="90">
        <v>56</v>
      </c>
      <c r="F13" s="99"/>
      <c r="G13" s="223"/>
      <c r="I13" s="208">
        <f t="shared" si="0"/>
        <v>56</v>
      </c>
      <c r="J13" s="90"/>
      <c r="K13" s="99"/>
      <c r="L13" s="204" t="s">
        <v>92</v>
      </c>
      <c r="M13" s="270" t="s">
        <v>101</v>
      </c>
      <c r="N13" s="204">
        <v>5.98</v>
      </c>
      <c r="O13" s="204">
        <v>7.01</v>
      </c>
      <c r="P13" s="204">
        <v>7.72</v>
      </c>
      <c r="Q13" s="271">
        <v>8.02</v>
      </c>
    </row>
    <row r="14" spans="1:19">
      <c r="A14" s="1" t="s">
        <v>14</v>
      </c>
      <c r="B14" s="1" t="s">
        <v>2</v>
      </c>
      <c r="C14" s="12" t="s">
        <v>16559</v>
      </c>
      <c r="D14" s="2" t="s">
        <v>16560</v>
      </c>
      <c r="E14" s="19">
        <f>E4-E13</f>
        <v>14586</v>
      </c>
      <c r="F14" s="204"/>
      <c r="G14" s="96"/>
      <c r="H14" s="96"/>
      <c r="I14" s="208">
        <f t="shared" si="0"/>
        <v>14586</v>
      </c>
      <c r="J14" s="111">
        <f>J4-J13</f>
        <v>0</v>
      </c>
      <c r="K14" s="99"/>
      <c r="L14" s="204" t="s">
        <v>92</v>
      </c>
      <c r="M14" s="270" t="s">
        <v>102</v>
      </c>
      <c r="N14" s="204">
        <v>6.66</v>
      </c>
      <c r="O14" s="204">
        <v>7.96</v>
      </c>
      <c r="P14" s="204">
        <v>8.75</v>
      </c>
      <c r="Q14" s="271">
        <v>9.07</v>
      </c>
    </row>
    <row r="15" spans="1:19">
      <c r="A15" s="1" t="s">
        <v>108</v>
      </c>
      <c r="B15" s="1" t="s">
        <v>2</v>
      </c>
      <c r="C15" s="12" t="s">
        <v>16561</v>
      </c>
      <c r="D15" s="2" t="s">
        <v>16562</v>
      </c>
      <c r="E15" s="19">
        <f>E13+E14+E12</f>
        <v>32144</v>
      </c>
      <c r="F15" s="77"/>
      <c r="G15" s="96"/>
      <c r="H15" s="96"/>
      <c r="I15" s="208">
        <f t="shared" si="0"/>
        <v>32144</v>
      </c>
      <c r="J15" s="111">
        <f>J13+J14+J12</f>
        <v>0</v>
      </c>
      <c r="K15" s="99"/>
      <c r="L15" s="204" t="s">
        <v>92</v>
      </c>
      <c r="M15" s="270" t="s">
        <v>103</v>
      </c>
      <c r="N15" s="204">
        <v>7.66</v>
      </c>
      <c r="O15" s="204">
        <v>9.1199999999999992</v>
      </c>
      <c r="P15" s="204">
        <v>10.119999999999999</v>
      </c>
      <c r="Q15" s="271">
        <v>10.49</v>
      </c>
    </row>
    <row r="16" spans="1:19">
      <c r="A16" s="1" t="s">
        <v>14</v>
      </c>
      <c r="B16" s="1" t="s">
        <v>2</v>
      </c>
      <c r="C16" s="12" t="s">
        <v>16563</v>
      </c>
      <c r="D16" s="2" t="s">
        <v>16564</v>
      </c>
      <c r="E16" s="18">
        <v>10780</v>
      </c>
      <c r="F16" s="292"/>
      <c r="G16" s="96"/>
      <c r="H16" s="96"/>
      <c r="I16" s="208">
        <f t="shared" si="0"/>
        <v>10780</v>
      </c>
      <c r="J16" s="101"/>
      <c r="K16" s="99"/>
      <c r="L16" s="204" t="s">
        <v>92</v>
      </c>
      <c r="M16" s="270" t="s">
        <v>104</v>
      </c>
      <c r="N16" s="204">
        <v>9.73</v>
      </c>
      <c r="O16" s="204">
        <v>11.1</v>
      </c>
      <c r="P16" s="204">
        <v>12.4</v>
      </c>
      <c r="Q16" s="271">
        <v>13.01</v>
      </c>
    </row>
    <row r="17" spans="1:17">
      <c r="A17" s="1" t="s">
        <v>14</v>
      </c>
      <c r="B17" s="1" t="s">
        <v>2</v>
      </c>
      <c r="C17" s="12" t="s">
        <v>16565</v>
      </c>
      <c r="D17" s="60" t="s">
        <v>16566</v>
      </c>
      <c r="F17" s="204"/>
      <c r="G17" s="96"/>
      <c r="H17" s="96"/>
      <c r="I17" s="208" t="str">
        <f t="shared" si="0"/>
        <v xml:space="preserve"> </v>
      </c>
      <c r="J17" s="99"/>
      <c r="K17" s="99"/>
      <c r="L17" s="204" t="s">
        <v>92</v>
      </c>
      <c r="M17" s="270" t="s">
        <v>105</v>
      </c>
      <c r="N17" s="204">
        <v>10.58</v>
      </c>
      <c r="O17" s="204">
        <v>12.02</v>
      </c>
      <c r="P17" s="204">
        <v>13.8</v>
      </c>
      <c r="Q17" s="271">
        <v>14.11</v>
      </c>
    </row>
    <row r="18" spans="1:17">
      <c r="A18" s="1" t="s">
        <v>4</v>
      </c>
      <c r="B18" s="1" t="s">
        <v>2</v>
      </c>
      <c r="C18" s="12" t="s">
        <v>16567</v>
      </c>
      <c r="D18" s="8" t="s">
        <v>16568</v>
      </c>
      <c r="E18" s="20">
        <f>E16-E17</f>
        <v>10780</v>
      </c>
      <c r="F18" s="204"/>
      <c r="G18" s="96"/>
      <c r="H18" s="96"/>
      <c r="I18" s="208">
        <f t="shared" si="0"/>
        <v>10780</v>
      </c>
      <c r="J18" s="112">
        <f>J16-J17</f>
        <v>0</v>
      </c>
      <c r="K18" s="99"/>
      <c r="L18" s="204" t="s">
        <v>92</v>
      </c>
      <c r="M18" s="270" t="s">
        <v>106</v>
      </c>
      <c r="N18" s="204">
        <v>11.72</v>
      </c>
      <c r="O18" s="204">
        <v>13.28</v>
      </c>
      <c r="P18" s="204">
        <v>15.05</v>
      </c>
      <c r="Q18" s="271">
        <v>15.34</v>
      </c>
    </row>
    <row r="19" spans="1:17">
      <c r="A19" s="1" t="s">
        <v>14</v>
      </c>
      <c r="B19" s="1" t="s">
        <v>3</v>
      </c>
      <c r="C19" s="12" t="s">
        <v>16569</v>
      </c>
      <c r="D19" s="2" t="s">
        <v>16570</v>
      </c>
      <c r="E19" s="22">
        <f>E12/E15*100</f>
        <v>54.448730711796912</v>
      </c>
      <c r="F19" s="256">
        <f ca="1">100-F21</f>
        <v>82.283270201104955</v>
      </c>
      <c r="G19" s="96"/>
      <c r="H19" s="96"/>
      <c r="I19" s="215" t="e">
        <f t="shared" si="0"/>
        <v>#DIV/0!</v>
      </c>
      <c r="J19" s="110" t="e">
        <f>J12/J15*100</f>
        <v>#DIV/0!</v>
      </c>
      <c r="K19" s="99"/>
      <c r="L19" s="204" t="s">
        <v>92</v>
      </c>
      <c r="M19" s="270" t="s">
        <v>107</v>
      </c>
      <c r="N19" s="204">
        <v>13.8</v>
      </c>
      <c r="O19" s="204">
        <v>15.26</v>
      </c>
      <c r="P19" s="204">
        <v>16.98</v>
      </c>
      <c r="Q19" s="271">
        <v>17.649999999999999</v>
      </c>
    </row>
    <row r="20" spans="1:17">
      <c r="A20" s="1" t="s">
        <v>14</v>
      </c>
      <c r="B20" s="1" t="s">
        <v>3</v>
      </c>
      <c r="C20" s="12" t="s">
        <v>16571</v>
      </c>
      <c r="D20" s="2" t="s">
        <v>16572</v>
      </c>
      <c r="E20"/>
      <c r="F20" s="204"/>
      <c r="G20" s="96"/>
      <c r="H20" s="96"/>
      <c r="I20" s="215" t="e">
        <f t="shared" si="0"/>
        <v>#DIV/0!</v>
      </c>
      <c r="J20" s="110" t="e">
        <f>J13/$J$15*100</f>
        <v>#DIV/0!</v>
      </c>
      <c r="K20" s="99"/>
      <c r="L20" s="204" t="s">
        <v>92</v>
      </c>
      <c r="M20" s="270" t="s">
        <v>108</v>
      </c>
      <c r="N20" s="204">
        <v>15.51</v>
      </c>
      <c r="O20" s="204">
        <v>17.010000000000002</v>
      </c>
      <c r="P20" s="204">
        <v>18.489999999999998</v>
      </c>
      <c r="Q20" s="271">
        <v>19.37</v>
      </c>
    </row>
    <row r="21" spans="1:17">
      <c r="A21" s="1" t="s">
        <v>14</v>
      </c>
      <c r="B21" s="1" t="s">
        <v>3</v>
      </c>
      <c r="C21" s="12" t="s">
        <v>16573</v>
      </c>
      <c r="D21" s="60" t="s">
        <v>16574</v>
      </c>
      <c r="E21" s="22">
        <f>E14/$E$15*100</f>
        <v>45.377053260328523</v>
      </c>
      <c r="F21" s="256">
        <f ca="1">100*(1/(1+E26/100))</f>
        <v>17.716729798895042</v>
      </c>
      <c r="G21" s="96"/>
      <c r="H21" s="96"/>
      <c r="I21" s="215" t="e">
        <f t="shared" si="0"/>
        <v>#DIV/0!</v>
      </c>
      <c r="J21" s="110" t="e">
        <f>J14/$J$15*100</f>
        <v>#DIV/0!</v>
      </c>
      <c r="K21" s="99"/>
      <c r="L21" s="272" t="s">
        <v>92</v>
      </c>
      <c r="M21" s="273" t="s">
        <v>109</v>
      </c>
      <c r="N21" s="272">
        <v>16.600000000000001</v>
      </c>
      <c r="O21" s="272">
        <v>18.260000000000002</v>
      </c>
      <c r="P21" s="272">
        <v>19.809999999999999</v>
      </c>
      <c r="Q21" s="274">
        <v>20.59</v>
      </c>
    </row>
    <row r="22" spans="1:17">
      <c r="A22" s="1" t="s">
        <v>4</v>
      </c>
      <c r="B22" s="1" t="s">
        <v>3</v>
      </c>
      <c r="C22" s="12" t="s">
        <v>16575</v>
      </c>
      <c r="D22" s="8" t="s">
        <v>16576</v>
      </c>
      <c r="E22" s="21">
        <f>RATE!F7</f>
        <v>3.65</v>
      </c>
      <c r="F22" s="293"/>
      <c r="G22" s="157"/>
      <c r="H22" s="96"/>
      <c r="I22" s="215">
        <f t="shared" si="0"/>
        <v>3.65</v>
      </c>
      <c r="J22" s="152"/>
      <c r="K22" s="99"/>
      <c r="L22" s="204" t="s">
        <v>110</v>
      </c>
      <c r="M22" s="270" t="s">
        <v>98</v>
      </c>
      <c r="N22" s="204">
        <v>4.3899999999999997</v>
      </c>
      <c r="O22" s="204">
        <v>4.58</v>
      </c>
      <c r="P22" s="204">
        <v>4.88</v>
      </c>
      <c r="Q22" s="271">
        <v>5.36</v>
      </c>
    </row>
    <row r="23" spans="1:17">
      <c r="A23" s="1" t="s">
        <v>4</v>
      </c>
      <c r="B23" s="1" t="s">
        <v>3</v>
      </c>
      <c r="C23" s="12" t="s">
        <v>16577</v>
      </c>
      <c r="D23" s="8" t="s">
        <v>16578</v>
      </c>
      <c r="E23" s="21">
        <f>RATE!F8</f>
        <v>11.4</v>
      </c>
      <c r="F23" s="294"/>
      <c r="G23" s="295"/>
      <c r="H23" s="96"/>
      <c r="I23" s="215">
        <f t="shared" si="0"/>
        <v>11.4</v>
      </c>
      <c r="J23" s="152"/>
      <c r="K23" s="99"/>
      <c r="L23" s="204" t="s">
        <v>110</v>
      </c>
      <c r="M23" s="270" t="s">
        <v>99</v>
      </c>
      <c r="N23" s="204">
        <v>4.5999999999999996</v>
      </c>
      <c r="O23" s="204">
        <v>4.8</v>
      </c>
      <c r="P23" s="204">
        <v>5.18</v>
      </c>
      <c r="Q23" s="271">
        <v>5.84</v>
      </c>
    </row>
    <row r="24" spans="1:17">
      <c r="A24" s="1" t="s">
        <v>4</v>
      </c>
      <c r="B24" s="1" t="s">
        <v>16579</v>
      </c>
      <c r="C24" s="12" t="s">
        <v>16580</v>
      </c>
      <c r="D24" s="8" t="s">
        <v>16581</v>
      </c>
      <c r="E24" s="63">
        <f ca="1">Bloomberg!K6</f>
        <v>0.86399999999999999</v>
      </c>
      <c r="F24" s="294"/>
      <c r="G24" s="295"/>
      <c r="H24" s="96"/>
      <c r="I24" s="215">
        <f t="shared" ca="1" si="0"/>
        <v>0.86399999999999999</v>
      </c>
      <c r="J24" s="153"/>
      <c r="K24" s="99"/>
      <c r="L24" s="204" t="s">
        <v>110</v>
      </c>
      <c r="M24" s="270" t="s">
        <v>100</v>
      </c>
      <c r="N24" s="204">
        <v>4.95</v>
      </c>
      <c r="O24" s="204">
        <v>5.17</v>
      </c>
      <c r="P24" s="204">
        <v>5.69</v>
      </c>
      <c r="Q24" s="271">
        <v>6.43</v>
      </c>
    </row>
    <row r="25" spans="1:17">
      <c r="A25" s="1" t="s">
        <v>4</v>
      </c>
      <c r="B25" s="1" t="s">
        <v>16579</v>
      </c>
      <c r="C25" s="12" t="s">
        <v>16582</v>
      </c>
      <c r="D25" s="8" t="s">
        <v>16583</v>
      </c>
      <c r="E25" s="63"/>
      <c r="F25" s="294"/>
      <c r="G25" s="296"/>
      <c r="H25" s="204"/>
      <c r="I25" s="215" t="str">
        <f t="shared" si="0"/>
        <v xml:space="preserve"> </v>
      </c>
      <c r="J25" s="153"/>
      <c r="K25" s="99"/>
      <c r="L25" s="204" t="s">
        <v>110</v>
      </c>
      <c r="M25" s="270" t="s">
        <v>101</v>
      </c>
      <c r="N25" s="204">
        <v>6.55</v>
      </c>
      <c r="O25" s="204">
        <v>7.52</v>
      </c>
      <c r="P25" s="204">
        <v>8.33</v>
      </c>
      <c r="Q25" s="271">
        <v>8.65</v>
      </c>
    </row>
    <row r="26" spans="1:17">
      <c r="A26" s="1" t="s">
        <v>4</v>
      </c>
      <c r="B26" s="1" t="s">
        <v>3</v>
      </c>
      <c r="C26" s="12" t="s">
        <v>16584</v>
      </c>
      <c r="D26" s="8" t="s">
        <v>16585</v>
      </c>
      <c r="E26" s="21">
        <f ca="1">Bloomberg!L6</f>
        <v>464.43825206521359</v>
      </c>
      <c r="F26" s="294"/>
      <c r="G26" s="296"/>
      <c r="H26" s="204"/>
      <c r="I26" s="215">
        <f t="shared" ca="1" si="0"/>
        <v>464.43825206521359</v>
      </c>
      <c r="J26" s="152"/>
      <c r="K26" s="99"/>
      <c r="L26" s="204" t="s">
        <v>110</v>
      </c>
      <c r="M26" s="270" t="s">
        <v>102</v>
      </c>
      <c r="N26" s="204">
        <v>7.33</v>
      </c>
      <c r="O26" s="204">
        <v>8.58</v>
      </c>
      <c r="P26" s="204">
        <v>9.4700000000000006</v>
      </c>
      <c r="Q26" s="271">
        <v>9.86</v>
      </c>
    </row>
    <row r="27" spans="1:17">
      <c r="A27" s="1" t="s">
        <v>108</v>
      </c>
      <c r="B27" s="1" t="s">
        <v>3</v>
      </c>
      <c r="C27" s="12" t="s">
        <v>16586</v>
      </c>
      <c r="D27" s="60" t="s">
        <v>16587</v>
      </c>
      <c r="E27" s="22">
        <f ca="1">E24/(1+E26/100*(1-E30/100))</f>
        <v>0.18690705820202019</v>
      </c>
      <c r="F27" s="297"/>
      <c r="G27" s="297"/>
      <c r="H27" s="96"/>
      <c r="I27" s="215">
        <f t="shared" ca="1" si="0"/>
        <v>0.18690705820202019</v>
      </c>
      <c r="J27" s="22">
        <f>J24/(1+J26/100*(1-J30/100))</f>
        <v>0</v>
      </c>
      <c r="K27" s="99"/>
      <c r="L27" s="204" t="s">
        <v>110</v>
      </c>
      <c r="M27" s="270" t="s">
        <v>103</v>
      </c>
      <c r="N27" s="204">
        <v>8.34</v>
      </c>
      <c r="O27" s="204">
        <v>9.8699999999999992</v>
      </c>
      <c r="P27" s="204">
        <v>10.96</v>
      </c>
      <c r="Q27" s="271">
        <v>11.35</v>
      </c>
    </row>
    <row r="28" spans="1:17">
      <c r="A28" s="1" t="s">
        <v>108</v>
      </c>
      <c r="B28" s="1" t="s">
        <v>3</v>
      </c>
      <c r="C28" s="12" t="s">
        <v>16588</v>
      </c>
      <c r="D28" s="60" t="s">
        <v>16589</v>
      </c>
      <c r="E28" s="256">
        <f ca="1">Bloomberg!Q6</f>
        <v>0.36117101937319696</v>
      </c>
      <c r="F28" s="256">
        <f ca="1">Bloomberg!R6</f>
        <v>0.86399999999999999</v>
      </c>
      <c r="G28"/>
      <c r="H28" s="204"/>
      <c r="I28" s="215" t="e">
        <f t="shared" ca="1" si="0"/>
        <v>#DIV/0!</v>
      </c>
      <c r="J28" s="22" t="e">
        <f>J27*(1+J5/100*(1-J30/100))/J25</f>
        <v>#DIV/0!</v>
      </c>
      <c r="K28" s="99"/>
      <c r="L28" s="204" t="s">
        <v>110</v>
      </c>
      <c r="M28" s="270" t="s">
        <v>104</v>
      </c>
      <c r="N28" s="204">
        <v>10.31</v>
      </c>
      <c r="O28" s="204">
        <v>11.91</v>
      </c>
      <c r="P28" s="204">
        <v>13.31</v>
      </c>
      <c r="Q28" s="271">
        <v>13.92</v>
      </c>
    </row>
    <row r="29" spans="1:17">
      <c r="A29" s="1" t="s">
        <v>4</v>
      </c>
      <c r="B29" s="1" t="s">
        <v>3</v>
      </c>
      <c r="C29" s="12" t="s">
        <v>16590</v>
      </c>
      <c r="D29" s="8" t="s">
        <v>16591</v>
      </c>
      <c r="E29" s="23"/>
      <c r="F29" s="291"/>
      <c r="G29" s="93"/>
      <c r="H29" s="93"/>
      <c r="I29" s="215" t="str">
        <f t="shared" si="0"/>
        <v xml:space="preserve"> </v>
      </c>
      <c r="J29" s="149"/>
      <c r="K29" s="99"/>
      <c r="L29" s="204" t="s">
        <v>110</v>
      </c>
      <c r="M29" s="270" t="s">
        <v>105</v>
      </c>
      <c r="N29" s="204">
        <v>11.33</v>
      </c>
      <c r="O29" s="204">
        <v>12.85</v>
      </c>
      <c r="P29" s="204">
        <v>14.69</v>
      </c>
      <c r="Q29" s="271">
        <v>15.02</v>
      </c>
    </row>
    <row r="30" spans="1:17" ht="17.25" thickBot="1">
      <c r="A30" s="1" t="s">
        <v>14</v>
      </c>
      <c r="B30" s="1" t="s">
        <v>3</v>
      </c>
      <c r="C30" s="12" t="s">
        <v>16592</v>
      </c>
      <c r="D30" s="61" t="s">
        <v>16593</v>
      </c>
      <c r="E30" s="27">
        <v>22</v>
      </c>
      <c r="F30" s="224">
        <v>2025</v>
      </c>
      <c r="G30" s="154" t="s">
        <v>18</v>
      </c>
      <c r="H30" s="96"/>
      <c r="I30" s="215">
        <f t="shared" si="0"/>
        <v>22</v>
      </c>
      <c r="J30" s="150"/>
      <c r="K30" s="99"/>
      <c r="L30" s="204" t="s">
        <v>110</v>
      </c>
      <c r="M30" s="270" t="s">
        <v>106</v>
      </c>
      <c r="N30" s="204">
        <v>12.49</v>
      </c>
      <c r="O30" s="204">
        <v>14.14</v>
      </c>
      <c r="P30" s="204">
        <v>15.97</v>
      </c>
      <c r="Q30" s="271">
        <v>16.32</v>
      </c>
    </row>
    <row r="31" spans="1:17" ht="17.25" thickBot="1">
      <c r="A31" s="1" t="s">
        <v>4</v>
      </c>
      <c r="B31" s="1" t="s">
        <v>3</v>
      </c>
      <c r="C31" s="12" t="s">
        <v>16594</v>
      </c>
      <c r="D31" s="148" t="s">
        <v>16595</v>
      </c>
      <c r="E31" s="377"/>
      <c r="F31" s="96"/>
      <c r="G31" s="214"/>
      <c r="H31" s="94"/>
      <c r="I31" s="215" t="str">
        <f t="shared" si="0"/>
        <v xml:space="preserve"> </v>
      </c>
      <c r="J31" s="151"/>
      <c r="K31" s="99"/>
      <c r="L31" s="204" t="s">
        <v>110</v>
      </c>
      <c r="M31" s="270" t="s">
        <v>107</v>
      </c>
      <c r="N31" s="204">
        <v>14.58</v>
      </c>
      <c r="O31" s="204">
        <v>16.09</v>
      </c>
      <c r="P31" s="204">
        <v>17.91</v>
      </c>
      <c r="Q31" s="271">
        <v>18.64</v>
      </c>
    </row>
    <row r="32" spans="1:17">
      <c r="A32" s="1" t="s">
        <v>14</v>
      </c>
      <c r="B32" s="1" t="s">
        <v>3</v>
      </c>
      <c r="C32" s="12" t="s">
        <v>16596</v>
      </c>
      <c r="D32" s="2" t="s">
        <v>16597</v>
      </c>
      <c r="E32" s="22">
        <f>E31*(1-(E30/100))</f>
        <v>0</v>
      </c>
      <c r="F32" s="94"/>
      <c r="G32" s="99"/>
      <c r="H32" s="95"/>
      <c r="I32" s="215" t="str">
        <f t="shared" si="0"/>
        <v xml:space="preserve"> </v>
      </c>
      <c r="J32" s="22">
        <f>J31*(1-(J30/100))</f>
        <v>0</v>
      </c>
      <c r="K32" s="99"/>
      <c r="L32" s="204" t="s">
        <v>110</v>
      </c>
      <c r="M32" s="270" t="s">
        <v>108</v>
      </c>
      <c r="N32" s="204">
        <v>16.3</v>
      </c>
      <c r="O32" s="204">
        <v>17.93</v>
      </c>
      <c r="P32" s="204">
        <v>19.45</v>
      </c>
      <c r="Q32" s="271">
        <v>20.36</v>
      </c>
    </row>
    <row r="33" spans="1:17">
      <c r="A33" s="1" t="s">
        <v>14</v>
      </c>
      <c r="B33" s="1" t="s">
        <v>3</v>
      </c>
      <c r="C33" s="12" t="s">
        <v>16598</v>
      </c>
      <c r="D33" s="2" t="s">
        <v>16599</v>
      </c>
      <c r="E33"/>
      <c r="F33" s="225"/>
      <c r="G33" s="154" t="s">
        <v>19</v>
      </c>
      <c r="H33" s="94"/>
      <c r="I33" s="215" t="e">
        <f t="shared" si="0"/>
        <v>#DIV/0!</v>
      </c>
      <c r="J33" s="22" t="e">
        <f>J34*0.9</f>
        <v>#DIV/0!</v>
      </c>
      <c r="K33" s="99"/>
      <c r="L33" s="204" t="s">
        <v>110</v>
      </c>
      <c r="M33" s="270" t="s">
        <v>109</v>
      </c>
      <c r="N33" s="204">
        <v>17.47</v>
      </c>
      <c r="O33" s="204">
        <v>19.2</v>
      </c>
      <c r="P33" s="204">
        <v>20.82</v>
      </c>
      <c r="Q33" s="271">
        <v>21.6</v>
      </c>
    </row>
    <row r="34" spans="1:17">
      <c r="A34" s="1" t="s">
        <v>14</v>
      </c>
      <c r="B34" s="1" t="s">
        <v>3</v>
      </c>
      <c r="C34" s="12" t="s">
        <v>16600</v>
      </c>
      <c r="D34" s="2" t="s">
        <v>16601</v>
      </c>
      <c r="E34" s="256">
        <f ca="1">E22+E23*F28+E43</f>
        <v>13.499600000000001</v>
      </c>
      <c r="G34" s="644" t="str">
        <f ca="1">IF(E32&gt;E34,"자본비용역전","이상없음")</f>
        <v>이상없음</v>
      </c>
      <c r="H34" s="94"/>
      <c r="I34" s="215" t="e">
        <f t="shared" ca="1" si="0"/>
        <v>#DIV/0!</v>
      </c>
      <c r="J34" s="110" t="e">
        <f>J22+J23*J28</f>
        <v>#DIV/0!</v>
      </c>
      <c r="K34" s="99"/>
      <c r="L34" s="204"/>
      <c r="M34" s="204"/>
      <c r="N34" s="204"/>
      <c r="O34" s="204"/>
      <c r="P34" s="204"/>
      <c r="Q34" s="204"/>
    </row>
    <row r="35" spans="1:17" ht="17.25" thickBot="1">
      <c r="A35" s="2" t="s">
        <v>16602</v>
      </c>
      <c r="B35" s="2" t="s">
        <v>3</v>
      </c>
      <c r="C35" s="12" t="s">
        <v>16603</v>
      </c>
      <c r="D35" s="2" t="s">
        <v>16604</v>
      </c>
      <c r="E35" s="22">
        <f ca="1">(F19/100)*E32+(F21/100)*E34</f>
        <v>2.3916876559316353</v>
      </c>
      <c r="G35" s="204"/>
      <c r="H35" s="99"/>
      <c r="I35" s="215" t="e">
        <f t="shared" ca="1" si="0"/>
        <v>#DIV/0!</v>
      </c>
      <c r="J35" s="110" t="e">
        <f>(J19/100)*J32+(J20/100)*J33+(J21/100)*J34</f>
        <v>#DIV/0!</v>
      </c>
      <c r="K35" s="99"/>
      <c r="L35" s="205" t="s">
        <v>111</v>
      </c>
      <c r="M35" s="204"/>
      <c r="N35" s="204"/>
      <c r="O35" s="204"/>
      <c r="P35" s="204"/>
      <c r="Q35" s="204"/>
    </row>
    <row r="36" spans="1:17">
      <c r="A36" s="2" t="s">
        <v>14</v>
      </c>
      <c r="B36" s="2" t="s">
        <v>2</v>
      </c>
      <c r="C36" s="12" t="s">
        <v>16605</v>
      </c>
      <c r="D36" s="2" t="s">
        <v>16606</v>
      </c>
      <c r="E36" s="24">
        <f>E4</f>
        <v>14642</v>
      </c>
      <c r="G36" s="154" t="s">
        <v>20</v>
      </c>
      <c r="H36" s="99"/>
      <c r="I36" s="208">
        <f t="shared" si="0"/>
        <v>14642</v>
      </c>
      <c r="J36" s="187">
        <f>J4</f>
        <v>0</v>
      </c>
      <c r="K36" s="99"/>
      <c r="L36" s="275" t="s">
        <v>112</v>
      </c>
      <c r="M36" s="276"/>
      <c r="N36" s="204"/>
      <c r="O36" s="204"/>
      <c r="P36" s="204"/>
      <c r="Q36" s="204"/>
    </row>
    <row r="37" spans="1:17" ht="17.25" thickBot="1">
      <c r="A37" s="2" t="s">
        <v>14</v>
      </c>
      <c r="B37" s="2" t="s">
        <v>2</v>
      </c>
      <c r="C37" s="12" t="s">
        <v>16607</v>
      </c>
      <c r="D37" s="60" t="s">
        <v>16608</v>
      </c>
      <c r="E37" s="24">
        <f>E18</f>
        <v>10780</v>
      </c>
      <c r="F37"/>
      <c r="G37" s="644" t="str">
        <f>IF(E37=J37,"변동없음","주식수변동")</f>
        <v>주식수변동</v>
      </c>
      <c r="H37" s="99"/>
      <c r="I37" s="208">
        <f t="shared" si="0"/>
        <v>10780</v>
      </c>
      <c r="J37" s="187">
        <f>J18</f>
        <v>0</v>
      </c>
      <c r="K37" s="99"/>
      <c r="L37" s="277" t="s">
        <v>113</v>
      </c>
      <c r="M37" s="278">
        <f>IS추정!H50</f>
        <v>6.059950806822175</v>
      </c>
      <c r="N37" s="204"/>
      <c r="O37" s="204"/>
      <c r="P37" s="204"/>
      <c r="Q37" s="204"/>
    </row>
    <row r="38" spans="1:17">
      <c r="A38" s="2" t="s">
        <v>4</v>
      </c>
      <c r="B38" s="2" t="s">
        <v>2</v>
      </c>
      <c r="C38" s="12" t="s">
        <v>16609</v>
      </c>
      <c r="D38" s="9" t="s">
        <v>16610</v>
      </c>
      <c r="E38" s="25">
        <f>E36*1000000/E37</f>
        <v>1358256.0296846011</v>
      </c>
      <c r="F38" s="94"/>
      <c r="G38" s="204"/>
      <c r="H38" s="99"/>
      <c r="I38" s="208" t="e">
        <f t="shared" si="0"/>
        <v>#DIV/0!</v>
      </c>
      <c r="J38" s="113" t="e">
        <f>J36*1000000/J37</f>
        <v>#DIV/0!</v>
      </c>
      <c r="K38" s="99"/>
      <c r="N38" s="204"/>
      <c r="O38" s="204"/>
      <c r="P38" s="204"/>
      <c r="Q38" s="204"/>
    </row>
    <row r="39" spans="1:17">
      <c r="C39" s="12"/>
      <c r="D39" s="144" t="s">
        <v>1</v>
      </c>
      <c r="E39" s="62">
        <f ca="1">+민감도!B7</f>
        <v>15427948.43692149</v>
      </c>
      <c r="F39" s="350" t="str">
        <f ca="1">IFERROR(E39/J39-1,"")</f>
        <v/>
      </c>
      <c r="G39" s="154" t="s">
        <v>21</v>
      </c>
      <c r="H39" s="99"/>
      <c r="I39" s="208">
        <f t="shared" ca="1" si="0"/>
        <v>15427948.43692149</v>
      </c>
      <c r="J39" s="200">
        <f>E60</f>
        <v>0</v>
      </c>
      <c r="K39" s="99"/>
      <c r="N39" s="204"/>
      <c r="O39" s="204"/>
      <c r="P39" s="204"/>
      <c r="Q39" s="204"/>
    </row>
    <row r="40" spans="1:17">
      <c r="G40" s="644" t="str">
        <f>IF(BS추정!H40&lt;0,"자본잠식","해당없음")</f>
        <v>해당없음</v>
      </c>
    </row>
    <row r="41" spans="1:17">
      <c r="D41" s="97"/>
      <c r="E41" s="298" t="str">
        <f>IF(E43=0,"RP=0 경고","")</f>
        <v>RP=0 경고</v>
      </c>
      <c r="F41" s="99"/>
    </row>
    <row r="42" spans="1:17">
      <c r="A42" s="14">
        <v>1</v>
      </c>
      <c r="C42" s="107" t="s">
        <v>16612</v>
      </c>
      <c r="D42" s="107" t="s">
        <v>16613</v>
      </c>
      <c r="E42" s="107" t="s">
        <v>16382</v>
      </c>
      <c r="F42" s="107"/>
      <c r="G42" s="99"/>
    </row>
    <row r="43" spans="1:17">
      <c r="A43" s="2" t="s">
        <v>14</v>
      </c>
      <c r="B43" s="2" t="s">
        <v>16266</v>
      </c>
      <c r="C43" s="107" t="s">
        <v>16614</v>
      </c>
      <c r="D43" s="204" t="s">
        <v>16615</v>
      </c>
      <c r="E43" s="286">
        <v>0</v>
      </c>
      <c r="F43" s="204"/>
      <c r="G43" s="99"/>
    </row>
    <row r="47" spans="1:17">
      <c r="D47" s="299" t="s">
        <v>125</v>
      </c>
      <c r="E47" s="299" t="s">
        <v>126</v>
      </c>
      <c r="H47"/>
    </row>
    <row r="48" spans="1:17">
      <c r="D48" s="300" t="s">
        <v>127</v>
      </c>
      <c r="E48" s="125" t="s">
        <v>697</v>
      </c>
      <c r="F48" s="666" t="s">
        <v>698</v>
      </c>
    </row>
    <row r="49" spans="3:23">
      <c r="D49" s="300" t="s">
        <v>128</v>
      </c>
      <c r="E49" s="125" t="s">
        <v>129</v>
      </c>
    </row>
    <row r="50" spans="3:23">
      <c r="D50" s="300" t="s">
        <v>130</v>
      </c>
      <c r="E50" s="125" t="s">
        <v>131</v>
      </c>
    </row>
    <row r="51" spans="3:23">
      <c r="D51" s="300" t="s">
        <v>132</v>
      </c>
      <c r="E51" s="125" t="s">
        <v>133</v>
      </c>
    </row>
    <row r="52" spans="3:23">
      <c r="D52" s="300" t="s">
        <v>134</v>
      </c>
      <c r="E52" s="125" t="s">
        <v>135</v>
      </c>
    </row>
    <row r="54" spans="3:23">
      <c r="D54"/>
      <c r="E54"/>
      <c r="F54"/>
      <c r="G54"/>
      <c r="H54" s="204"/>
      <c r="I54" s="204"/>
      <c r="J54" s="99"/>
      <c r="K54" s="99"/>
      <c r="L54" s="99"/>
      <c r="M54" s="99"/>
      <c r="N54" s="99"/>
      <c r="O54" s="99"/>
      <c r="P54" s="99"/>
      <c r="Q54" s="99"/>
    </row>
    <row r="55" spans="3:23">
      <c r="D55"/>
      <c r="E55"/>
      <c r="F55"/>
      <c r="G55"/>
      <c r="H55" s="204"/>
      <c r="I55" s="204"/>
      <c r="J55" s="99"/>
      <c r="K55" s="99"/>
      <c r="L55" s="99"/>
      <c r="M55" s="99"/>
      <c r="N55" s="99"/>
      <c r="O55" s="99"/>
      <c r="P55" s="99"/>
      <c r="Q55" s="99"/>
    </row>
    <row r="56" spans="3:23">
      <c r="D56"/>
      <c r="E56"/>
      <c r="F56"/>
      <c r="G56"/>
      <c r="H56" s="204"/>
      <c r="I56" s="204"/>
      <c r="J56" s="99"/>
      <c r="K56" s="99"/>
      <c r="L56" s="99"/>
    </row>
    <row r="57" spans="3:23">
      <c r="D57" s="99"/>
      <c r="E57" s="226">
        <f ca="1">E59/$G$59-1</f>
        <v>0</v>
      </c>
      <c r="F57" s="226">
        <f ca="1">F59/$G$59-1</f>
        <v>-1</v>
      </c>
      <c r="G57" s="226" t="e">
        <f t="shared" ref="G57:I57" ca="1" si="2">G59/G60-1</f>
        <v>#DIV/0!</v>
      </c>
      <c r="H57" s="226" t="e">
        <f t="shared" si="2"/>
        <v>#DIV/0!</v>
      </c>
      <c r="I57" s="226" t="e">
        <f t="shared" si="2"/>
        <v>#DIV/0!</v>
      </c>
    </row>
    <row r="58" spans="3:23">
      <c r="D58" s="156" t="s">
        <v>711</v>
      </c>
      <c r="E58" s="154" t="s">
        <v>66</v>
      </c>
      <c r="F58" s="154" t="s">
        <v>88</v>
      </c>
      <c r="G58" s="154" t="s">
        <v>67</v>
      </c>
      <c r="H58" s="154" t="s">
        <v>22</v>
      </c>
      <c r="I58" s="154" t="s">
        <v>57</v>
      </c>
      <c r="J58" s="154" t="s">
        <v>23</v>
      </c>
      <c r="K58" s="154" t="s">
        <v>24</v>
      </c>
      <c r="L58" s="99"/>
      <c r="M58" s="549" t="s">
        <v>233</v>
      </c>
      <c r="N58" s="549" t="s">
        <v>609</v>
      </c>
      <c r="O58" s="549" t="s">
        <v>610</v>
      </c>
      <c r="P58" s="549" t="s">
        <v>611</v>
      </c>
      <c r="Q58" s="549" t="s">
        <v>121</v>
      </c>
      <c r="R58" s="549" t="s">
        <v>122</v>
      </c>
      <c r="S58" s="549" t="s">
        <v>123</v>
      </c>
      <c r="T58" s="549" t="s">
        <v>124</v>
      </c>
      <c r="U58" s="550" t="s">
        <v>612</v>
      </c>
      <c r="V58" s="549" t="s">
        <v>613</v>
      </c>
      <c r="W58" s="550" t="s">
        <v>614</v>
      </c>
    </row>
    <row r="59" spans="3:23">
      <c r="C59" s="226"/>
      <c r="D59" s="552" t="str">
        <f>LEFT(평가기준일,10)</f>
        <v>2024-05-31</v>
      </c>
      <c r="E59" s="553">
        <f ca="1">E39</f>
        <v>15427948.43692149</v>
      </c>
      <c r="F59" s="553"/>
      <c r="G59" s="553">
        <f ca="1">AVERAGE(E59:F59)</f>
        <v>15427948.43692149</v>
      </c>
      <c r="H59" s="554">
        <f>E38</f>
        <v>1358256.0296846011</v>
      </c>
      <c r="I59" s="553">
        <f>비용추정!H83</f>
        <v>211873.84044526902</v>
      </c>
      <c r="J59" s="555">
        <f ca="1">G59/I59</f>
        <v>72.816674321372005</v>
      </c>
      <c r="K59" s="556">
        <f ca="1">G59/H59</f>
        <v>11.358645277285458</v>
      </c>
      <c r="L59" s="99"/>
      <c r="M59" s="557" t="str">
        <f>TRIM(COMPANY!E2)</f>
        <v>(주)루메나</v>
      </c>
      <c r="N59" s="557"/>
      <c r="O59" s="558" t="str">
        <f>LEFT(평가기준일,10)</f>
        <v>2024-05-31</v>
      </c>
      <c r="P59" s="559">
        <f ca="1">G59</f>
        <v>15427948.43692149</v>
      </c>
      <c r="Q59" s="560">
        <v>3</v>
      </c>
      <c r="R59" s="560"/>
      <c r="S59" s="560"/>
      <c r="T59" s="560"/>
      <c r="U59" s="560">
        <v>0</v>
      </c>
      <c r="V59" s="560"/>
      <c r="W59" s="561">
        <f>E18</f>
        <v>10780</v>
      </c>
    </row>
    <row r="60" spans="3:23">
      <c r="D60" s="201"/>
      <c r="E60" s="249"/>
      <c r="F60" s="249"/>
      <c r="G60" s="250"/>
      <c r="H60" s="251"/>
      <c r="I60" s="249"/>
      <c r="J60" s="667" t="str">
        <f>IFERROR(G60/I60,"")</f>
        <v/>
      </c>
      <c r="K60" s="668" t="str">
        <f>IFERROR(G60/H60,"")</f>
        <v/>
      </c>
      <c r="L60" s="99"/>
      <c r="M60" s="551"/>
      <c r="N60" s="551"/>
      <c r="O60" s="287"/>
      <c r="P60" s="288"/>
      <c r="Q60" s="289"/>
      <c r="R60" s="289"/>
      <c r="S60" s="289"/>
      <c r="T60" s="289"/>
      <c r="U60" s="289"/>
      <c r="V60" s="289"/>
      <c r="W60" s="290"/>
    </row>
    <row r="61" spans="3:23">
      <c r="D61" s="201"/>
      <c r="E61" s="249"/>
      <c r="F61" s="249"/>
      <c r="G61" s="250"/>
      <c r="H61" s="251"/>
      <c r="I61" s="249"/>
      <c r="J61" s="667" t="str">
        <f t="shared" ref="J61:J73" si="3">IFERROR(G61/I61,"")</f>
        <v/>
      </c>
      <c r="K61" s="668" t="str">
        <f t="shared" ref="K61:K73" si="4">IFERROR(G61/H61,"")</f>
        <v/>
      </c>
      <c r="L61" s="99"/>
      <c r="M61" s="551"/>
      <c r="N61" s="551"/>
      <c r="O61" s="287"/>
      <c r="P61" s="288"/>
      <c r="Q61" s="289"/>
      <c r="R61" s="289"/>
      <c r="S61" s="289"/>
      <c r="T61" s="289"/>
      <c r="U61" s="289"/>
      <c r="V61" s="289"/>
      <c r="W61" s="290"/>
    </row>
    <row r="62" spans="3:23">
      <c r="D62" s="201"/>
      <c r="E62" s="249"/>
      <c r="F62" s="249"/>
      <c r="G62" s="250"/>
      <c r="H62" s="251"/>
      <c r="I62" s="249"/>
      <c r="J62" s="667" t="str">
        <f t="shared" si="3"/>
        <v/>
      </c>
      <c r="K62" s="668" t="str">
        <f t="shared" si="4"/>
        <v/>
      </c>
      <c r="L62" s="99"/>
      <c r="M62" s="551"/>
      <c r="N62" s="551"/>
      <c r="O62" s="287"/>
      <c r="P62" s="288"/>
      <c r="Q62" s="289"/>
      <c r="R62" s="289"/>
      <c r="S62" s="289"/>
      <c r="T62" s="289"/>
      <c r="U62" s="289"/>
      <c r="V62" s="289"/>
      <c r="W62" s="290"/>
    </row>
    <row r="63" spans="3:23">
      <c r="D63" s="201"/>
      <c r="E63" s="249"/>
      <c r="F63" s="249"/>
      <c r="G63" s="250"/>
      <c r="H63" s="251"/>
      <c r="I63" s="249"/>
      <c r="J63" s="667" t="str">
        <f t="shared" si="3"/>
        <v/>
      </c>
      <c r="K63" s="668" t="str">
        <f t="shared" si="4"/>
        <v/>
      </c>
      <c r="L63" s="99"/>
      <c r="M63" s="551"/>
      <c r="N63" s="551"/>
      <c r="O63" s="287"/>
      <c r="P63" s="288"/>
      <c r="Q63" s="289"/>
      <c r="R63" s="289"/>
      <c r="S63" s="289"/>
      <c r="T63" s="289"/>
      <c r="U63" s="289"/>
      <c r="V63" s="289"/>
      <c r="W63" s="290"/>
    </row>
    <row r="64" spans="3:23">
      <c r="D64" s="201"/>
      <c r="E64" s="249"/>
      <c r="F64" s="249"/>
      <c r="G64" s="250"/>
      <c r="H64" s="251"/>
      <c r="I64" s="249"/>
      <c r="J64" s="667" t="str">
        <f t="shared" si="3"/>
        <v/>
      </c>
      <c r="K64" s="668" t="str">
        <f t="shared" si="4"/>
        <v/>
      </c>
      <c r="L64" s="204"/>
      <c r="M64" s="551"/>
      <c r="N64" s="551"/>
      <c r="O64" s="287"/>
      <c r="P64" s="288"/>
      <c r="Q64" s="289"/>
      <c r="R64" s="289"/>
      <c r="S64" s="289"/>
      <c r="T64" s="289"/>
      <c r="U64" s="289"/>
      <c r="V64" s="289"/>
      <c r="W64" s="290"/>
    </row>
    <row r="65" spans="4:23">
      <c r="D65" s="201"/>
      <c r="E65" s="249"/>
      <c r="F65" s="249"/>
      <c r="G65" s="250"/>
      <c r="H65" s="251"/>
      <c r="I65" s="249"/>
      <c r="J65" s="667" t="str">
        <f t="shared" si="3"/>
        <v/>
      </c>
      <c r="K65" s="668" t="str">
        <f t="shared" si="4"/>
        <v/>
      </c>
      <c r="L65" s="204"/>
      <c r="M65" s="551"/>
      <c r="N65" s="551"/>
      <c r="O65" s="287"/>
      <c r="P65" s="288"/>
      <c r="Q65" s="289"/>
      <c r="R65" s="289"/>
      <c r="S65" s="289"/>
      <c r="T65" s="289"/>
      <c r="U65" s="289"/>
      <c r="V65" s="289"/>
      <c r="W65" s="290"/>
    </row>
    <row r="66" spans="4:23">
      <c r="D66" s="201"/>
      <c r="E66" s="249"/>
      <c r="F66" s="249"/>
      <c r="G66" s="250"/>
      <c r="H66" s="251"/>
      <c r="I66" s="249"/>
      <c r="J66" s="667" t="str">
        <f t="shared" si="3"/>
        <v/>
      </c>
      <c r="K66" s="668" t="str">
        <f t="shared" si="4"/>
        <v/>
      </c>
      <c r="L66" s="204"/>
      <c r="M66" s="551"/>
      <c r="N66" s="551"/>
      <c r="O66" s="287"/>
      <c r="P66" s="288"/>
      <c r="Q66" s="289"/>
      <c r="R66" s="289"/>
      <c r="S66" s="289"/>
      <c r="T66" s="289"/>
      <c r="U66" s="289"/>
      <c r="V66" s="289"/>
      <c r="W66" s="290"/>
    </row>
    <row r="67" spans="4:23">
      <c r="D67" s="201"/>
      <c r="E67" s="249"/>
      <c r="F67" s="249"/>
      <c r="G67" s="250"/>
      <c r="H67" s="251"/>
      <c r="I67" s="249"/>
      <c r="J67" s="667" t="str">
        <f t="shared" si="3"/>
        <v/>
      </c>
      <c r="K67" s="668" t="str">
        <f t="shared" si="4"/>
        <v/>
      </c>
      <c r="L67" s="204"/>
      <c r="M67" s="551"/>
      <c r="N67" s="551"/>
      <c r="O67" s="287"/>
      <c r="P67" s="288"/>
      <c r="Q67" s="289"/>
      <c r="R67" s="289"/>
      <c r="S67" s="289"/>
      <c r="T67" s="289"/>
      <c r="U67" s="289"/>
      <c r="V67" s="289"/>
      <c r="W67" s="290"/>
    </row>
    <row r="68" spans="4:23">
      <c r="D68" s="201"/>
      <c r="E68" s="249"/>
      <c r="F68" s="249"/>
      <c r="G68" s="250"/>
      <c r="H68" s="251"/>
      <c r="I68" s="249"/>
      <c r="J68" s="667" t="str">
        <f t="shared" si="3"/>
        <v/>
      </c>
      <c r="K68" s="668" t="str">
        <f t="shared" si="4"/>
        <v/>
      </c>
      <c r="L68" s="204"/>
      <c r="M68" s="551"/>
      <c r="N68" s="551"/>
      <c r="O68" s="287"/>
      <c r="P68" s="288"/>
      <c r="Q68" s="289"/>
      <c r="R68" s="289"/>
      <c r="S68" s="289"/>
      <c r="T68" s="289"/>
      <c r="U68" s="289"/>
      <c r="V68" s="289"/>
      <c r="W68" s="290"/>
    </row>
    <row r="69" spans="4:23">
      <c r="D69" s="201"/>
      <c r="E69" s="249"/>
      <c r="F69" s="249"/>
      <c r="G69" s="250"/>
      <c r="H69" s="251"/>
      <c r="I69" s="249"/>
      <c r="J69" s="667" t="str">
        <f t="shared" si="3"/>
        <v/>
      </c>
      <c r="K69" s="668" t="str">
        <f t="shared" si="4"/>
        <v/>
      </c>
      <c r="L69" s="204"/>
      <c r="M69" s="551"/>
      <c r="N69" s="551"/>
      <c r="O69" s="287"/>
      <c r="P69" s="288"/>
      <c r="Q69" s="289"/>
      <c r="R69" s="289"/>
      <c r="S69" s="289"/>
      <c r="T69" s="289"/>
      <c r="U69" s="289"/>
      <c r="V69" s="289"/>
      <c r="W69" s="290"/>
    </row>
    <row r="70" spans="4:23">
      <c r="D70" s="201"/>
      <c r="E70" s="249"/>
      <c r="F70" s="249"/>
      <c r="G70" s="250"/>
      <c r="H70" s="251"/>
      <c r="I70" s="249"/>
      <c r="J70" s="667" t="str">
        <f t="shared" si="3"/>
        <v/>
      </c>
      <c r="K70" s="668" t="str">
        <f t="shared" si="4"/>
        <v/>
      </c>
      <c r="L70" s="204"/>
      <c r="M70" s="551"/>
      <c r="N70" s="551"/>
      <c r="O70" s="287"/>
      <c r="P70" s="288"/>
      <c r="Q70" s="289"/>
      <c r="R70" s="289"/>
      <c r="S70" s="289"/>
      <c r="T70" s="289"/>
      <c r="U70" s="289"/>
      <c r="V70" s="289"/>
      <c r="W70" s="290"/>
    </row>
    <row r="71" spans="4:23">
      <c r="D71" s="201"/>
      <c r="E71" s="249"/>
      <c r="F71" s="249"/>
      <c r="G71" s="250"/>
      <c r="H71" s="251"/>
      <c r="I71" s="249"/>
      <c r="J71" s="667" t="str">
        <f t="shared" si="3"/>
        <v/>
      </c>
      <c r="K71" s="668" t="str">
        <f t="shared" si="4"/>
        <v/>
      </c>
      <c r="L71" s="204"/>
      <c r="M71" s="551"/>
      <c r="N71" s="551"/>
      <c r="O71" s="287"/>
      <c r="P71" s="288"/>
      <c r="Q71" s="289"/>
      <c r="R71" s="289"/>
      <c r="S71" s="289"/>
      <c r="T71" s="289"/>
      <c r="U71" s="289"/>
      <c r="V71" s="289"/>
      <c r="W71" s="290"/>
    </row>
    <row r="72" spans="4:23">
      <c r="D72" s="201"/>
      <c r="E72" s="249"/>
      <c r="F72" s="249"/>
      <c r="G72" s="250"/>
      <c r="H72" s="251"/>
      <c r="I72" s="249"/>
      <c r="J72" s="667" t="str">
        <f t="shared" si="3"/>
        <v/>
      </c>
      <c r="K72" s="668" t="str">
        <f t="shared" si="4"/>
        <v/>
      </c>
      <c r="L72" s="204"/>
      <c r="M72" s="551"/>
      <c r="N72" s="551"/>
      <c r="O72" s="287"/>
      <c r="P72" s="288"/>
      <c r="Q72" s="289"/>
      <c r="R72" s="289"/>
      <c r="S72" s="289"/>
      <c r="T72" s="289"/>
      <c r="U72" s="289"/>
      <c r="V72" s="289"/>
      <c r="W72" s="290"/>
    </row>
    <row r="73" spans="4:23">
      <c r="D73" s="201"/>
      <c r="E73" s="249"/>
      <c r="F73" s="249"/>
      <c r="G73" s="250"/>
      <c r="H73" s="251"/>
      <c r="I73" s="249"/>
      <c r="J73" s="667" t="str">
        <f t="shared" si="3"/>
        <v/>
      </c>
      <c r="K73" s="668" t="str">
        <f t="shared" si="4"/>
        <v/>
      </c>
      <c r="L73" s="204"/>
      <c r="M73" s="551"/>
      <c r="N73" s="551"/>
      <c r="O73" s="287"/>
      <c r="P73" s="288"/>
      <c r="Q73" s="289"/>
      <c r="R73" s="289"/>
      <c r="S73" s="289"/>
      <c r="T73" s="289"/>
      <c r="U73" s="289"/>
      <c r="V73" s="289"/>
      <c r="W73" s="290"/>
    </row>
    <row r="74" spans="4:23">
      <c r="N74"/>
      <c r="O74"/>
      <c r="P74"/>
      <c r="Q74"/>
      <c r="R74"/>
      <c r="S74"/>
      <c r="T74"/>
      <c r="U74"/>
      <c r="V74"/>
    </row>
  </sheetData>
  <sheetProtection selectLockedCells="1"/>
  <phoneticPr fontId="3" type="noConversion"/>
  <conditionalFormatting sqref="M36:M37 Q10:Q33 E31">
    <cfRule type="duplicateValues" dxfId="17" priority="9"/>
  </conditionalFormatting>
  <conditionalFormatting sqref="G34">
    <cfRule type="cellIs" dxfId="16" priority="3" operator="equal">
      <formula>"자본비용역전"</formula>
    </cfRule>
  </conditionalFormatting>
  <conditionalFormatting sqref="G37">
    <cfRule type="cellIs" dxfId="15" priority="2" operator="equal">
      <formula>"주식수변동"</formula>
    </cfRule>
  </conditionalFormatting>
  <conditionalFormatting sqref="G40">
    <cfRule type="cellIs" dxfId="14" priority="1" operator="equal">
      <formula>"자본잠식"</formula>
    </cfRule>
  </conditionalFormatting>
  <pageMargins left="0.7" right="0.7" top="0.75" bottom="0.75" header="0.3" footer="0.3"/>
  <pageSetup paperSize="9" orientation="portrait" r:id="rId1"/>
  <ignoredErrors>
    <ignoredError sqref="I2:I4 M6:S6" unlockedFormula="1"/>
    <ignoredError sqref="G43 J38" evalError="1"/>
    <ignoredError sqref="I5:I25 I28:I33 I35:I36 I38:I39" evalError="1" unlocked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C00000"/>
  </sheetPr>
  <dimension ref="A1:T65"/>
  <sheetViews>
    <sheetView showGridLines="0" zoomScale="85" zoomScaleNormal="85" workbookViewId="0">
      <pane ySplit="1" topLeftCell="A2" activePane="bottomLeft" state="frozen"/>
      <selection activeCell="D26" sqref="D26"/>
      <selection pane="bottomLeft" activeCell="F15" sqref="F15"/>
    </sheetView>
  </sheetViews>
  <sheetFormatPr defaultColWidth="9" defaultRowHeight="16.5"/>
  <cols>
    <col min="1" max="2" width="9" style="2" hidden="1" customWidth="1"/>
    <col min="3" max="3" width="7.875" style="2" bestFit="1" customWidth="1"/>
    <col min="4" max="4" width="31.125" style="2" customWidth="1"/>
    <col min="5" max="20" width="9.625" style="2" customWidth="1"/>
    <col min="21" max="16384" width="9" style="2"/>
  </cols>
  <sheetData>
    <row r="1" spans="1:20">
      <c r="A1" s="367">
        <f>ROW(C17)-ROW(C1)</f>
        <v>16</v>
      </c>
      <c r="B1" s="1"/>
      <c r="C1" s="1" t="s">
        <v>16616</v>
      </c>
      <c r="D1" s="1" t="s">
        <v>16617</v>
      </c>
      <c r="E1" s="1" t="s">
        <v>16650</v>
      </c>
      <c r="F1" s="1" t="s">
        <v>16651</v>
      </c>
      <c r="G1" s="1" t="s">
        <v>16652</v>
      </c>
      <c r="H1" s="1" t="s">
        <v>16611</v>
      </c>
      <c r="I1" s="1" t="s">
        <v>16653</v>
      </c>
      <c r="J1" s="1" t="s">
        <v>16654</v>
      </c>
      <c r="K1" s="1" t="s">
        <v>16655</v>
      </c>
      <c r="L1" s="1" t="s">
        <v>16656</v>
      </c>
      <c r="M1" s="1" t="s">
        <v>16657</v>
      </c>
      <c r="N1" s="1" t="s">
        <v>16658</v>
      </c>
      <c r="O1" s="1" t="s">
        <v>16659</v>
      </c>
    </row>
    <row r="2" spans="1:20">
      <c r="A2" s="1" t="s">
        <v>14</v>
      </c>
      <c r="B2" s="1" t="s">
        <v>3</v>
      </c>
      <c r="C2" s="1" t="s">
        <v>16618</v>
      </c>
      <c r="D2" s="2" t="s">
        <v>16619</v>
      </c>
      <c r="F2" s="27">
        <f t="shared" ref="F2:F7" si="0">F22</f>
        <v>13.905079100749376</v>
      </c>
      <c r="G2" s="27">
        <f t="shared" ref="G2:H2" si="1">G22</f>
        <v>17.936951316839586</v>
      </c>
      <c r="H2" s="27">
        <f t="shared" si="1"/>
        <v>18.258599508599506</v>
      </c>
      <c r="I2" s="27">
        <f>H2</f>
        <v>18.258599508599506</v>
      </c>
      <c r="J2" s="27">
        <f>$J$22</f>
        <v>17.425796710037844</v>
      </c>
      <c r="K2" s="27">
        <f t="shared" ref="K2:M2" si="2">$J$22</f>
        <v>17.425796710037844</v>
      </c>
      <c r="L2" s="27">
        <f t="shared" si="2"/>
        <v>17.425796710037844</v>
      </c>
      <c r="M2" s="27">
        <f t="shared" si="2"/>
        <v>17.425796710037844</v>
      </c>
      <c r="N2" s="27">
        <f>$J$22</f>
        <v>17.425796710037844</v>
      </c>
      <c r="O2" s="27">
        <f>$J$22</f>
        <v>17.425796710037844</v>
      </c>
    </row>
    <row r="3" spans="1:20">
      <c r="A3" s="1" t="s">
        <v>14</v>
      </c>
      <c r="B3" s="1" t="s">
        <v>3</v>
      </c>
      <c r="C3" s="1" t="s">
        <v>16620</v>
      </c>
      <c r="D3" s="2" t="s">
        <v>16621</v>
      </c>
      <c r="F3" s="27">
        <f t="shared" si="0"/>
        <v>26.746506986027946</v>
      </c>
      <c r="G3" s="27">
        <f t="shared" ref="G3" si="3">G23</f>
        <v>17.908787541713014</v>
      </c>
      <c r="H3" s="27">
        <f>H23</f>
        <v>19.1757779646762</v>
      </c>
      <c r="I3" s="27">
        <f t="shared" ref="I3:I7" si="4">H3</f>
        <v>19.1757779646762</v>
      </c>
      <c r="J3" s="27">
        <f>$J$23</f>
        <v>20.015235993913763</v>
      </c>
      <c r="K3" s="27">
        <f>$J$23</f>
        <v>20.015235993913763</v>
      </c>
      <c r="L3" s="27">
        <f t="shared" ref="L3" si="5">$J$23</f>
        <v>20.015235993913763</v>
      </c>
      <c r="M3" s="27">
        <f>$J$23</f>
        <v>20.015235993913763</v>
      </c>
      <c r="N3" s="27">
        <f>$J$23</f>
        <v>20.015235993913763</v>
      </c>
      <c r="O3" s="27">
        <f>$J$23</f>
        <v>20.015235993913763</v>
      </c>
    </row>
    <row r="4" spans="1:20">
      <c r="A4" s="1" t="s">
        <v>14</v>
      </c>
      <c r="B4" s="1" t="s">
        <v>3</v>
      </c>
      <c r="C4" s="1" t="s">
        <v>16622</v>
      </c>
      <c r="D4" s="2" t="s">
        <v>16623</v>
      </c>
      <c r="F4" s="27">
        <f t="shared" si="0"/>
        <v>283.03393213572855</v>
      </c>
      <c r="G4" s="27">
        <f t="shared" ref="G4:H4" si="6">G24</f>
        <v>166.85205784204672</v>
      </c>
      <c r="H4" s="27">
        <f t="shared" si="6"/>
        <v>73.423044575273337</v>
      </c>
      <c r="I4" s="27">
        <f t="shared" si="4"/>
        <v>73.423044575273337</v>
      </c>
      <c r="J4" s="27">
        <f>$J$24</f>
        <v>139.50119692427367</v>
      </c>
      <c r="K4" s="27">
        <f t="shared" ref="K4:O4" si="7">$J$24</f>
        <v>139.50119692427367</v>
      </c>
      <c r="L4" s="27">
        <f t="shared" si="7"/>
        <v>139.50119692427367</v>
      </c>
      <c r="M4" s="27">
        <f t="shared" si="7"/>
        <v>139.50119692427367</v>
      </c>
      <c r="N4" s="27">
        <f t="shared" si="7"/>
        <v>139.50119692427367</v>
      </c>
      <c r="O4" s="27">
        <f t="shared" si="7"/>
        <v>139.50119692427367</v>
      </c>
    </row>
    <row r="5" spans="1:20">
      <c r="A5" s="1" t="s">
        <v>14</v>
      </c>
      <c r="B5" s="1" t="s">
        <v>3</v>
      </c>
      <c r="C5" s="1" t="s">
        <v>16624</v>
      </c>
      <c r="D5" s="2" t="s">
        <v>16625</v>
      </c>
      <c r="F5" s="27">
        <f t="shared" si="0"/>
        <v>0</v>
      </c>
      <c r="G5" s="27">
        <f t="shared" ref="G5:H5" si="8">G25</f>
        <v>10.704727921498662</v>
      </c>
      <c r="H5" s="27">
        <f t="shared" si="8"/>
        <v>15.057636887608069</v>
      </c>
      <c r="I5" s="27">
        <f t="shared" si="4"/>
        <v>15.057636887608069</v>
      </c>
      <c r="J5" s="27">
        <f>$J$25</f>
        <v>11.09706108430359</v>
      </c>
      <c r="K5" s="27">
        <f t="shared" ref="K5:O5" si="9">$J$25</f>
        <v>11.09706108430359</v>
      </c>
      <c r="L5" s="27">
        <f t="shared" si="9"/>
        <v>11.09706108430359</v>
      </c>
      <c r="M5" s="27">
        <f t="shared" si="9"/>
        <v>11.09706108430359</v>
      </c>
      <c r="N5" s="27">
        <f t="shared" si="9"/>
        <v>11.09706108430359</v>
      </c>
      <c r="O5" s="27">
        <f t="shared" si="9"/>
        <v>11.09706108430359</v>
      </c>
    </row>
    <row r="6" spans="1:20">
      <c r="A6" s="1" t="s">
        <v>14</v>
      </c>
      <c r="B6" s="1" t="s">
        <v>3</v>
      </c>
      <c r="C6" s="1" t="s">
        <v>16626</v>
      </c>
      <c r="D6" s="2" t="s">
        <v>16627</v>
      </c>
      <c r="F6" s="27">
        <f t="shared" si="0"/>
        <v>0</v>
      </c>
      <c r="G6" s="27">
        <f t="shared" ref="G6:H6" si="10">G26</f>
        <v>0</v>
      </c>
      <c r="H6" s="27">
        <f t="shared" si="10"/>
        <v>13.397129186602871</v>
      </c>
      <c r="I6" s="27">
        <f t="shared" si="4"/>
        <v>13.397129186602871</v>
      </c>
      <c r="J6" s="27">
        <f>$J$26</f>
        <v>6.6985645933014366</v>
      </c>
      <c r="K6" s="27">
        <f t="shared" ref="K6:O6" si="11">$J$26</f>
        <v>6.6985645933014366</v>
      </c>
      <c r="L6" s="27">
        <f t="shared" si="11"/>
        <v>6.6985645933014366</v>
      </c>
      <c r="M6" s="27">
        <f t="shared" si="11"/>
        <v>6.6985645933014366</v>
      </c>
      <c r="N6" s="27">
        <f t="shared" si="11"/>
        <v>6.6985645933014366</v>
      </c>
      <c r="O6" s="27">
        <f t="shared" si="11"/>
        <v>6.6985645933014366</v>
      </c>
    </row>
    <row r="7" spans="1:20">
      <c r="A7" s="1" t="s">
        <v>14</v>
      </c>
      <c r="B7" s="1" t="s">
        <v>3</v>
      </c>
      <c r="C7" s="1" t="s">
        <v>16628</v>
      </c>
      <c r="D7" s="2" t="s">
        <v>16629</v>
      </c>
      <c r="F7" s="27">
        <f t="shared" si="0"/>
        <v>0</v>
      </c>
      <c r="G7" s="27">
        <f t="shared" ref="G7:H7" si="12">G27</f>
        <v>322.5</v>
      </c>
      <c r="H7" s="27">
        <f t="shared" si="12"/>
        <v>308.61244019138752</v>
      </c>
      <c r="I7" s="27">
        <f t="shared" si="4"/>
        <v>308.61244019138752</v>
      </c>
      <c r="J7" s="27">
        <f>$J$27</f>
        <v>261.80622009569373</v>
      </c>
      <c r="K7" s="27">
        <f t="shared" ref="K7:O7" si="13">$J$27</f>
        <v>261.80622009569373</v>
      </c>
      <c r="L7" s="27">
        <f t="shared" si="13"/>
        <v>261.80622009569373</v>
      </c>
      <c r="M7" s="27">
        <f t="shared" si="13"/>
        <v>261.80622009569373</v>
      </c>
      <c r="N7" s="27">
        <f t="shared" si="13"/>
        <v>261.80622009569373</v>
      </c>
      <c r="O7" s="27">
        <f t="shared" si="13"/>
        <v>261.80622009569373</v>
      </c>
    </row>
    <row r="8" spans="1:20">
      <c r="A8" s="1" t="s">
        <v>4</v>
      </c>
      <c r="B8" s="1" t="s">
        <v>2</v>
      </c>
      <c r="C8" s="1" t="s">
        <v>16630</v>
      </c>
      <c r="D8" s="9" t="s">
        <v>16631</v>
      </c>
      <c r="E8" s="29">
        <v>152</v>
      </c>
      <c r="F8" s="29">
        <v>501</v>
      </c>
      <c r="G8" s="29">
        <v>899</v>
      </c>
      <c r="H8" s="29">
        <v>1189</v>
      </c>
      <c r="I8" s="54">
        <v>1189</v>
      </c>
      <c r="J8" s="30">
        <f>INT(MIN(I12*J2/100, I10))</f>
        <v>1278</v>
      </c>
      <c r="K8" s="30">
        <f t="shared" ref="K8:O8" si="14">INT(MIN(J12*K2/100, J10))</f>
        <v>1589</v>
      </c>
      <c r="L8" s="30">
        <f t="shared" si="14"/>
        <v>1975</v>
      </c>
      <c r="M8" s="30">
        <f t="shared" si="14"/>
        <v>2455</v>
      </c>
      <c r="N8" s="30">
        <f t="shared" si="14"/>
        <v>3052</v>
      </c>
      <c r="O8" s="30">
        <f t="shared" si="14"/>
        <v>3793</v>
      </c>
    </row>
    <row r="9" spans="1:20">
      <c r="A9" s="1" t="s">
        <v>4</v>
      </c>
      <c r="B9" s="1" t="s">
        <v>2</v>
      </c>
      <c r="C9" s="1" t="s">
        <v>16632</v>
      </c>
      <c r="D9" s="9" t="s">
        <v>16633</v>
      </c>
      <c r="E9" s="29">
        <v>94</v>
      </c>
      <c r="F9" s="29">
        <v>134</v>
      </c>
      <c r="G9" s="29">
        <v>161</v>
      </c>
      <c r="H9" s="29">
        <v>228</v>
      </c>
      <c r="I9" s="54">
        <v>228</v>
      </c>
      <c r="J9" s="30">
        <f>INT(J8*J3/100)</f>
        <v>255</v>
      </c>
      <c r="K9" s="30">
        <f t="shared" ref="K9:N9" si="15">INT(K8*K3/100)</f>
        <v>318</v>
      </c>
      <c r="L9" s="30">
        <f t="shared" si="15"/>
        <v>395</v>
      </c>
      <c r="M9" s="30">
        <f t="shared" si="15"/>
        <v>491</v>
      </c>
      <c r="N9" s="30">
        <f t="shared" si="15"/>
        <v>610</v>
      </c>
      <c r="O9" s="30">
        <f t="shared" ref="O9" si="16">INT(O8*O3/100)</f>
        <v>759</v>
      </c>
      <c r="Q9" s="316"/>
      <c r="R9" s="317" t="str">
        <f>LEFT(F1,4)&amp;"년"</f>
        <v>2021년</v>
      </c>
      <c r="S9" s="317" t="str">
        <f>LEFT(G1,4)&amp;"년"</f>
        <v>2022년</v>
      </c>
      <c r="T9" s="318" t="str">
        <f>LEFT(H1,4)&amp;"년"</f>
        <v>2023년</v>
      </c>
    </row>
    <row r="10" spans="1:20">
      <c r="A10" s="1" t="s">
        <v>4</v>
      </c>
      <c r="B10" s="1" t="s">
        <v>2</v>
      </c>
      <c r="C10" s="1" t="s">
        <v>16634</v>
      </c>
      <c r="D10" s="8" t="s">
        <v>16635</v>
      </c>
      <c r="E10" s="49">
        <v>3209</v>
      </c>
      <c r="F10" s="49">
        <v>4126</v>
      </c>
      <c r="G10" s="49">
        <v>4727</v>
      </c>
      <c r="H10" s="49">
        <v>4411</v>
      </c>
      <c r="I10" s="30">
        <f>INT(H10-(1-J4/100)*(I8-H8))</f>
        <v>4411</v>
      </c>
      <c r="J10" s="30">
        <f>INT(I10-(1-J4/100)*J8)</f>
        <v>4915</v>
      </c>
      <c r="K10" s="30">
        <f t="shared" ref="K10:O10" si="17">INT(J10-(1-K4/100)*K8)</f>
        <v>5542</v>
      </c>
      <c r="L10" s="30">
        <f t="shared" si="17"/>
        <v>6322</v>
      </c>
      <c r="M10" s="30">
        <f t="shared" si="17"/>
        <v>7291</v>
      </c>
      <c r="N10" s="30">
        <f t="shared" si="17"/>
        <v>8496</v>
      </c>
      <c r="O10" s="30">
        <f t="shared" si="17"/>
        <v>9994</v>
      </c>
      <c r="Q10" s="319" t="s">
        <v>187</v>
      </c>
      <c r="R10" s="320"/>
      <c r="S10" s="320"/>
      <c r="T10" s="321"/>
    </row>
    <row r="11" spans="1:20">
      <c r="A11" s="1" t="s">
        <v>14</v>
      </c>
      <c r="B11" s="1" t="s">
        <v>2</v>
      </c>
      <c r="C11" s="1" t="s">
        <v>16636</v>
      </c>
      <c r="D11" s="2" t="s">
        <v>16637</v>
      </c>
      <c r="E11" s="31">
        <v>394</v>
      </c>
      <c r="F11" s="31">
        <v>886</v>
      </c>
      <c r="G11" s="31">
        <v>1785</v>
      </c>
      <c r="H11" s="31">
        <v>2927</v>
      </c>
      <c r="I11" s="64">
        <f>H11+(I8-H8)</f>
        <v>2927</v>
      </c>
      <c r="J11" s="32">
        <f>INT(I11+J8)</f>
        <v>4205</v>
      </c>
      <c r="K11" s="32">
        <f t="shared" ref="K11:O11" si="18">INT(J11+K8)</f>
        <v>5794</v>
      </c>
      <c r="L11" s="32">
        <f t="shared" si="18"/>
        <v>7769</v>
      </c>
      <c r="M11" s="32">
        <f t="shared" si="18"/>
        <v>10224</v>
      </c>
      <c r="N11" s="32">
        <f t="shared" si="18"/>
        <v>13276</v>
      </c>
      <c r="O11" s="32">
        <f t="shared" si="18"/>
        <v>17069</v>
      </c>
      <c r="Q11" s="319" t="s">
        <v>183</v>
      </c>
      <c r="R11" s="320"/>
      <c r="S11" s="320"/>
      <c r="T11" s="321"/>
    </row>
    <row r="12" spans="1:20">
      <c r="A12" s="1" t="s">
        <v>14</v>
      </c>
      <c r="B12" s="1" t="s">
        <v>2</v>
      </c>
      <c r="C12" s="1" t="s">
        <v>16638</v>
      </c>
      <c r="D12" s="2" t="s">
        <v>16639</v>
      </c>
      <c r="E12" s="32">
        <f>E10+E11</f>
        <v>3603</v>
      </c>
      <c r="F12" s="32">
        <f t="shared" ref="F12:H12" si="19">F10+F11</f>
        <v>5012</v>
      </c>
      <c r="G12" s="32">
        <f t="shared" si="19"/>
        <v>6512</v>
      </c>
      <c r="H12" s="32">
        <f t="shared" si="19"/>
        <v>7338</v>
      </c>
      <c r="I12" s="32">
        <f>I10+I11</f>
        <v>7338</v>
      </c>
      <c r="J12" s="32">
        <f>INT(J10+J11)</f>
        <v>9120</v>
      </c>
      <c r="K12" s="32">
        <f t="shared" ref="K12:N12" si="20">INT(K10+K11)</f>
        <v>11336</v>
      </c>
      <c r="L12" s="32">
        <f t="shared" si="20"/>
        <v>14091</v>
      </c>
      <c r="M12" s="32">
        <f t="shared" si="20"/>
        <v>17515</v>
      </c>
      <c r="N12" s="32">
        <f t="shared" si="20"/>
        <v>21772</v>
      </c>
      <c r="O12" s="32">
        <f t="shared" ref="O12" si="21">INT(O10+O11)</f>
        <v>27063</v>
      </c>
      <c r="Q12" s="322" t="s">
        <v>184</v>
      </c>
      <c r="R12" s="323"/>
      <c r="S12" s="323"/>
      <c r="T12" s="324"/>
    </row>
    <row r="13" spans="1:20">
      <c r="A13" s="1" t="s">
        <v>14</v>
      </c>
      <c r="B13" s="1" t="s">
        <v>2</v>
      </c>
      <c r="C13" s="1" t="s">
        <v>16640</v>
      </c>
      <c r="D13" s="2" t="s">
        <v>16641</v>
      </c>
      <c r="E13" s="31"/>
      <c r="F13" s="32">
        <f>F10-E10+F8</f>
        <v>1418</v>
      </c>
      <c r="G13" s="32">
        <f t="shared" ref="G13:H13" si="22">G10-F10+G8</f>
        <v>1500</v>
      </c>
      <c r="H13" s="32">
        <f t="shared" si="22"/>
        <v>873</v>
      </c>
      <c r="I13" s="32">
        <f>I10-G10+I8</f>
        <v>873</v>
      </c>
      <c r="J13" s="32">
        <f>INT(J10-I10+J8)</f>
        <v>1782</v>
      </c>
      <c r="K13" s="32">
        <f t="shared" ref="K13:O13" si="23">INT(K10-J10+K8)</f>
        <v>2216</v>
      </c>
      <c r="L13" s="32">
        <f t="shared" si="23"/>
        <v>2755</v>
      </c>
      <c r="M13" s="32">
        <f t="shared" si="23"/>
        <v>3424</v>
      </c>
      <c r="N13" s="32">
        <f t="shared" si="23"/>
        <v>4257</v>
      </c>
      <c r="O13" s="32">
        <f t="shared" si="23"/>
        <v>5291</v>
      </c>
    </row>
    <row r="14" spans="1:20">
      <c r="A14" s="1" t="s">
        <v>4</v>
      </c>
      <c r="B14" s="1" t="s">
        <v>2</v>
      </c>
      <c r="C14" s="1" t="s">
        <v>16642</v>
      </c>
      <c r="D14" s="8" t="s">
        <v>16643</v>
      </c>
      <c r="E14" s="29"/>
      <c r="F14" s="29"/>
      <c r="G14" s="29">
        <v>120</v>
      </c>
      <c r="H14" s="29">
        <v>209</v>
      </c>
      <c r="I14" s="54">
        <v>209</v>
      </c>
      <c r="J14" s="30">
        <f>INT(MIN(I16*J5/100,I16))</f>
        <v>202</v>
      </c>
      <c r="K14" s="30">
        <f t="shared" ref="K14:O14" si="24">INT(MIN(J16*K5/100,J16))</f>
        <v>238</v>
      </c>
      <c r="L14" s="30">
        <f t="shared" si="24"/>
        <v>281</v>
      </c>
      <c r="M14" s="30">
        <f t="shared" si="24"/>
        <v>331</v>
      </c>
      <c r="N14" s="30">
        <f t="shared" si="24"/>
        <v>391</v>
      </c>
      <c r="O14" s="30">
        <f t="shared" si="24"/>
        <v>461</v>
      </c>
    </row>
    <row r="15" spans="1:20">
      <c r="A15" s="1" t="s">
        <v>4</v>
      </c>
      <c r="B15" s="1" t="s">
        <v>2</v>
      </c>
      <c r="C15" s="1" t="s">
        <v>16644</v>
      </c>
      <c r="D15" s="8" t="s">
        <v>16645</v>
      </c>
      <c r="E15" s="29"/>
      <c r="F15" s="29"/>
      <c r="G15" s="29"/>
      <c r="H15" s="29">
        <v>28</v>
      </c>
      <c r="I15" s="54">
        <v>28</v>
      </c>
      <c r="J15" s="30">
        <f>INT(J14*J6/100)</f>
        <v>13</v>
      </c>
      <c r="K15" s="30">
        <f t="shared" ref="K15:N15" si="25">INT(K14*K6/100)</f>
        <v>15</v>
      </c>
      <c r="L15" s="30">
        <f t="shared" si="25"/>
        <v>18</v>
      </c>
      <c r="M15" s="30">
        <f t="shared" si="25"/>
        <v>22</v>
      </c>
      <c r="N15" s="30">
        <f t="shared" si="25"/>
        <v>26</v>
      </c>
      <c r="O15" s="30">
        <f t="shared" ref="O15" si="26">INT(O14*O6/100)</f>
        <v>30</v>
      </c>
    </row>
    <row r="16" spans="1:20">
      <c r="A16" s="1" t="s">
        <v>4</v>
      </c>
      <c r="B16" s="1" t="s">
        <v>2</v>
      </c>
      <c r="C16" s="1" t="s">
        <v>16646</v>
      </c>
      <c r="D16" s="8" t="s">
        <v>16647</v>
      </c>
      <c r="E16" s="29"/>
      <c r="F16" s="29">
        <v>1121</v>
      </c>
      <c r="G16" s="29">
        <v>1388</v>
      </c>
      <c r="H16" s="29">
        <v>1824</v>
      </c>
      <c r="I16" s="30">
        <f>INT(H16-(1-J7/100)*(I14-H14))</f>
        <v>1824</v>
      </c>
      <c r="J16" s="30">
        <f>INT(I16-J14*(1-J7/100))</f>
        <v>2150</v>
      </c>
      <c r="K16" s="30">
        <f t="shared" ref="K16:O16" si="27">INT(J16-K14*(1-K7/100))</f>
        <v>2535</v>
      </c>
      <c r="L16" s="30">
        <f t="shared" si="27"/>
        <v>2989</v>
      </c>
      <c r="M16" s="30">
        <f t="shared" si="27"/>
        <v>3524</v>
      </c>
      <c r="N16" s="30">
        <f t="shared" si="27"/>
        <v>4156</v>
      </c>
      <c r="O16" s="30">
        <f t="shared" si="27"/>
        <v>4901</v>
      </c>
    </row>
    <row r="17" spans="1:18">
      <c r="A17" s="1" t="s">
        <v>14</v>
      </c>
      <c r="B17" s="1" t="s">
        <v>2</v>
      </c>
      <c r="C17" s="1" t="s">
        <v>16648</v>
      </c>
      <c r="D17" s="2" t="s">
        <v>16649</v>
      </c>
      <c r="E17" s="31"/>
      <c r="F17" s="32">
        <f>F16-E16+F14</f>
        <v>1121</v>
      </c>
      <c r="G17" s="32">
        <f t="shared" ref="G17:H17" si="28">G16-F16+G14</f>
        <v>387</v>
      </c>
      <c r="H17" s="32">
        <f t="shared" si="28"/>
        <v>645</v>
      </c>
      <c r="I17" s="32">
        <f>I16-G16+I14</f>
        <v>645</v>
      </c>
      <c r="J17" s="32">
        <f>J16-I16+J14</f>
        <v>528</v>
      </c>
      <c r="K17" s="32">
        <f t="shared" ref="K17:O17" si="29">K16-J16+K14</f>
        <v>623</v>
      </c>
      <c r="L17" s="32">
        <f t="shared" si="29"/>
        <v>735</v>
      </c>
      <c r="M17" s="32">
        <f t="shared" si="29"/>
        <v>866</v>
      </c>
      <c r="N17" s="32">
        <f t="shared" si="29"/>
        <v>1023</v>
      </c>
      <c r="O17" s="32">
        <f t="shared" si="29"/>
        <v>1206</v>
      </c>
    </row>
    <row r="18" spans="1:18">
      <c r="I18" s="252" t="s">
        <v>89</v>
      </c>
      <c r="J18" s="95">
        <f>100+RATE!F9</f>
        <v>101.56</v>
      </c>
      <c r="K18" s="14"/>
      <c r="L18" s="14"/>
      <c r="M18" s="14"/>
      <c r="N18" s="14"/>
    </row>
    <row r="19" spans="1:18">
      <c r="F19" s="31"/>
      <c r="I19" s="127" t="s">
        <v>90</v>
      </c>
      <c r="J19" s="95">
        <f ca="1">100+성장률추정!L8</f>
        <v>102.21720000000001</v>
      </c>
      <c r="L19" s="56" t="s">
        <v>0</v>
      </c>
    </row>
    <row r="20" spans="1:18">
      <c r="I20" s="127" t="s">
        <v>91</v>
      </c>
      <c r="J20" s="95">
        <f ca="1">100+성장률추정!L9</f>
        <v>102.21720000000001</v>
      </c>
      <c r="L20" s="57">
        <f ca="1">+민감도!B7</f>
        <v>15427948.43692149</v>
      </c>
    </row>
    <row r="21" spans="1:18" ht="17.25" thickBot="1">
      <c r="A21" s="367">
        <f>ROW(C27)-ROW(C21)</f>
        <v>6</v>
      </c>
      <c r="B21" s="1"/>
      <c r="C21" s="1" t="s">
        <v>16660</v>
      </c>
      <c r="D21" s="1" t="s">
        <v>16661</v>
      </c>
      <c r="E21" s="1" t="s">
        <v>16376</v>
      </c>
      <c r="F21" s="1" t="s">
        <v>16378</v>
      </c>
      <c r="G21" s="1" t="s">
        <v>16380</v>
      </c>
      <c r="H21" s="1" t="s">
        <v>16382</v>
      </c>
      <c r="I21" s="1" t="s">
        <v>16674</v>
      </c>
      <c r="J21" s="355" t="s">
        <v>206</v>
      </c>
      <c r="L21" s="116" t="s">
        <v>25</v>
      </c>
      <c r="M21" s="14"/>
      <c r="N21" s="126" t="s">
        <v>26</v>
      </c>
      <c r="O21" s="126" t="s">
        <v>27</v>
      </c>
      <c r="P21" s="126" t="s">
        <v>205</v>
      </c>
      <c r="Q21" s="126" t="s">
        <v>28</v>
      </c>
      <c r="R21" s="354" t="s">
        <v>207</v>
      </c>
    </row>
    <row r="22" spans="1:18">
      <c r="A22" s="1" t="s">
        <v>14</v>
      </c>
      <c r="B22" s="1" t="s">
        <v>3</v>
      </c>
      <c r="C22" s="1" t="s">
        <v>16662</v>
      </c>
      <c r="D22" s="2" t="s">
        <v>16663</v>
      </c>
      <c r="F22" s="28">
        <f>IF(E12=0,0,F8/E12*100)</f>
        <v>13.905079100749376</v>
      </c>
      <c r="G22" s="28">
        <f t="shared" ref="G22" si="30">IF(F12=0,0,G8/F12*100)</f>
        <v>17.936951316839586</v>
      </c>
      <c r="H22" s="28">
        <f>IF(G12=0,0,I8/G12*100)</f>
        <v>18.258599508599506</v>
      </c>
      <c r="I22" s="28">
        <f>(F22+G22*2+H22*3)/6</f>
        <v>17.425796710037844</v>
      </c>
      <c r="J22" s="356">
        <f>HLOOKUP($J$21,$N$21:$R$27,$M22,0)</f>
        <v>17.425796710037844</v>
      </c>
      <c r="L22" s="159"/>
      <c r="M22" s="359">
        <v>2</v>
      </c>
      <c r="N22" s="117">
        <f>AVERAGE(F22:H22)</f>
        <v>16.700209975396156</v>
      </c>
      <c r="O22" s="117">
        <f>AVERAGE(G22:H22)</f>
        <v>18.097775412719546</v>
      </c>
      <c r="P22" s="117">
        <f>AVERAGE(F22:G22)</f>
        <v>15.921015208794481</v>
      </c>
      <c r="Q22" s="117">
        <f>(2*H22+G22)/3</f>
        <v>18.151383444679535</v>
      </c>
      <c r="R22" s="353">
        <f>(F22+G22*2+H22*3)/6</f>
        <v>17.425796710037844</v>
      </c>
    </row>
    <row r="23" spans="1:18">
      <c r="A23" s="1" t="s">
        <v>14</v>
      </c>
      <c r="B23" s="1" t="s">
        <v>3</v>
      </c>
      <c r="C23" s="1" t="s">
        <v>16664</v>
      </c>
      <c r="D23" s="2" t="s">
        <v>16665</v>
      </c>
      <c r="F23" s="28">
        <f>IF(F8=0,0,F9/F8*100)</f>
        <v>26.746506986027946</v>
      </c>
      <c r="G23" s="28">
        <f>IF(G8=0,0,G9/G8*100)</f>
        <v>17.908787541713014</v>
      </c>
      <c r="H23" s="28">
        <f>IF(H8=0,0,H9/H8*100)</f>
        <v>19.1757779646762</v>
      </c>
      <c r="I23" s="28">
        <f t="shared" ref="I23:I27" si="31">(F23+G23*2+H23*3)/6</f>
        <v>20.015235993913763</v>
      </c>
      <c r="J23" s="357">
        <f t="shared" ref="J23:J27" si="32">HLOOKUP($J$21,$N$21:$R$27,$M23,0)</f>
        <v>20.015235993913763</v>
      </c>
      <c r="L23" s="159"/>
      <c r="M23" s="359">
        <v>3</v>
      </c>
      <c r="N23" s="117">
        <f t="shared" ref="N23:N27" si="33">AVERAGE(F23:H23)</f>
        <v>21.277024164139053</v>
      </c>
      <c r="O23" s="117">
        <f t="shared" ref="O23:O27" si="34">AVERAGE(G23:H23)</f>
        <v>18.542282753194606</v>
      </c>
      <c r="P23" s="117">
        <f t="shared" ref="P23:P27" si="35">AVERAGE(F23:G23)</f>
        <v>22.327647263870482</v>
      </c>
      <c r="Q23" s="117">
        <f t="shared" ref="Q23:Q27" si="36">(2*H23+G23)/3</f>
        <v>18.753447823688472</v>
      </c>
      <c r="R23" s="353">
        <f t="shared" ref="R23:R27" si="37">(F23+G23*2+H23*3)/6</f>
        <v>20.015235993913763</v>
      </c>
    </row>
    <row r="24" spans="1:18">
      <c r="A24" s="1" t="s">
        <v>4</v>
      </c>
      <c r="B24" s="1" t="s">
        <v>3</v>
      </c>
      <c r="C24" s="1" t="s">
        <v>16666</v>
      </c>
      <c r="D24" s="8" t="s">
        <v>16667</v>
      </c>
      <c r="F24" s="28">
        <f>IF(F8=0,0,F13/F8*100)</f>
        <v>283.03393213572855</v>
      </c>
      <c r="G24" s="28">
        <f t="shared" ref="G24:H24" si="38">IF(G8=0,0,G13/G8*100)</f>
        <v>166.85205784204672</v>
      </c>
      <c r="H24" s="28">
        <f t="shared" si="38"/>
        <v>73.423044575273337</v>
      </c>
      <c r="I24" s="28">
        <f t="shared" si="31"/>
        <v>139.50119692427367</v>
      </c>
      <c r="J24" s="357">
        <f t="shared" si="32"/>
        <v>139.50119692427367</v>
      </c>
      <c r="K24" s="85">
        <f>IF(E10=0,0,(H10/E10)^(1/3)*100)</f>
        <v>111.18745258525691</v>
      </c>
      <c r="L24" s="159"/>
      <c r="M24" s="359">
        <v>4</v>
      </c>
      <c r="N24" s="117">
        <f t="shared" si="33"/>
        <v>174.4363448510162</v>
      </c>
      <c r="O24" s="117">
        <f t="shared" si="34"/>
        <v>120.13755120866003</v>
      </c>
      <c r="P24" s="117">
        <f t="shared" si="35"/>
        <v>224.94299498888762</v>
      </c>
      <c r="Q24" s="117">
        <f t="shared" si="36"/>
        <v>104.56604899753113</v>
      </c>
      <c r="R24" s="353">
        <f t="shared" si="37"/>
        <v>139.50119692427367</v>
      </c>
    </row>
    <row r="25" spans="1:18">
      <c r="A25" s="1" t="s">
        <v>14</v>
      </c>
      <c r="B25" s="1" t="s">
        <v>3</v>
      </c>
      <c r="C25" s="1" t="s">
        <v>16668</v>
      </c>
      <c r="D25" s="2" t="s">
        <v>16669</v>
      </c>
      <c r="F25" s="28">
        <f>IF(E16=0,0,F14/E16*100)</f>
        <v>0</v>
      </c>
      <c r="G25" s="28">
        <f t="shared" ref="G25" si="39">IF(F16=0,0,G14/F16*100)</f>
        <v>10.704727921498662</v>
      </c>
      <c r="H25" s="28">
        <f>IF(G16=0,0,I14/G16*100)</f>
        <v>15.057636887608069</v>
      </c>
      <c r="I25" s="28">
        <f t="shared" si="31"/>
        <v>11.09706108430359</v>
      </c>
      <c r="J25" s="357">
        <f t="shared" si="32"/>
        <v>11.09706108430359</v>
      </c>
      <c r="K25" s="85"/>
      <c r="L25" s="159"/>
      <c r="M25" s="359">
        <v>5</v>
      </c>
      <c r="N25" s="117">
        <f t="shared" si="33"/>
        <v>8.5874549363689106</v>
      </c>
      <c r="O25" s="117">
        <f t="shared" si="34"/>
        <v>12.881182404553366</v>
      </c>
      <c r="P25" s="117">
        <f t="shared" si="35"/>
        <v>5.3523639607493312</v>
      </c>
      <c r="Q25" s="117">
        <f t="shared" si="36"/>
        <v>13.606667232238266</v>
      </c>
      <c r="R25" s="353">
        <f t="shared" si="37"/>
        <v>11.09706108430359</v>
      </c>
    </row>
    <row r="26" spans="1:18">
      <c r="A26" s="1" t="s">
        <v>14</v>
      </c>
      <c r="B26" s="1" t="s">
        <v>3</v>
      </c>
      <c r="C26" s="1" t="s">
        <v>16670</v>
      </c>
      <c r="D26" s="2" t="s">
        <v>16671</v>
      </c>
      <c r="F26" s="28">
        <f>IF(F14=0,0,F15/F14*100)</f>
        <v>0</v>
      </c>
      <c r="G26" s="28">
        <f t="shared" ref="G26:H26" si="40">IF(G14=0,0,G15/G14*100)</f>
        <v>0</v>
      </c>
      <c r="H26" s="28">
        <f t="shared" si="40"/>
        <v>13.397129186602871</v>
      </c>
      <c r="I26" s="28">
        <f>(F26+G26*2+H26*3)/6</f>
        <v>6.6985645933014366</v>
      </c>
      <c r="J26" s="357">
        <f t="shared" si="32"/>
        <v>6.6985645933014366</v>
      </c>
      <c r="K26" s="85"/>
      <c r="L26" s="159"/>
      <c r="M26" s="359">
        <v>6</v>
      </c>
      <c r="N26" s="117">
        <f t="shared" si="33"/>
        <v>4.4657097288676235</v>
      </c>
      <c r="O26" s="117">
        <f t="shared" si="34"/>
        <v>6.6985645933014357</v>
      </c>
      <c r="P26" s="117">
        <f t="shared" si="35"/>
        <v>0</v>
      </c>
      <c r="Q26" s="117">
        <f t="shared" si="36"/>
        <v>8.931419457735247</v>
      </c>
      <c r="R26" s="353">
        <f t="shared" si="37"/>
        <v>6.6985645933014366</v>
      </c>
    </row>
    <row r="27" spans="1:18" ht="17.25" thickBot="1">
      <c r="A27" s="1" t="s">
        <v>4</v>
      </c>
      <c r="B27" s="1" t="s">
        <v>3</v>
      </c>
      <c r="C27" s="1" t="s">
        <v>16672</v>
      </c>
      <c r="D27" s="8" t="s">
        <v>16673</v>
      </c>
      <c r="F27" s="28">
        <f>IF(F14=0,0,F17/F14*100)</f>
        <v>0</v>
      </c>
      <c r="G27" s="28">
        <f t="shared" ref="G27:H27" si="41">IF(G14=0,0,G17/G14*100)</f>
        <v>322.5</v>
      </c>
      <c r="H27" s="28">
        <f t="shared" si="41"/>
        <v>308.61244019138752</v>
      </c>
      <c r="I27" s="28">
        <f t="shared" si="31"/>
        <v>261.80622009569373</v>
      </c>
      <c r="J27" s="358">
        <f t="shared" si="32"/>
        <v>261.80622009569373</v>
      </c>
      <c r="K27" s="85">
        <f>IF(E16=0,0,(H16/E16)^(1/3)*100)</f>
        <v>0</v>
      </c>
      <c r="L27" s="159"/>
      <c r="M27" s="359">
        <v>7</v>
      </c>
      <c r="N27" s="117">
        <f t="shared" si="33"/>
        <v>210.37081339712918</v>
      </c>
      <c r="O27" s="117">
        <f t="shared" si="34"/>
        <v>315.55622009569379</v>
      </c>
      <c r="P27" s="117">
        <f t="shared" si="35"/>
        <v>161.25</v>
      </c>
      <c r="Q27" s="117">
        <f t="shared" si="36"/>
        <v>313.24162679425837</v>
      </c>
      <c r="R27" s="353">
        <f t="shared" si="37"/>
        <v>261.80622009569373</v>
      </c>
    </row>
    <row r="28" spans="1:18">
      <c r="F28" s="226">
        <f>F8/IS추정!F14</f>
        <v>2.0642768850432633E-2</v>
      </c>
      <c r="G28" s="226">
        <f>G8/IS추정!G14</f>
        <v>2.3502039109066192E-2</v>
      </c>
      <c r="H28" s="226">
        <f>H8/IS추정!H14</f>
        <v>3.1593771589520113E-2</v>
      </c>
      <c r="I28" s="226">
        <f>I8/IS추정!I14</f>
        <v>3.1593771589520113E-2</v>
      </c>
      <c r="J28" s="226">
        <f>J8/IS추정!J14</f>
        <v>3.3188770872828316E-2</v>
      </c>
      <c r="K28" s="226">
        <f>K8/IS추정!K14</f>
        <v>4.032380855707253E-2</v>
      </c>
      <c r="L28" s="226">
        <f>L8/IS추정!L14</f>
        <v>4.9035429649675992E-2</v>
      </c>
      <c r="M28" s="226">
        <f>M8/IS추정!M14</f>
        <v>5.9681536404521694E-2</v>
      </c>
      <c r="N28" s="226">
        <f>N8/IS추정!N14</f>
        <v>7.2680510573442561E-2</v>
      </c>
      <c r="O28" s="226">
        <f>O8/IS추정!O14</f>
        <v>8.8534615564166003E-2</v>
      </c>
    </row>
    <row r="29" spans="1:18" s="204" customFormat="1">
      <c r="F29" s="226"/>
      <c r="G29" s="226"/>
      <c r="H29" s="226"/>
      <c r="I29" s="226"/>
      <c r="J29" s="226"/>
      <c r="K29" s="226"/>
      <c r="L29" s="226"/>
      <c r="M29" s="226"/>
      <c r="N29" s="226"/>
      <c r="O29" s="226"/>
    </row>
    <row r="30" spans="1:18" s="204" customFormat="1">
      <c r="F30" s="226"/>
      <c r="G30" s="226"/>
      <c r="H30" s="226"/>
      <c r="I30" s="226"/>
      <c r="J30" s="226"/>
      <c r="K30" s="226"/>
      <c r="L30" s="226"/>
      <c r="M30" s="226"/>
      <c r="N30" s="226"/>
      <c r="O30" s="226"/>
    </row>
    <row r="31" spans="1:18" s="204" customFormat="1">
      <c r="A31" s="563">
        <f>ROW(C35)-ROW(C31)</f>
        <v>4</v>
      </c>
      <c r="B31" s="120"/>
      <c r="C31" s="1" t="s">
        <v>16675</v>
      </c>
      <c r="D31" s="1" t="s">
        <v>16676</v>
      </c>
      <c r="E31" s="1"/>
      <c r="F31" s="367"/>
      <c r="G31" s="367"/>
      <c r="H31" s="367"/>
      <c r="I31" s="492" t="str">
        <f t="shared" ref="I31:O31" si="42">LEFT(I1,4)</f>
        <v>2023</v>
      </c>
      <c r="J31" s="492" t="str">
        <f t="shared" si="42"/>
        <v>2024</v>
      </c>
      <c r="K31" s="492" t="str">
        <f t="shared" si="42"/>
        <v>2025</v>
      </c>
      <c r="L31" s="492" t="str">
        <f t="shared" si="42"/>
        <v>2026</v>
      </c>
      <c r="M31" s="492" t="str">
        <f t="shared" si="42"/>
        <v>2027</v>
      </c>
      <c r="N31" s="492" t="str">
        <f t="shared" si="42"/>
        <v>2028</v>
      </c>
      <c r="O31" s="492" t="str">
        <f t="shared" si="42"/>
        <v>2029</v>
      </c>
    </row>
    <row r="32" spans="1:18" s="204" customFormat="1">
      <c r="A32" s="488" t="s">
        <v>14</v>
      </c>
      <c r="B32" s="120"/>
      <c r="C32" s="1" t="s">
        <v>16677</v>
      </c>
      <c r="D32" s="74" t="s">
        <v>16678</v>
      </c>
      <c r="F32" s="489"/>
      <c r="G32" s="489"/>
      <c r="H32" s="489"/>
      <c r="I32" s="489">
        <f>I8+I14</f>
        <v>1398</v>
      </c>
      <c r="J32" s="489">
        <f>J8+J14</f>
        <v>1480</v>
      </c>
      <c r="K32" s="489">
        <f t="shared" ref="K32:O32" si="43">K8+K14</f>
        <v>1827</v>
      </c>
      <c r="L32" s="489">
        <f t="shared" si="43"/>
        <v>2256</v>
      </c>
      <c r="M32" s="489">
        <f t="shared" si="43"/>
        <v>2786</v>
      </c>
      <c r="N32" s="489">
        <f t="shared" si="43"/>
        <v>3443</v>
      </c>
      <c r="O32" s="489">
        <f t="shared" si="43"/>
        <v>4254</v>
      </c>
    </row>
    <row r="33" spans="1:15" s="204" customFormat="1">
      <c r="A33" s="488" t="s">
        <v>14</v>
      </c>
      <c r="B33" s="120"/>
      <c r="C33" s="1" t="s">
        <v>16679</v>
      </c>
      <c r="D33" s="74" t="s">
        <v>16680</v>
      </c>
      <c r="F33" s="489">
        <f t="shared" ref="F33:O33" si="44">F13+F17</f>
        <v>2539</v>
      </c>
      <c r="G33" s="489">
        <f t="shared" si="44"/>
        <v>1887</v>
      </c>
      <c r="H33" s="489">
        <f t="shared" si="44"/>
        <v>1518</v>
      </c>
      <c r="I33" s="489">
        <f t="shared" si="44"/>
        <v>1518</v>
      </c>
      <c r="J33" s="489">
        <f t="shared" si="44"/>
        <v>2310</v>
      </c>
      <c r="K33" s="489">
        <f t="shared" si="44"/>
        <v>2839</v>
      </c>
      <c r="L33" s="489">
        <f t="shared" si="44"/>
        <v>3490</v>
      </c>
      <c r="M33" s="489">
        <f t="shared" si="44"/>
        <v>4290</v>
      </c>
      <c r="N33" s="489">
        <f t="shared" si="44"/>
        <v>5280</v>
      </c>
      <c r="O33" s="489">
        <f t="shared" si="44"/>
        <v>6497</v>
      </c>
    </row>
    <row r="34" spans="1:15" s="204" customFormat="1">
      <c r="A34" s="488" t="s">
        <v>14</v>
      </c>
      <c r="B34" s="120"/>
      <c r="C34" s="1" t="s">
        <v>16681</v>
      </c>
      <c r="D34" s="74" t="s">
        <v>16682</v>
      </c>
      <c r="F34" s="489"/>
      <c r="G34" s="489"/>
      <c r="H34" s="489"/>
      <c r="I34" s="489"/>
      <c r="J34" s="489">
        <f ca="1">OFFSET(NWC추정!$I$12,11,MATCH(J31,NWC추정!$J$12:$O$12,0))</f>
        <v>-38.965530832683726</v>
      </c>
      <c r="K34" s="489">
        <f ca="1">OFFSET(NWC추정!$I$12,11,MATCH(K31,NWC추정!$J$12:$O$12,0))</f>
        <v>210</v>
      </c>
      <c r="L34" s="489">
        <f ca="1">OFFSET(NWC추정!$I$12,11,MATCH(L31,NWC추정!$J$12:$O$12,0))</f>
        <v>203</v>
      </c>
      <c r="M34" s="489">
        <f ca="1">OFFSET(NWC추정!$I$12,11,MATCH(M31,NWC추정!$J$12:$O$12,0))</f>
        <v>200</v>
      </c>
      <c r="N34" s="489">
        <f ca="1">OFFSET(NWC추정!$I$12,11,MATCH(N31,NWC추정!$J$12:$O$12,0))</f>
        <v>201</v>
      </c>
      <c r="O34" s="489">
        <f ca="1">OFFSET(NWC추정!$I$12,11,MATCH(O31,NWC추정!$J$12:$O$12,0))</f>
        <v>199</v>
      </c>
    </row>
    <row r="35" spans="1:15" s="204" customFormat="1">
      <c r="A35" s="488" t="s">
        <v>14</v>
      </c>
      <c r="B35" s="120"/>
      <c r="C35" s="1" t="s">
        <v>16683</v>
      </c>
      <c r="D35" s="205" t="s">
        <v>16684</v>
      </c>
      <c r="F35" s="489"/>
      <c r="G35" s="489"/>
      <c r="H35" s="489"/>
      <c r="I35" s="489"/>
      <c r="J35" s="489">
        <f ca="1">-J32+J33+J34</f>
        <v>791.03446916731627</v>
      </c>
      <c r="K35" s="489">
        <f t="shared" ref="K35:O35" ca="1" si="45">-K32+K33+K34</f>
        <v>1222</v>
      </c>
      <c r="L35" s="489">
        <f t="shared" ca="1" si="45"/>
        <v>1437</v>
      </c>
      <c r="M35" s="489">
        <f t="shared" ca="1" si="45"/>
        <v>1704</v>
      </c>
      <c r="N35" s="489">
        <f t="shared" ca="1" si="45"/>
        <v>2038</v>
      </c>
      <c r="O35" s="489">
        <f t="shared" ca="1" si="45"/>
        <v>2442</v>
      </c>
    </row>
    <row r="36" spans="1:15">
      <c r="I36" s="343"/>
      <c r="J36" s="343"/>
      <c r="K36" s="343"/>
      <c r="L36" s="343"/>
      <c r="M36" s="343"/>
      <c r="N36" s="343"/>
      <c r="O36" s="343"/>
    </row>
    <row r="37" spans="1:15" customFormat="1">
      <c r="D37" s="302" t="s">
        <v>146</v>
      </c>
      <c r="E37" s="302" t="s">
        <v>186</v>
      </c>
      <c r="F37" s="303" t="s">
        <v>147</v>
      </c>
      <c r="G37" s="303" t="s">
        <v>148</v>
      </c>
      <c r="H37" s="304"/>
      <c r="I37" s="305"/>
      <c r="J37" s="304"/>
      <c r="K37" s="304"/>
      <c r="L37" s="304"/>
      <c r="M37" s="304"/>
    </row>
    <row r="38" spans="1:15" customFormat="1">
      <c r="D38" s="306" t="s">
        <v>149</v>
      </c>
      <c r="E38" s="306">
        <v>40</v>
      </c>
      <c r="F38" s="307">
        <f>1/E38*100</f>
        <v>2.5</v>
      </c>
      <c r="G38" s="308"/>
      <c r="H38" s="304"/>
      <c r="I38" s="309"/>
      <c r="J38" s="304"/>
      <c r="K38" s="304"/>
      <c r="L38" s="304"/>
      <c r="M38" s="304"/>
    </row>
    <row r="39" spans="1:15" customFormat="1">
      <c r="D39" s="306" t="s">
        <v>150</v>
      </c>
      <c r="E39" s="306">
        <v>20</v>
      </c>
      <c r="F39" s="307">
        <f t="shared" ref="F39:F43" si="46">1/E39*100</f>
        <v>5</v>
      </c>
      <c r="G39" s="308"/>
      <c r="H39" s="304"/>
      <c r="I39" s="310"/>
      <c r="J39" s="304"/>
      <c r="K39" s="304"/>
      <c r="L39" s="304"/>
      <c r="M39" s="304"/>
    </row>
    <row r="40" spans="1:15" customFormat="1">
      <c r="D40" s="306" t="s">
        <v>151</v>
      </c>
      <c r="E40" s="306">
        <v>10</v>
      </c>
      <c r="F40" s="307">
        <f t="shared" si="46"/>
        <v>10</v>
      </c>
      <c r="G40" s="308"/>
      <c r="H40" s="304"/>
      <c r="I40" s="310"/>
      <c r="J40" s="304"/>
      <c r="K40" s="304"/>
      <c r="L40" s="304"/>
      <c r="M40" s="304"/>
    </row>
    <row r="41" spans="1:15" customFormat="1">
      <c r="D41" s="306" t="s">
        <v>152</v>
      </c>
      <c r="E41" s="306">
        <v>5</v>
      </c>
      <c r="F41" s="307">
        <f t="shared" si="46"/>
        <v>20</v>
      </c>
      <c r="G41" s="308"/>
      <c r="H41" s="304"/>
      <c r="I41" s="304"/>
      <c r="J41" s="304"/>
      <c r="K41" s="304"/>
      <c r="L41" s="304"/>
      <c r="M41" s="304"/>
    </row>
    <row r="42" spans="1:15" customFormat="1">
      <c r="D42" s="306" t="s">
        <v>153</v>
      </c>
      <c r="E42" s="306">
        <v>5</v>
      </c>
      <c r="F42" s="307">
        <f t="shared" si="46"/>
        <v>20</v>
      </c>
      <c r="G42" s="308"/>
      <c r="H42" s="304"/>
      <c r="I42" s="304"/>
      <c r="J42" s="304"/>
      <c r="K42" s="304"/>
      <c r="L42" s="304"/>
      <c r="M42" s="304"/>
    </row>
    <row r="43" spans="1:15" customFormat="1">
      <c r="D43" s="306" t="s">
        <v>154</v>
      </c>
      <c r="E43" s="306">
        <v>5</v>
      </c>
      <c r="F43" s="307">
        <f t="shared" si="46"/>
        <v>20</v>
      </c>
      <c r="G43" s="308"/>
      <c r="H43" s="304"/>
      <c r="I43" s="304"/>
      <c r="J43" s="304"/>
      <c r="K43" s="304"/>
      <c r="L43" s="304"/>
      <c r="M43" s="304"/>
    </row>
    <row r="44" spans="1:15" customFormat="1">
      <c r="D44" s="304"/>
      <c r="E44" s="304"/>
      <c r="F44" s="304"/>
      <c r="G44" s="304"/>
      <c r="H44" s="304"/>
      <c r="I44" s="304"/>
      <c r="J44" s="304"/>
      <c r="K44" s="304"/>
      <c r="L44" s="304"/>
      <c r="M44" s="304"/>
    </row>
    <row r="45" spans="1:15" customFormat="1">
      <c r="D45" s="302" t="s">
        <v>155</v>
      </c>
      <c r="E45" s="302" t="s">
        <v>156</v>
      </c>
      <c r="F45" s="303" t="s">
        <v>157</v>
      </c>
      <c r="G45" s="302" t="s">
        <v>158</v>
      </c>
      <c r="H45" s="303" t="s">
        <v>159</v>
      </c>
      <c r="I45" s="302" t="s">
        <v>160</v>
      </c>
      <c r="J45" s="303" t="s">
        <v>161</v>
      </c>
      <c r="K45" s="302" t="s">
        <v>162</v>
      </c>
      <c r="L45" s="302" t="s">
        <v>163</v>
      </c>
      <c r="M45" s="302" t="s">
        <v>164</v>
      </c>
    </row>
    <row r="46" spans="1:15" customFormat="1">
      <c r="D46" s="306" t="s">
        <v>149</v>
      </c>
      <c r="E46" s="306"/>
      <c r="F46" s="306"/>
      <c r="G46" s="306"/>
      <c r="H46" s="125"/>
      <c r="I46" s="306"/>
      <c r="J46" s="125">
        <f>E46+F46-G46+H46-I46</f>
        <v>0</v>
      </c>
      <c r="K46" s="311" t="str">
        <f t="shared" ref="K46:K51" si="47">IFERROR(J46/$J$54,"")</f>
        <v/>
      </c>
      <c r="L46" s="312" t="e">
        <f>(I46/(E46+F46*0.5-G46*0.5+H46*0.5))*100*K46</f>
        <v>#DIV/0!</v>
      </c>
      <c r="M46" s="312" t="str">
        <f>IFERROR(F38*K46,"")</f>
        <v/>
      </c>
    </row>
    <row r="47" spans="1:15" customFormat="1">
      <c r="D47" s="306" t="s">
        <v>150</v>
      </c>
      <c r="E47" s="306"/>
      <c r="F47" s="306"/>
      <c r="G47" s="306"/>
      <c r="H47" s="125"/>
      <c r="I47" s="306"/>
      <c r="J47" s="125">
        <f t="shared" ref="J47:J52" si="48">E47+F47-G47+H47-I47</f>
        <v>0</v>
      </c>
      <c r="K47" s="311" t="str">
        <f t="shared" si="47"/>
        <v/>
      </c>
      <c r="L47" s="312" t="e">
        <f t="shared" ref="L47:L51" si="49">(I47/(E47+F47*0.5-G47*0.5+H47*0.5))*100*K47</f>
        <v>#DIV/0!</v>
      </c>
      <c r="M47" s="312" t="str">
        <f t="shared" ref="M47:M51" si="50">IFERROR(F39*K47,"")</f>
        <v/>
      </c>
    </row>
    <row r="48" spans="1:15" customFormat="1">
      <c r="D48" s="306" t="s">
        <v>151</v>
      </c>
      <c r="E48" s="306"/>
      <c r="F48" s="306"/>
      <c r="G48" s="306"/>
      <c r="H48" s="125"/>
      <c r="I48" s="306"/>
      <c r="J48" s="125">
        <f t="shared" si="48"/>
        <v>0</v>
      </c>
      <c r="K48" s="311" t="str">
        <f t="shared" si="47"/>
        <v/>
      </c>
      <c r="L48" s="312" t="e">
        <f t="shared" si="49"/>
        <v>#DIV/0!</v>
      </c>
      <c r="M48" s="312" t="str">
        <f t="shared" si="50"/>
        <v/>
      </c>
    </row>
    <row r="49" spans="4:13" customFormat="1">
      <c r="D49" s="306" t="s">
        <v>165</v>
      </c>
      <c r="E49" s="306"/>
      <c r="F49" s="306"/>
      <c r="G49" s="306"/>
      <c r="H49" s="125"/>
      <c r="I49" s="306"/>
      <c r="J49" s="125">
        <f t="shared" si="48"/>
        <v>0</v>
      </c>
      <c r="K49" s="311" t="str">
        <f t="shared" si="47"/>
        <v/>
      </c>
      <c r="L49" s="312" t="e">
        <f t="shared" si="49"/>
        <v>#DIV/0!</v>
      </c>
      <c r="M49" s="312" t="str">
        <f t="shared" si="50"/>
        <v/>
      </c>
    </row>
    <row r="50" spans="4:13" customFormat="1">
      <c r="D50" s="306" t="s">
        <v>166</v>
      </c>
      <c r="E50" s="306"/>
      <c r="F50" s="306"/>
      <c r="G50" s="306"/>
      <c r="H50" s="125"/>
      <c r="I50" s="306"/>
      <c r="J50" s="125">
        <f t="shared" si="48"/>
        <v>0</v>
      </c>
      <c r="K50" s="311" t="str">
        <f t="shared" si="47"/>
        <v/>
      </c>
      <c r="L50" s="312" t="e">
        <f t="shared" si="49"/>
        <v>#DIV/0!</v>
      </c>
      <c r="M50" s="312" t="str">
        <f t="shared" si="50"/>
        <v/>
      </c>
    </row>
    <row r="51" spans="4:13" customFormat="1">
      <c r="D51" s="306" t="s">
        <v>154</v>
      </c>
      <c r="E51" s="306"/>
      <c r="F51" s="306"/>
      <c r="G51" s="306"/>
      <c r="H51" s="125"/>
      <c r="I51" s="306"/>
      <c r="J51" s="125">
        <f t="shared" si="48"/>
        <v>0</v>
      </c>
      <c r="K51" s="311" t="str">
        <f t="shared" si="47"/>
        <v/>
      </c>
      <c r="L51" s="312" t="e">
        <f t="shared" si="49"/>
        <v>#DIV/0!</v>
      </c>
      <c r="M51" s="312" t="str">
        <f t="shared" si="50"/>
        <v/>
      </c>
    </row>
    <row r="52" spans="4:13" customFormat="1">
      <c r="D52" s="306" t="s">
        <v>167</v>
      </c>
      <c r="E52" s="306"/>
      <c r="F52" s="306"/>
      <c r="G52" s="306"/>
      <c r="H52" s="125"/>
      <c r="I52" s="306"/>
      <c r="J52" s="125">
        <f t="shared" si="48"/>
        <v>0</v>
      </c>
      <c r="K52" s="311"/>
      <c r="L52" s="306"/>
      <c r="M52" s="306"/>
    </row>
    <row r="53" spans="4:13" customFormat="1">
      <c r="D53" s="306" t="s">
        <v>168</v>
      </c>
      <c r="E53" s="306">
        <f>SUM(E46:E52)</f>
        <v>0</v>
      </c>
      <c r="F53" s="306">
        <f t="shared" ref="F53:J53" si="51">SUM(F46:F52)</f>
        <v>0</v>
      </c>
      <c r="G53" s="306">
        <f t="shared" si="51"/>
        <v>0</v>
      </c>
      <c r="H53" s="306">
        <f t="shared" si="51"/>
        <v>0</v>
      </c>
      <c r="I53" s="306">
        <f t="shared" si="51"/>
        <v>0</v>
      </c>
      <c r="J53" s="306">
        <f t="shared" si="51"/>
        <v>0</v>
      </c>
      <c r="K53" s="313">
        <f>SUM(K46:K51)</f>
        <v>0</v>
      </c>
      <c r="L53" s="314" t="e">
        <f>ROUND(SUM(L46:L52),2)</f>
        <v>#DIV/0!</v>
      </c>
      <c r="M53" s="314">
        <f>ROUND(SUM(M46:M52),2)</f>
        <v>0</v>
      </c>
    </row>
    <row r="54" spans="4:13" customFormat="1">
      <c r="D54" s="304"/>
      <c r="E54" s="304"/>
      <c r="F54" s="304"/>
      <c r="G54" s="304"/>
      <c r="H54" s="304"/>
      <c r="I54" s="304"/>
      <c r="J54" s="315">
        <f>SUM(J46:J51)</f>
        <v>0</v>
      </c>
      <c r="K54" s="304"/>
      <c r="L54" s="304"/>
      <c r="M54" s="304"/>
    </row>
    <row r="55" spans="4:13" customFormat="1">
      <c r="D55" s="304"/>
      <c r="E55" s="304"/>
      <c r="F55" s="304"/>
      <c r="G55" s="304"/>
      <c r="H55" s="304"/>
      <c r="I55" s="304"/>
      <c r="J55" s="304"/>
      <c r="K55" s="304"/>
      <c r="L55" s="304"/>
      <c r="M55" s="304"/>
    </row>
    <row r="56" spans="4:13" customFormat="1">
      <c r="D56" s="302" t="s">
        <v>169</v>
      </c>
      <c r="E56" s="302" t="s">
        <v>185</v>
      </c>
      <c r="F56" s="303" t="s">
        <v>170</v>
      </c>
      <c r="G56" s="304"/>
      <c r="H56" s="304"/>
      <c r="I56" s="304"/>
      <c r="J56" s="304"/>
      <c r="K56" s="304"/>
      <c r="L56" s="304"/>
      <c r="M56" s="304"/>
    </row>
    <row r="57" spans="4:13" customFormat="1">
      <c r="D57" s="306" t="s">
        <v>171</v>
      </c>
      <c r="E57" s="306">
        <v>10</v>
      </c>
      <c r="F57" s="307">
        <f>1/E57*100</f>
        <v>10</v>
      </c>
      <c r="G57" s="304"/>
      <c r="H57" s="304"/>
      <c r="I57" s="304"/>
      <c r="J57" s="304"/>
      <c r="K57" s="304"/>
      <c r="L57" s="304"/>
      <c r="M57" s="304"/>
    </row>
    <row r="58" spans="4:13" customFormat="1">
      <c r="D58" s="306" t="s">
        <v>172</v>
      </c>
      <c r="E58" s="306">
        <v>5</v>
      </c>
      <c r="F58" s="307">
        <f>1/E58*100</f>
        <v>20</v>
      </c>
      <c r="G58" s="304"/>
      <c r="H58" s="304"/>
      <c r="I58" s="304"/>
      <c r="J58" s="304"/>
      <c r="K58" s="304"/>
      <c r="L58" s="304"/>
      <c r="M58" s="304"/>
    </row>
    <row r="59" spans="4:13" customFormat="1">
      <c r="D59" s="306" t="s">
        <v>173</v>
      </c>
      <c r="E59" s="306">
        <v>5</v>
      </c>
      <c r="F59" s="307">
        <f t="shared" ref="F59" si="52">1/E59*100</f>
        <v>20</v>
      </c>
      <c r="G59" s="304"/>
      <c r="H59" s="304"/>
      <c r="I59" s="304"/>
      <c r="J59" s="304"/>
      <c r="K59" s="304"/>
      <c r="L59" s="304"/>
      <c r="M59" s="304"/>
    </row>
    <row r="60" spans="4:13" customFormat="1">
      <c r="D60" s="304"/>
      <c r="E60" s="304"/>
      <c r="F60" s="304"/>
      <c r="G60" s="304"/>
      <c r="H60" s="304"/>
      <c r="I60" s="304"/>
      <c r="J60" s="304"/>
      <c r="K60" s="304"/>
      <c r="L60" s="304"/>
      <c r="M60" s="304"/>
    </row>
    <row r="61" spans="4:13">
      <c r="D61" s="302" t="s">
        <v>174</v>
      </c>
      <c r="E61" s="302" t="s">
        <v>175</v>
      </c>
      <c r="F61" s="303" t="s">
        <v>176</v>
      </c>
      <c r="G61" s="302" t="s">
        <v>158</v>
      </c>
      <c r="H61" s="303" t="s">
        <v>159</v>
      </c>
      <c r="I61" s="302" t="s">
        <v>177</v>
      </c>
      <c r="J61" s="303" t="s">
        <v>178</v>
      </c>
      <c r="K61" s="302" t="s">
        <v>179</v>
      </c>
      <c r="L61" s="302" t="s">
        <v>163</v>
      </c>
      <c r="M61" s="302" t="s">
        <v>164</v>
      </c>
    </row>
    <row r="62" spans="4:13">
      <c r="D62" s="306" t="s">
        <v>180</v>
      </c>
      <c r="E62" s="306"/>
      <c r="F62" s="306"/>
      <c r="G62" s="306"/>
      <c r="H62" s="125"/>
      <c r="I62" s="306"/>
      <c r="J62" s="125">
        <f>E62+F62-G62+H62-I62</f>
        <v>0</v>
      </c>
      <c r="K62" s="311" t="str">
        <f>IFERROR(J62/$J$65,"")</f>
        <v/>
      </c>
      <c r="L62" s="312" t="e">
        <f>(I62/(E62+F62*0.5-G62*0.5+H62*0.5))*100*K62</f>
        <v>#DIV/0!</v>
      </c>
      <c r="M62" s="312" t="str">
        <f>IFERROR(F57*K62,"")</f>
        <v/>
      </c>
    </row>
    <row r="63" spans="4:13">
      <c r="D63" s="306" t="s">
        <v>172</v>
      </c>
      <c r="E63" s="306"/>
      <c r="F63" s="306"/>
      <c r="G63" s="306"/>
      <c r="H63" s="125"/>
      <c r="I63" s="306"/>
      <c r="J63" s="125">
        <f t="shared" ref="J63:J64" si="53">E63+F63-G63+H63-I63</f>
        <v>0</v>
      </c>
      <c r="K63" s="311" t="str">
        <f>IFERROR(J63/$J$65,"")</f>
        <v/>
      </c>
      <c r="L63" s="312" t="e">
        <f t="shared" ref="L63:L64" si="54">(I63/(E63+F63*0.5-G63*0.5+H63*0.5))*100*K63</f>
        <v>#DIV/0!</v>
      </c>
      <c r="M63" s="312" t="str">
        <f t="shared" ref="M63:M64" si="55">IFERROR(F58*K63,"")</f>
        <v/>
      </c>
    </row>
    <row r="64" spans="4:13">
      <c r="D64" s="306" t="s">
        <v>181</v>
      </c>
      <c r="E64" s="306"/>
      <c r="F64" s="306"/>
      <c r="G64" s="306"/>
      <c r="H64" s="125"/>
      <c r="I64" s="306"/>
      <c r="J64" s="125">
        <f t="shared" si="53"/>
        <v>0</v>
      </c>
      <c r="K64" s="311" t="str">
        <f>IFERROR(J64/$J$65,"")</f>
        <v/>
      </c>
      <c r="L64" s="312" t="e">
        <f t="shared" si="54"/>
        <v>#DIV/0!</v>
      </c>
      <c r="M64" s="312" t="str">
        <f t="shared" si="55"/>
        <v/>
      </c>
    </row>
    <row r="65" spans="4:13">
      <c r="D65" s="306" t="s">
        <v>182</v>
      </c>
      <c r="E65" s="306">
        <f t="shared" ref="E65:K65" si="56">SUM(E62:E64)</f>
        <v>0</v>
      </c>
      <c r="F65" s="306">
        <f t="shared" si="56"/>
        <v>0</v>
      </c>
      <c r="G65" s="306">
        <f t="shared" si="56"/>
        <v>0</v>
      </c>
      <c r="H65" s="306">
        <f t="shared" si="56"/>
        <v>0</v>
      </c>
      <c r="I65" s="306">
        <f t="shared" si="56"/>
        <v>0</v>
      </c>
      <c r="J65" s="306">
        <f t="shared" si="56"/>
        <v>0</v>
      </c>
      <c r="K65" s="313">
        <f t="shared" si="56"/>
        <v>0</v>
      </c>
      <c r="L65" s="314" t="e">
        <f>ROUND(SUM(L62:L64),2)</f>
        <v>#DIV/0!</v>
      </c>
      <c r="M65" s="314">
        <f>ROUND(SUM(M62:M64),2)</f>
        <v>0</v>
      </c>
    </row>
  </sheetData>
  <sheetProtection selectLockedCells="1"/>
  <phoneticPr fontId="3" type="noConversion"/>
  <conditionalFormatting sqref="J21 N21:R21">
    <cfRule type="duplicateValues" dxfId="13" priority="3"/>
  </conditionalFormatting>
  <conditionalFormatting sqref="R21">
    <cfRule type="duplicateValues" dxfId="12" priority="2"/>
  </conditionalFormatting>
  <conditionalFormatting sqref="J24 J27 J18:J20">
    <cfRule type="duplicateValues" dxfId="11" priority="1"/>
  </conditionalFormatting>
  <dataValidations disablePrompts="1" count="1">
    <dataValidation type="list" errorStyle="warning" allowBlank="1" showInputMessage="1" sqref="J21">
      <formula1>$N$21:$R$21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N22:Q27" unlockedFormula="1"/>
    <ignoredError sqref="I17" formula="1"/>
    <ignoredError sqref="J19:J20 F28:Q28" evalError="1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AA112"/>
  <sheetViews>
    <sheetView showGridLines="0" zoomScale="85" zoomScaleNormal="85" workbookViewId="0">
      <pane ySplit="1" topLeftCell="A44" activePane="bottomLeft" state="frozen"/>
      <selection activeCell="D26" sqref="D26"/>
      <selection pane="bottomLeft" activeCell="P26" sqref="P26"/>
    </sheetView>
  </sheetViews>
  <sheetFormatPr defaultColWidth="9" defaultRowHeight="16.5"/>
  <cols>
    <col min="1" max="2" width="9" style="2" hidden="1" customWidth="1"/>
    <col min="3" max="3" width="9" style="2"/>
    <col min="4" max="4" width="29" style="2" bestFit="1" customWidth="1"/>
    <col min="5" max="5" width="9.625" style="78" customWidth="1"/>
    <col min="6" max="19" width="9.625" style="2" customWidth="1"/>
    <col min="20" max="20" width="9" style="2"/>
    <col min="21" max="21" width="12.625" style="2" customWidth="1"/>
    <col min="22" max="27" width="9.625" style="2" customWidth="1"/>
    <col min="28" max="16384" width="9" style="2"/>
  </cols>
  <sheetData>
    <row r="1" spans="1:15">
      <c r="A1" s="367">
        <f>ROW(C69)-ROW(C1)</f>
        <v>68</v>
      </c>
      <c r="B1" s="1"/>
      <c r="C1" s="1" t="s">
        <v>16685</v>
      </c>
      <c r="D1" s="1" t="s">
        <v>16686</v>
      </c>
      <c r="E1" s="1" t="s">
        <v>16650</v>
      </c>
      <c r="F1" s="1" t="s">
        <v>16651</v>
      </c>
      <c r="G1" s="1" t="s">
        <v>16652</v>
      </c>
      <c r="H1" s="1" t="s">
        <v>16611</v>
      </c>
      <c r="I1" s="1" t="s">
        <v>16653</v>
      </c>
      <c r="J1" s="1" t="s">
        <v>16654</v>
      </c>
      <c r="K1" s="1" t="s">
        <v>16655</v>
      </c>
      <c r="L1" s="1" t="s">
        <v>16656</v>
      </c>
      <c r="M1" s="1" t="s">
        <v>16657</v>
      </c>
      <c r="N1" s="1" t="s">
        <v>16658</v>
      </c>
      <c r="O1" s="1" t="s">
        <v>16659</v>
      </c>
    </row>
    <row r="2" spans="1:15">
      <c r="A2" s="1" t="s">
        <v>14</v>
      </c>
      <c r="B2" s="1" t="s">
        <v>2</v>
      </c>
      <c r="C2" s="1" t="s">
        <v>16687</v>
      </c>
      <c r="D2" s="2" t="s">
        <v>16688</v>
      </c>
      <c r="E2" s="31">
        <v>21340</v>
      </c>
      <c r="F2" s="31">
        <v>24270</v>
      </c>
      <c r="G2" s="31">
        <v>38252</v>
      </c>
      <c r="H2" s="31">
        <v>37634</v>
      </c>
      <c r="I2" s="118">
        <f>IS추정!I14</f>
        <v>37634</v>
      </c>
      <c r="J2" s="118">
        <f>IS추정!J14</f>
        <v>38507</v>
      </c>
      <c r="K2" s="118">
        <f>IS추정!K14</f>
        <v>39406</v>
      </c>
      <c r="L2" s="118">
        <f>IS추정!L14</f>
        <v>40277</v>
      </c>
      <c r="M2" s="118">
        <f>IS추정!M14</f>
        <v>41135</v>
      </c>
      <c r="N2" s="118">
        <f>IS추정!N14</f>
        <v>41992</v>
      </c>
      <c r="O2" s="118">
        <f>IS추정!O14</f>
        <v>42842</v>
      </c>
    </row>
    <row r="3" spans="1:15">
      <c r="A3" s="1" t="s">
        <v>14</v>
      </c>
      <c r="B3" s="1" t="s">
        <v>2</v>
      </c>
      <c r="C3" s="1" t="s">
        <v>16689</v>
      </c>
      <c r="D3" s="2" t="s">
        <v>16690</v>
      </c>
      <c r="E3" s="31">
        <v>9878</v>
      </c>
      <c r="F3" s="31">
        <v>12885</v>
      </c>
      <c r="G3" s="31">
        <v>23322</v>
      </c>
      <c r="H3" s="31">
        <v>23465</v>
      </c>
      <c r="I3" s="216">
        <f>IS추정!I15</f>
        <v>23465</v>
      </c>
      <c r="J3" s="118">
        <f>IS추정!J15</f>
        <v>23237</v>
      </c>
      <c r="K3" s="118">
        <f>IS추정!K15</f>
        <v>23780</v>
      </c>
      <c r="L3" s="118">
        <f>IS추정!L15</f>
        <v>24305</v>
      </c>
      <c r="M3" s="118">
        <f>IS추정!M15</f>
        <v>24823</v>
      </c>
      <c r="N3" s="118">
        <f>IS추정!N15</f>
        <v>25340</v>
      </c>
      <c r="O3" s="118">
        <f>IS추정!O15</f>
        <v>25853</v>
      </c>
    </row>
    <row r="4" spans="1:15">
      <c r="A4" s="1" t="s">
        <v>4</v>
      </c>
      <c r="B4" s="1" t="s">
        <v>2</v>
      </c>
      <c r="C4" s="1" t="s">
        <v>16691</v>
      </c>
      <c r="D4" s="8" t="s">
        <v>16692</v>
      </c>
      <c r="E4" s="30">
        <f>E2-E3</f>
        <v>11462</v>
      </c>
      <c r="F4" s="30">
        <f>F2-F3</f>
        <v>11385</v>
      </c>
      <c r="G4" s="30">
        <f t="shared" ref="G4:I4" si="0">G2-G3</f>
        <v>14930</v>
      </c>
      <c r="H4" s="30">
        <f t="shared" si="0"/>
        <v>14169</v>
      </c>
      <c r="I4" s="30">
        <f t="shared" si="0"/>
        <v>14169</v>
      </c>
      <c r="J4" s="119">
        <f>J2-J3</f>
        <v>15270</v>
      </c>
      <c r="K4" s="119">
        <f t="shared" ref="K4:O4" si="1">K2-K3</f>
        <v>15626</v>
      </c>
      <c r="L4" s="119">
        <f t="shared" si="1"/>
        <v>15972</v>
      </c>
      <c r="M4" s="119">
        <f t="shared" si="1"/>
        <v>16312</v>
      </c>
      <c r="N4" s="119">
        <f t="shared" si="1"/>
        <v>16652</v>
      </c>
      <c r="O4" s="119">
        <f t="shared" si="1"/>
        <v>16989</v>
      </c>
    </row>
    <row r="5" spans="1:15">
      <c r="A5" s="1" t="s">
        <v>14</v>
      </c>
      <c r="B5" s="1" t="s">
        <v>2</v>
      </c>
      <c r="C5" s="1" t="s">
        <v>16693</v>
      </c>
      <c r="D5" s="2" t="s">
        <v>16694</v>
      </c>
      <c r="E5" s="31">
        <v>83</v>
      </c>
      <c r="F5" s="31">
        <v>113</v>
      </c>
      <c r="G5" s="31">
        <v>53</v>
      </c>
      <c r="H5" s="31">
        <v>223</v>
      </c>
      <c r="I5" s="31">
        <v>223</v>
      </c>
      <c r="J5" s="31"/>
      <c r="K5" s="31"/>
      <c r="L5" s="31"/>
      <c r="M5" s="31"/>
      <c r="N5" s="31"/>
      <c r="O5" s="31"/>
    </row>
    <row r="6" spans="1:15">
      <c r="A6" s="1" t="s">
        <v>14</v>
      </c>
      <c r="B6" s="1" t="s">
        <v>2</v>
      </c>
      <c r="C6" s="1" t="s">
        <v>16695</v>
      </c>
      <c r="D6" s="2" t="s">
        <v>16696</v>
      </c>
      <c r="E6" s="31">
        <v>51</v>
      </c>
      <c r="F6" s="31">
        <v>55</v>
      </c>
      <c r="G6" s="31">
        <v>68</v>
      </c>
      <c r="H6" s="31">
        <v>73</v>
      </c>
      <c r="I6" s="31">
        <v>73</v>
      </c>
      <c r="J6" s="31"/>
      <c r="K6" s="31"/>
      <c r="L6" s="31"/>
      <c r="M6" s="31"/>
      <c r="N6" s="31"/>
      <c r="O6" s="31"/>
    </row>
    <row r="7" spans="1:15">
      <c r="A7" s="1" t="s">
        <v>14</v>
      </c>
      <c r="B7" s="1" t="s">
        <v>2</v>
      </c>
      <c r="C7" s="1" t="s">
        <v>16697</v>
      </c>
      <c r="D7" s="2" t="s">
        <v>16698</v>
      </c>
      <c r="E7" s="31">
        <v>1093</v>
      </c>
      <c r="F7" s="31">
        <v>1196</v>
      </c>
      <c r="G7" s="31">
        <v>1532</v>
      </c>
      <c r="H7" s="31">
        <v>2012</v>
      </c>
      <c r="I7" s="31">
        <v>2012</v>
      </c>
      <c r="J7" s="31"/>
      <c r="K7" s="31"/>
      <c r="L7" s="31"/>
      <c r="M7" s="31"/>
      <c r="N7" s="31"/>
      <c r="O7" s="31"/>
    </row>
    <row r="8" spans="1:15">
      <c r="A8" s="1" t="s">
        <v>14</v>
      </c>
      <c r="B8" s="1" t="s">
        <v>2</v>
      </c>
      <c r="C8" s="1" t="s">
        <v>16699</v>
      </c>
      <c r="D8" s="2" t="s">
        <v>16700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1" t="s">
        <v>14</v>
      </c>
      <c r="B9" s="1" t="s">
        <v>2</v>
      </c>
      <c r="C9" s="1" t="s">
        <v>16701</v>
      </c>
      <c r="D9" s="2" t="s">
        <v>16702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1" t="s">
        <v>14</v>
      </c>
      <c r="B10" s="1" t="s">
        <v>2</v>
      </c>
      <c r="C10" s="1" t="s">
        <v>16703</v>
      </c>
      <c r="D10" s="2" t="s">
        <v>16704</v>
      </c>
      <c r="E10" s="31">
        <v>25</v>
      </c>
      <c r="F10" s="31">
        <v>64</v>
      </c>
      <c r="G10" s="31">
        <v>55</v>
      </c>
      <c r="H10" s="31">
        <v>98</v>
      </c>
      <c r="I10" s="31">
        <v>98</v>
      </c>
      <c r="J10" s="31"/>
      <c r="K10" s="31"/>
      <c r="L10" s="31"/>
      <c r="M10" s="31"/>
      <c r="N10" s="31"/>
      <c r="O10" s="31"/>
    </row>
    <row r="11" spans="1:15">
      <c r="A11" s="1" t="s">
        <v>14</v>
      </c>
      <c r="B11" s="1" t="s">
        <v>2</v>
      </c>
      <c r="C11" s="1" t="s">
        <v>16705</v>
      </c>
      <c r="D11" s="2" t="s">
        <v>16706</v>
      </c>
      <c r="E11" s="31">
        <v>342</v>
      </c>
      <c r="F11" s="31">
        <v>579</v>
      </c>
      <c r="G11" s="31">
        <v>933</v>
      </c>
      <c r="H11" s="31">
        <v>2031</v>
      </c>
      <c r="I11" s="31">
        <v>2031</v>
      </c>
      <c r="J11" s="31"/>
      <c r="K11" s="31"/>
      <c r="L11" s="31"/>
      <c r="M11" s="31"/>
      <c r="N11" s="31"/>
      <c r="O11" s="31"/>
    </row>
    <row r="12" spans="1:15">
      <c r="A12" s="1" t="s">
        <v>14</v>
      </c>
      <c r="B12" s="1" t="s">
        <v>2</v>
      </c>
      <c r="C12" s="1" t="s">
        <v>16707</v>
      </c>
      <c r="D12" s="2" t="s">
        <v>16708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1" t="s">
        <v>14</v>
      </c>
      <c r="B13" s="1" t="s">
        <v>2</v>
      </c>
      <c r="C13" s="1" t="s">
        <v>16709</v>
      </c>
      <c r="D13" s="2" t="s">
        <v>16710</v>
      </c>
      <c r="E13" s="31"/>
      <c r="F13" s="31">
        <v>5</v>
      </c>
      <c r="G13" s="31">
        <v>1</v>
      </c>
      <c r="H13" s="31">
        <v>57</v>
      </c>
      <c r="I13" s="31">
        <v>57</v>
      </c>
      <c r="J13" s="31"/>
      <c r="K13" s="31"/>
      <c r="L13" s="31"/>
      <c r="M13" s="31"/>
      <c r="N13" s="31"/>
      <c r="O13" s="31"/>
    </row>
    <row r="14" spans="1:15">
      <c r="A14" s="1" t="s">
        <v>14</v>
      </c>
      <c r="B14" s="1" t="s">
        <v>2</v>
      </c>
      <c r="C14" s="1" t="s">
        <v>16711</v>
      </c>
      <c r="D14" s="2" t="s">
        <v>16712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1" t="s">
        <v>14</v>
      </c>
      <c r="B15" s="1" t="s">
        <v>2</v>
      </c>
      <c r="C15" s="1" t="s">
        <v>16713</v>
      </c>
      <c r="D15" s="2" t="s">
        <v>16714</v>
      </c>
      <c r="E15" s="31">
        <v>8</v>
      </c>
      <c r="F15" s="31">
        <v>686</v>
      </c>
      <c r="G15" s="31">
        <v>1029</v>
      </c>
      <c r="H15" s="31">
        <v>2009</v>
      </c>
      <c r="I15" s="31">
        <v>2009</v>
      </c>
      <c r="J15" s="31"/>
      <c r="K15" s="31"/>
      <c r="L15" s="31"/>
      <c r="M15" s="31"/>
      <c r="N15" s="31"/>
      <c r="O15" s="31"/>
    </row>
    <row r="16" spans="1:15">
      <c r="A16" s="1" t="s">
        <v>14</v>
      </c>
      <c r="B16" s="1" t="s">
        <v>2</v>
      </c>
      <c r="C16" s="1" t="s">
        <v>16715</v>
      </c>
      <c r="D16" s="2" t="s">
        <v>16716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27">
      <c r="A17" s="1" t="s">
        <v>14</v>
      </c>
      <c r="B17" s="1" t="s">
        <v>2</v>
      </c>
      <c r="C17" s="1" t="s">
        <v>16717</v>
      </c>
      <c r="D17" s="2" t="s">
        <v>16718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27">
      <c r="A18" s="1" t="s">
        <v>14</v>
      </c>
      <c r="B18" s="1" t="s">
        <v>2</v>
      </c>
      <c r="C18" s="1" t="s">
        <v>16719</v>
      </c>
      <c r="D18" s="2" t="s">
        <v>16720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27">
      <c r="A19" s="1" t="s">
        <v>14</v>
      </c>
      <c r="B19" s="1" t="s">
        <v>2</v>
      </c>
      <c r="C19" s="1" t="s">
        <v>16721</v>
      </c>
      <c r="D19" s="2" t="s">
        <v>16722</v>
      </c>
      <c r="E19" s="31"/>
      <c r="F19" s="31">
        <v>5</v>
      </c>
      <c r="G19" s="31">
        <v>12</v>
      </c>
      <c r="H19" s="31">
        <v>14</v>
      </c>
      <c r="I19" s="31">
        <v>14</v>
      </c>
      <c r="J19" s="31"/>
      <c r="K19" s="31"/>
      <c r="L19" s="31"/>
      <c r="M19" s="31"/>
      <c r="N19" s="31"/>
      <c r="O19" s="31"/>
    </row>
    <row r="20" spans="1:27">
      <c r="A20" s="1" t="s">
        <v>14</v>
      </c>
      <c r="B20" s="1" t="s">
        <v>2</v>
      </c>
      <c r="C20" s="1" t="s">
        <v>16723</v>
      </c>
      <c r="D20" s="2" t="s">
        <v>16724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27">
      <c r="A21" s="1" t="s">
        <v>14</v>
      </c>
      <c r="B21" s="1" t="s">
        <v>2</v>
      </c>
      <c r="C21" s="1" t="s">
        <v>16725</v>
      </c>
      <c r="D21" s="2" t="s">
        <v>16726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27">
      <c r="A22" s="1" t="s">
        <v>14</v>
      </c>
      <c r="B22" s="1" t="s">
        <v>2</v>
      </c>
      <c r="C22" s="1" t="s">
        <v>16727</v>
      </c>
      <c r="D22" s="2" t="s">
        <v>16728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27">
      <c r="A23" s="1" t="s">
        <v>14</v>
      </c>
      <c r="B23" s="1" t="s">
        <v>2</v>
      </c>
      <c r="C23" s="1" t="s">
        <v>16729</v>
      </c>
      <c r="D23" s="2" t="s">
        <v>16730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27">
      <c r="A24" s="1" t="s">
        <v>14</v>
      </c>
      <c r="B24" s="1" t="s">
        <v>2</v>
      </c>
      <c r="C24" s="1" t="s">
        <v>16731</v>
      </c>
      <c r="D24" s="2" t="s">
        <v>16732</v>
      </c>
      <c r="E24" s="31">
        <v>2034</v>
      </c>
      <c r="F24" s="31">
        <v>501</v>
      </c>
      <c r="G24" s="31">
        <v>640</v>
      </c>
      <c r="H24" s="31">
        <v>224</v>
      </c>
      <c r="I24" s="31">
        <v>224</v>
      </c>
      <c r="J24" s="31"/>
      <c r="K24" s="31"/>
      <c r="L24" s="31"/>
      <c r="M24" s="31"/>
      <c r="N24" s="31"/>
      <c r="O24" s="31"/>
    </row>
    <row r="25" spans="1:27">
      <c r="A25" s="1" t="s">
        <v>14</v>
      </c>
      <c r="B25" s="1" t="s">
        <v>2</v>
      </c>
      <c r="C25" s="1" t="s">
        <v>16733</v>
      </c>
      <c r="D25" s="2" t="s">
        <v>16734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r="26" spans="1:27">
      <c r="A26" s="1" t="s">
        <v>14</v>
      </c>
      <c r="B26" s="1" t="s">
        <v>2</v>
      </c>
      <c r="C26" s="1" t="s">
        <v>16735</v>
      </c>
      <c r="D26" s="2" t="s">
        <v>16736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27">
      <c r="A27" s="1" t="s">
        <v>14</v>
      </c>
      <c r="B27" s="1" t="s">
        <v>2</v>
      </c>
      <c r="C27" s="1" t="s">
        <v>16737</v>
      </c>
      <c r="D27" s="2" t="s">
        <v>16738</v>
      </c>
      <c r="E27" s="31"/>
      <c r="F27" s="31">
        <v>3</v>
      </c>
      <c r="G27" s="31"/>
      <c r="H27" s="31"/>
      <c r="I27" s="31"/>
      <c r="J27" s="31"/>
      <c r="K27" s="31"/>
      <c r="L27" s="31"/>
      <c r="M27" s="31"/>
      <c r="N27" s="31"/>
      <c r="O27" s="31"/>
    </row>
    <row r="28" spans="1:27">
      <c r="A28" s="1" t="s">
        <v>14</v>
      </c>
      <c r="B28" s="1" t="s">
        <v>2</v>
      </c>
      <c r="C28" s="1" t="s">
        <v>16739</v>
      </c>
      <c r="D28" s="3" t="s">
        <v>16740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27">
      <c r="A29" s="1" t="s">
        <v>4</v>
      </c>
      <c r="B29" s="1" t="s">
        <v>2</v>
      </c>
      <c r="C29" s="1" t="s">
        <v>16741</v>
      </c>
      <c r="D29" s="9" t="s">
        <v>16742</v>
      </c>
      <c r="E29" s="30">
        <f>SUM(E5:E28)</f>
        <v>3636</v>
      </c>
      <c r="F29" s="30">
        <f>SUM(F5:F28)</f>
        <v>3207</v>
      </c>
      <c r="G29" s="30">
        <f t="shared" ref="G29:I29" si="2">SUM(G5:G28)</f>
        <v>4323</v>
      </c>
      <c r="H29" s="30">
        <f t="shared" si="2"/>
        <v>6741</v>
      </c>
      <c r="I29" s="217">
        <f t="shared" si="2"/>
        <v>6741</v>
      </c>
      <c r="J29" s="143">
        <f>IS추정!J18</f>
        <v>5747</v>
      </c>
      <c r="K29" s="143">
        <f>IS추정!K18</f>
        <v>5881</v>
      </c>
      <c r="L29" s="143">
        <f>IS추정!L18</f>
        <v>6011</v>
      </c>
      <c r="M29" s="143">
        <f>IS추정!M18</f>
        <v>6139</v>
      </c>
      <c r="N29" s="143">
        <f>IS추정!N18</f>
        <v>6267</v>
      </c>
      <c r="O29" s="143">
        <f>IS추정!O18</f>
        <v>6394</v>
      </c>
    </row>
    <row r="30" spans="1:27" ht="17.25" thickBot="1">
      <c r="A30" s="1" t="s">
        <v>14</v>
      </c>
      <c r="B30" s="1" t="s">
        <v>3</v>
      </c>
      <c r="C30" s="1" t="s">
        <v>16743</v>
      </c>
      <c r="D30" s="2" t="s">
        <v>16744</v>
      </c>
      <c r="E30" s="35">
        <f>RATE!$F$3</f>
        <v>1.91</v>
      </c>
      <c r="F30" s="35">
        <f>RATE!$F$3</f>
        <v>1.91</v>
      </c>
      <c r="G30" s="35">
        <f>RATE!$F$3</f>
        <v>1.91</v>
      </c>
      <c r="H30" s="35">
        <f>RATE!$F$3</f>
        <v>1.91</v>
      </c>
      <c r="I30" s="35">
        <f>RATE!$F$3</f>
        <v>1.91</v>
      </c>
      <c r="J30" s="35">
        <f>RATE!$F$3</f>
        <v>1.91</v>
      </c>
      <c r="K30" s="35">
        <f>RATE!$F$3</f>
        <v>1.91</v>
      </c>
      <c r="L30" s="35">
        <f>RATE!$F$3</f>
        <v>1.91</v>
      </c>
      <c r="M30" s="35">
        <f>RATE!$F$3</f>
        <v>1.91</v>
      </c>
      <c r="N30" s="35">
        <f>RATE!$F$3</f>
        <v>1.91</v>
      </c>
      <c r="O30" s="35">
        <f>RATE!$F$3</f>
        <v>1.91</v>
      </c>
      <c r="V30" s="496">
        <v>2</v>
      </c>
      <c r="W30" s="496">
        <v>3</v>
      </c>
      <c r="X30" s="496">
        <v>4</v>
      </c>
      <c r="Y30" s="496">
        <v>5</v>
      </c>
      <c r="Z30" s="496">
        <v>6</v>
      </c>
      <c r="AA30" s="496">
        <v>7</v>
      </c>
    </row>
    <row r="31" spans="1:27" ht="17.25" thickBot="1">
      <c r="A31" s="1" t="s">
        <v>14</v>
      </c>
      <c r="B31" s="1" t="s">
        <v>2</v>
      </c>
      <c r="C31" s="1" t="s">
        <v>16745</v>
      </c>
      <c r="D31" s="2" t="s">
        <v>16746</v>
      </c>
      <c r="E31" s="32">
        <f>E37/E32</f>
        <v>5.36</v>
      </c>
      <c r="F31" s="32">
        <f>F37/F32</f>
        <v>6.5</v>
      </c>
      <c r="G31" s="32">
        <f t="shared" ref="G31:I31" si="3">G37/G32</f>
        <v>8.1</v>
      </c>
      <c r="H31" s="32">
        <f t="shared" si="3"/>
        <v>21.05</v>
      </c>
      <c r="I31" s="32">
        <f t="shared" si="3"/>
        <v>21.05</v>
      </c>
      <c r="J31" s="32">
        <f>ROUND(I31*(1+(J30/100)),3)</f>
        <v>21.452000000000002</v>
      </c>
      <c r="K31" s="105">
        <f t="shared" ref="K31:O31" si="4">ROUND(J31*(1+(K30/100)),3)</f>
        <v>21.861999999999998</v>
      </c>
      <c r="L31" s="105">
        <f t="shared" si="4"/>
        <v>22.28</v>
      </c>
      <c r="M31" s="105">
        <f t="shared" si="4"/>
        <v>22.706</v>
      </c>
      <c r="N31" s="105">
        <f t="shared" si="4"/>
        <v>23.14</v>
      </c>
      <c r="O31" s="105">
        <f t="shared" si="4"/>
        <v>23.582000000000001</v>
      </c>
      <c r="R31" s="348" t="s">
        <v>200</v>
      </c>
      <c r="U31" s="269" t="s">
        <v>197</v>
      </c>
      <c r="V31" s="269" t="str">
        <f>LEFT(V35,4)</f>
        <v>2024</v>
      </c>
      <c r="W31" s="269" t="str">
        <f t="shared" ref="W31:AA31" si="5">LEFT(W35,4)</f>
        <v>2025</v>
      </c>
      <c r="X31" s="269" t="str">
        <f t="shared" si="5"/>
        <v>2026</v>
      </c>
      <c r="Y31" s="269" t="str">
        <f t="shared" si="5"/>
        <v>2027</v>
      </c>
      <c r="Z31" s="269" t="str">
        <f t="shared" si="5"/>
        <v>2028</v>
      </c>
      <c r="AA31" s="269" t="str">
        <f t="shared" si="5"/>
        <v>2029</v>
      </c>
    </row>
    <row r="32" spans="1:27" ht="17.25" thickBot="1">
      <c r="A32" s="1" t="s">
        <v>14</v>
      </c>
      <c r="B32" s="1" t="s">
        <v>2</v>
      </c>
      <c r="C32" s="1" t="s">
        <v>16747</v>
      </c>
      <c r="D32" s="2" t="s">
        <v>16748</v>
      </c>
      <c r="E32" s="31">
        <v>100</v>
      </c>
      <c r="F32" s="102">
        <v>100</v>
      </c>
      <c r="G32" s="102">
        <v>100</v>
      </c>
      <c r="H32" s="102">
        <v>100</v>
      </c>
      <c r="I32" s="347">
        <v>100</v>
      </c>
      <c r="J32" s="32">
        <f>VLOOKUP($P$32,$U$32:$AA$33,MATCH(LEFT(J$1,4),$V$31:$AA$31,0)+1,0)</f>
        <v>102.322</v>
      </c>
      <c r="K32" s="495">
        <f t="shared" ref="K32:O32" si="6">VLOOKUP($P$32,$U$32:$AA$33,MATCH(LEFT(K$1,4),$V$31:$AA$31,0)+1,0)</f>
        <v>104.71326513999999</v>
      </c>
      <c r="L32" s="495">
        <f t="shared" si="6"/>
        <v>107.02952256489678</v>
      </c>
      <c r="M32" s="495">
        <f t="shared" si="6"/>
        <v>109.31032169075472</v>
      </c>
      <c r="N32" s="495">
        <f t="shared" si="6"/>
        <v>111.58834879479005</v>
      </c>
      <c r="O32" s="495">
        <f t="shared" si="6"/>
        <v>113.84801285788456</v>
      </c>
      <c r="P32" s="493" t="s">
        <v>201</v>
      </c>
      <c r="R32" s="349">
        <v>1</v>
      </c>
      <c r="U32" s="225" t="s">
        <v>202</v>
      </c>
      <c r="V32" s="345">
        <f>I$32*(1+V36/100*$R$32)</f>
        <v>102.322</v>
      </c>
      <c r="W32" s="345">
        <f>V$32*(1+W36/100*$R$32)</f>
        <v>104.71326513999999</v>
      </c>
      <c r="X32" s="345">
        <f t="shared" ref="X32:AA32" si="7">W$32*(1+X36/100*$R$32)</f>
        <v>107.02952256489678</v>
      </c>
      <c r="Y32" s="345">
        <f t="shared" si="7"/>
        <v>109.31032169075472</v>
      </c>
      <c r="Z32" s="345">
        <f t="shared" si="7"/>
        <v>111.58834879479005</v>
      </c>
      <c r="AA32" s="345">
        <f t="shared" si="7"/>
        <v>113.84801285788456</v>
      </c>
    </row>
    <row r="33" spans="1:27">
      <c r="A33" s="1" t="s">
        <v>14</v>
      </c>
      <c r="B33" s="1" t="s">
        <v>2</v>
      </c>
      <c r="C33" s="1" t="s">
        <v>16749</v>
      </c>
      <c r="D33" s="2" t="s">
        <v>16750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94" t="s">
        <v>453</v>
      </c>
      <c r="U33" s="225" t="s">
        <v>203</v>
      </c>
      <c r="V33" s="345">
        <f>I$32*(1+V37/100*$R$32)</f>
        <v>102.322</v>
      </c>
      <c r="W33" s="345">
        <f>V$33*(1+W37/100*$R$32)</f>
        <v>104.71326513999999</v>
      </c>
      <c r="X33" s="345">
        <f t="shared" ref="X33:AA33" si="8">W$33*(1+X37/100*$R$32)</f>
        <v>107.02952256489678</v>
      </c>
      <c r="Y33" s="345">
        <f t="shared" si="8"/>
        <v>109.31032169075472</v>
      </c>
      <c r="Z33" s="345">
        <f t="shared" si="8"/>
        <v>111.58834879479005</v>
      </c>
      <c r="AA33" s="345">
        <f t="shared" si="8"/>
        <v>113.84801285788456</v>
      </c>
    </row>
    <row r="34" spans="1:27">
      <c r="A34" s="1" t="s">
        <v>14</v>
      </c>
      <c r="B34" s="1" t="s">
        <v>2</v>
      </c>
      <c r="C34" s="1" t="s">
        <v>16751</v>
      </c>
      <c r="D34" s="2" t="s">
        <v>16752</v>
      </c>
      <c r="E34" s="31">
        <v>505</v>
      </c>
      <c r="F34" s="31">
        <v>566</v>
      </c>
      <c r="G34" s="31">
        <v>719</v>
      </c>
      <c r="H34" s="31">
        <v>2105</v>
      </c>
      <c r="I34" s="31">
        <v>2105</v>
      </c>
      <c r="J34" s="31"/>
      <c r="K34" s="31"/>
      <c r="L34" s="31"/>
      <c r="M34" s="31"/>
      <c r="N34" s="31"/>
      <c r="O34" s="31"/>
    </row>
    <row r="35" spans="1:27">
      <c r="A35" s="1" t="s">
        <v>14</v>
      </c>
      <c r="B35" s="1" t="s">
        <v>2</v>
      </c>
      <c r="C35" s="1" t="s">
        <v>16753</v>
      </c>
      <c r="D35" s="2" t="s">
        <v>16754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U35" s="204"/>
      <c r="V35" s="297" t="str">
        <f>성장률추정!E7</f>
        <v>20241231K</v>
      </c>
      <c r="W35" s="297" t="str">
        <f>성장률추정!F7</f>
        <v>20251231K</v>
      </c>
      <c r="X35" s="297" t="str">
        <f>성장률추정!G7</f>
        <v>20261231K</v>
      </c>
      <c r="Y35" s="297" t="str">
        <f>성장률추정!H7</f>
        <v>20271231K</v>
      </c>
      <c r="Z35" s="297" t="str">
        <f>성장률추정!I7</f>
        <v>20281231K</v>
      </c>
      <c r="AA35" s="297" t="str">
        <f>성장률추정!J7</f>
        <v>20291231K</v>
      </c>
    </row>
    <row r="36" spans="1:27">
      <c r="A36" s="1" t="s">
        <v>14</v>
      </c>
      <c r="B36" s="1" t="s">
        <v>2</v>
      </c>
      <c r="C36" s="1" t="s">
        <v>16755</v>
      </c>
      <c r="D36" s="2" t="s">
        <v>16756</v>
      </c>
      <c r="E36" s="31">
        <v>31</v>
      </c>
      <c r="F36" s="31">
        <v>84</v>
      </c>
      <c r="G36" s="31">
        <v>91</v>
      </c>
      <c r="H36" s="31"/>
      <c r="I36" s="31"/>
      <c r="J36" s="31"/>
      <c r="K36" s="31"/>
      <c r="L36" s="31"/>
      <c r="M36" s="31"/>
      <c r="N36" s="31"/>
      <c r="O36" s="31"/>
      <c r="U36" s="225" t="s">
        <v>198</v>
      </c>
      <c r="V36" s="4">
        <f>성장률추정!E8</f>
        <v>2.3220000000000001</v>
      </c>
      <c r="W36" s="4">
        <f>성장률추정!F8</f>
        <v>2.3370000000000002</v>
      </c>
      <c r="X36" s="4">
        <f>성장률추정!G8</f>
        <v>2.2120000000000002</v>
      </c>
      <c r="Y36" s="4">
        <f>성장률추정!H8</f>
        <v>2.1309999999999998</v>
      </c>
      <c r="Z36" s="4">
        <f>성장률추정!I8</f>
        <v>2.0840000000000001</v>
      </c>
      <c r="AA36" s="4">
        <f>성장률추정!J8</f>
        <v>2.0249999999999999</v>
      </c>
    </row>
    <row r="37" spans="1:27">
      <c r="A37" s="1" t="s">
        <v>14</v>
      </c>
      <c r="B37" s="1" t="s">
        <v>2</v>
      </c>
      <c r="C37" s="1" t="s">
        <v>16757</v>
      </c>
      <c r="D37" s="2" t="s">
        <v>16758</v>
      </c>
      <c r="E37" s="32">
        <f>SUM(E33:E36)</f>
        <v>536</v>
      </c>
      <c r="F37" s="32">
        <f>SUM(F33:F36)</f>
        <v>650</v>
      </c>
      <c r="G37" s="32">
        <f t="shared" ref="G37:I37" si="9">SUM(G33:G36)</f>
        <v>810</v>
      </c>
      <c r="H37" s="32">
        <f t="shared" si="9"/>
        <v>2105</v>
      </c>
      <c r="I37" s="32">
        <f t="shared" si="9"/>
        <v>2105</v>
      </c>
      <c r="J37" s="34">
        <f>INT(J32*J31)</f>
        <v>2195</v>
      </c>
      <c r="K37" s="34">
        <f t="shared" ref="K37:N37" si="10">INT(K32*K31)</f>
        <v>2289</v>
      </c>
      <c r="L37" s="34">
        <f t="shared" si="10"/>
        <v>2384</v>
      </c>
      <c r="M37" s="34">
        <f t="shared" si="10"/>
        <v>2482</v>
      </c>
      <c r="N37" s="34">
        <f t="shared" si="10"/>
        <v>2582</v>
      </c>
      <c r="O37" s="34">
        <f t="shared" ref="O37" si="11">INT(O32*O31)</f>
        <v>2684</v>
      </c>
      <c r="U37" s="225" t="s">
        <v>199</v>
      </c>
      <c r="V37" s="4">
        <f>성장률추정!E9</f>
        <v>2.3220000000000001</v>
      </c>
      <c r="W37" s="4">
        <f>성장률추정!F9</f>
        <v>2.3370000000000002</v>
      </c>
      <c r="X37" s="4">
        <f>성장률추정!G9</f>
        <v>2.2120000000000002</v>
      </c>
      <c r="Y37" s="4">
        <f>성장률추정!H9</f>
        <v>2.1309999999999998</v>
      </c>
      <c r="Z37" s="4">
        <f>성장률추정!I9</f>
        <v>2.0840000000000001</v>
      </c>
      <c r="AA37" s="4">
        <f>성장률추정!J9</f>
        <v>2.0249999999999999</v>
      </c>
    </row>
    <row r="38" spans="1:27">
      <c r="A38" s="1" t="s">
        <v>14</v>
      </c>
      <c r="B38" s="1" t="s">
        <v>2</v>
      </c>
      <c r="C38" s="1" t="s">
        <v>16759</v>
      </c>
      <c r="D38" s="2" t="s">
        <v>16760</v>
      </c>
      <c r="E38" s="31">
        <v>128</v>
      </c>
      <c r="F38" s="31">
        <v>-31</v>
      </c>
      <c r="G38" s="31">
        <v>215</v>
      </c>
      <c r="H38" s="31">
        <v>336</v>
      </c>
      <c r="I38" s="31">
        <v>336</v>
      </c>
      <c r="J38" s="31"/>
      <c r="K38" s="31"/>
      <c r="L38" s="31"/>
      <c r="M38" s="31"/>
      <c r="N38" s="31"/>
      <c r="O38" s="31"/>
    </row>
    <row r="39" spans="1:27">
      <c r="A39" s="1" t="s">
        <v>14</v>
      </c>
      <c r="B39" s="1" t="s">
        <v>2</v>
      </c>
      <c r="C39" s="1" t="s">
        <v>16761</v>
      </c>
      <c r="D39" s="2" t="s">
        <v>16762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1:27">
      <c r="A40" s="1" t="s">
        <v>14</v>
      </c>
      <c r="B40" s="1" t="s">
        <v>2</v>
      </c>
      <c r="C40" s="1" t="s">
        <v>16763</v>
      </c>
      <c r="D40" s="2" t="s">
        <v>16764</v>
      </c>
      <c r="E40" s="32">
        <f>SUM(E38:E39)</f>
        <v>128</v>
      </c>
      <c r="F40" s="32">
        <f>SUM(F38:F39)</f>
        <v>-31</v>
      </c>
      <c r="G40" s="32">
        <f t="shared" ref="G40:I40" si="12">SUM(G38:G39)</f>
        <v>215</v>
      </c>
      <c r="H40" s="32">
        <f t="shared" si="12"/>
        <v>336</v>
      </c>
      <c r="I40" s="218">
        <f t="shared" si="12"/>
        <v>336</v>
      </c>
      <c r="J40" s="32">
        <f>INT(J37*$J$76/100)</f>
        <v>351</v>
      </c>
      <c r="K40" s="32">
        <f t="shared" ref="K40:N40" si="13">INT(K37*$J$76/100)</f>
        <v>367</v>
      </c>
      <c r="L40" s="32">
        <f t="shared" si="13"/>
        <v>382</v>
      </c>
      <c r="M40" s="32">
        <f t="shared" si="13"/>
        <v>397</v>
      </c>
      <c r="N40" s="32">
        <f t="shared" si="13"/>
        <v>413</v>
      </c>
      <c r="O40" s="32">
        <f t="shared" ref="O40" si="14">INT(O37*$J$76/100)</f>
        <v>430</v>
      </c>
    </row>
    <row r="41" spans="1:27">
      <c r="A41" s="1" t="s">
        <v>4</v>
      </c>
      <c r="B41" s="1" t="s">
        <v>2</v>
      </c>
      <c r="C41" s="1" t="s">
        <v>16765</v>
      </c>
      <c r="D41" s="8" t="s">
        <v>16766</v>
      </c>
      <c r="E41" s="30">
        <f>E37+E40</f>
        <v>664</v>
      </c>
      <c r="F41" s="30">
        <f>F37+F40</f>
        <v>619</v>
      </c>
      <c r="G41" s="30">
        <f t="shared" ref="G41:J41" si="15">G37+G40</f>
        <v>1025</v>
      </c>
      <c r="H41" s="30">
        <f t="shared" si="15"/>
        <v>2441</v>
      </c>
      <c r="I41" s="30">
        <f t="shared" si="15"/>
        <v>2441</v>
      </c>
      <c r="J41" s="30">
        <f t="shared" si="15"/>
        <v>2546</v>
      </c>
      <c r="K41" s="30">
        <f t="shared" ref="K41" si="16">K37+K40</f>
        <v>2656</v>
      </c>
      <c r="L41" s="30">
        <f t="shared" ref="L41" si="17">L37+L40</f>
        <v>2766</v>
      </c>
      <c r="M41" s="30">
        <f t="shared" ref="M41:N41" si="18">M37+M40</f>
        <v>2879</v>
      </c>
      <c r="N41" s="30">
        <f t="shared" si="18"/>
        <v>2995</v>
      </c>
      <c r="O41" s="30">
        <f t="shared" ref="O41" si="19">O37+O40</f>
        <v>3114</v>
      </c>
    </row>
    <row r="42" spans="1:27">
      <c r="A42" s="1" t="s">
        <v>14</v>
      </c>
      <c r="B42" s="1" t="s">
        <v>2</v>
      </c>
      <c r="C42" s="1" t="s">
        <v>16767</v>
      </c>
      <c r="D42" s="2" t="s">
        <v>16768</v>
      </c>
      <c r="E42" s="31">
        <v>135</v>
      </c>
      <c r="F42" s="31">
        <v>152</v>
      </c>
      <c r="G42" s="31">
        <v>277</v>
      </c>
      <c r="H42" s="31">
        <v>248</v>
      </c>
      <c r="I42" s="31">
        <v>248</v>
      </c>
      <c r="J42" s="31"/>
      <c r="K42" s="31"/>
      <c r="L42" s="31"/>
      <c r="M42" s="31"/>
      <c r="N42" s="31"/>
      <c r="O42" s="31"/>
    </row>
    <row r="43" spans="1:27">
      <c r="A43" s="1" t="s">
        <v>14</v>
      </c>
      <c r="B43" s="1" t="s">
        <v>2</v>
      </c>
      <c r="C43" s="1" t="s">
        <v>16769</v>
      </c>
      <c r="D43" s="2" t="s">
        <v>16770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</row>
    <row r="44" spans="1:27">
      <c r="A44" s="1" t="s">
        <v>14</v>
      </c>
      <c r="B44" s="1" t="s">
        <v>2</v>
      </c>
      <c r="C44" s="1" t="s">
        <v>16771</v>
      </c>
      <c r="D44" s="2" t="s">
        <v>16772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27">
      <c r="A45" s="1" t="s">
        <v>14</v>
      </c>
      <c r="B45" s="1" t="s">
        <v>2</v>
      </c>
      <c r="C45" s="1" t="s">
        <v>16773</v>
      </c>
      <c r="D45" s="2" t="s">
        <v>16774</v>
      </c>
      <c r="E45" s="31"/>
      <c r="F45" s="31">
        <v>1</v>
      </c>
      <c r="G45" s="31">
        <v>0</v>
      </c>
      <c r="H45" s="31">
        <v>2</v>
      </c>
      <c r="I45" s="31">
        <v>2</v>
      </c>
      <c r="J45" s="31"/>
      <c r="K45" s="31"/>
      <c r="L45" s="31"/>
      <c r="M45" s="31"/>
      <c r="N45" s="31"/>
      <c r="O45" s="31"/>
    </row>
    <row r="46" spans="1:27">
      <c r="A46" s="1" t="s">
        <v>14</v>
      </c>
      <c r="B46" s="1" t="s">
        <v>2</v>
      </c>
      <c r="C46" s="1" t="s">
        <v>16775</v>
      </c>
      <c r="D46" s="3" t="s">
        <v>16776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1:27">
      <c r="A47" s="1" t="s">
        <v>4</v>
      </c>
      <c r="B47" s="1" t="s">
        <v>2</v>
      </c>
      <c r="C47" s="1" t="s">
        <v>16777</v>
      </c>
      <c r="D47" s="9" t="s">
        <v>16778</v>
      </c>
      <c r="E47" s="30">
        <f>SUM(E42:E46)</f>
        <v>135</v>
      </c>
      <c r="F47" s="30">
        <f>SUM(F42:F46)</f>
        <v>153</v>
      </c>
      <c r="G47" s="30">
        <f t="shared" ref="G47:I47" si="20">SUM(G42:G46)</f>
        <v>277</v>
      </c>
      <c r="H47" s="30">
        <f t="shared" si="20"/>
        <v>250</v>
      </c>
      <c r="I47" s="217">
        <f t="shared" si="20"/>
        <v>250</v>
      </c>
      <c r="J47" s="30">
        <f>INT(J41*$J$77/100)</f>
        <v>464</v>
      </c>
      <c r="K47" s="30">
        <f t="shared" ref="K47:N47" si="21">INT(K41*$J$77/100)</f>
        <v>484</v>
      </c>
      <c r="L47" s="30">
        <f t="shared" si="21"/>
        <v>504</v>
      </c>
      <c r="M47" s="30">
        <f t="shared" si="21"/>
        <v>525</v>
      </c>
      <c r="N47" s="30">
        <f t="shared" si="21"/>
        <v>546</v>
      </c>
      <c r="O47" s="30">
        <f t="shared" ref="O47" si="22">INT(O41*$J$77/100)</f>
        <v>568</v>
      </c>
    </row>
    <row r="48" spans="1:27">
      <c r="A48" s="1" t="s">
        <v>14</v>
      </c>
      <c r="B48" s="1" t="s">
        <v>3</v>
      </c>
      <c r="C48" s="1" t="s">
        <v>16779</v>
      </c>
      <c r="D48" s="3" t="s">
        <v>16780</v>
      </c>
      <c r="E48" s="35">
        <f>RATE!$F$5</f>
        <v>1.91</v>
      </c>
      <c r="F48" s="35">
        <f>RATE!$F$5</f>
        <v>1.91</v>
      </c>
      <c r="G48" s="35">
        <f>RATE!$F$5</f>
        <v>1.91</v>
      </c>
      <c r="H48" s="35">
        <f>RATE!$F$5</f>
        <v>1.91</v>
      </c>
      <c r="I48" s="35">
        <f>RATE!$F$5</f>
        <v>1.91</v>
      </c>
      <c r="J48" s="35">
        <f>RATE!$F$5</f>
        <v>1.91</v>
      </c>
      <c r="K48" s="35">
        <f>RATE!$F$5</f>
        <v>1.91</v>
      </c>
      <c r="L48" s="35">
        <f>RATE!$F$5</f>
        <v>1.91</v>
      </c>
      <c r="M48" s="35">
        <f>RATE!$F$5</f>
        <v>1.91</v>
      </c>
      <c r="N48" s="35">
        <f>RATE!$F$5</f>
        <v>1.91</v>
      </c>
      <c r="O48" s="35">
        <f>RATE!$F$5</f>
        <v>1.91</v>
      </c>
    </row>
    <row r="49" spans="1:15">
      <c r="A49" s="1" t="s">
        <v>14</v>
      </c>
      <c r="B49" s="1" t="s">
        <v>3</v>
      </c>
      <c r="C49" s="1" t="s">
        <v>16781</v>
      </c>
      <c r="D49" s="3" t="s">
        <v>16782</v>
      </c>
      <c r="E49" s="35">
        <f>RATE!$F$4</f>
        <v>0.71</v>
      </c>
      <c r="F49" s="35">
        <f>RATE!$F$4</f>
        <v>0.71</v>
      </c>
      <c r="G49" s="35">
        <f>RATE!$F$4</f>
        <v>0.71</v>
      </c>
      <c r="H49" s="35">
        <f>RATE!$F$4</f>
        <v>0.71</v>
      </c>
      <c r="I49" s="35">
        <f>RATE!$F$4</f>
        <v>0.71</v>
      </c>
      <c r="J49" s="35">
        <f>RATE!$F$4</f>
        <v>0.71</v>
      </c>
      <c r="K49" s="35">
        <f>RATE!$F$4</f>
        <v>0.71</v>
      </c>
      <c r="L49" s="35">
        <f>RATE!$F$4</f>
        <v>0.71</v>
      </c>
      <c r="M49" s="35">
        <f>RATE!$F$4</f>
        <v>0.71</v>
      </c>
      <c r="N49" s="35">
        <f>RATE!$F$4</f>
        <v>0.71</v>
      </c>
      <c r="O49" s="35">
        <f>RATE!$F$4</f>
        <v>0.71</v>
      </c>
    </row>
    <row r="50" spans="1:15">
      <c r="A50" s="1" t="s">
        <v>14</v>
      </c>
      <c r="B50" s="1" t="s">
        <v>2</v>
      </c>
      <c r="C50" s="1" t="s">
        <v>16783</v>
      </c>
      <c r="D50" s="3" t="s">
        <v>16784</v>
      </c>
      <c r="E50" s="31">
        <v>4</v>
      </c>
      <c r="F50" s="31">
        <v>7</v>
      </c>
      <c r="G50" s="31">
        <v>62</v>
      </c>
      <c r="H50" s="31">
        <v>283</v>
      </c>
      <c r="I50" s="31">
        <v>283</v>
      </c>
      <c r="J50" s="32">
        <f>INT(I50*(1+J$49/100))</f>
        <v>285</v>
      </c>
      <c r="K50" s="32">
        <f t="shared" ref="K50:O50" si="23">INT(J50*(1+K$49/100))</f>
        <v>287</v>
      </c>
      <c r="L50" s="32">
        <f t="shared" si="23"/>
        <v>289</v>
      </c>
      <c r="M50" s="32">
        <f t="shared" si="23"/>
        <v>291</v>
      </c>
      <c r="N50" s="32">
        <f t="shared" si="23"/>
        <v>293</v>
      </c>
      <c r="O50" s="32">
        <f t="shared" si="23"/>
        <v>295</v>
      </c>
    </row>
    <row r="51" spans="1:15">
      <c r="A51" s="1" t="s">
        <v>14</v>
      </c>
      <c r="B51" s="1" t="s">
        <v>2</v>
      </c>
      <c r="C51" s="1" t="s">
        <v>16785</v>
      </c>
      <c r="D51" s="3" t="s">
        <v>16786</v>
      </c>
      <c r="E51" s="31">
        <v>15</v>
      </c>
      <c r="F51" s="31">
        <v>12</v>
      </c>
      <c r="G51" s="31">
        <v>10</v>
      </c>
      <c r="H51" s="31">
        <v>11</v>
      </c>
      <c r="I51" s="31">
        <v>11</v>
      </c>
      <c r="J51" s="32">
        <f>INT(I51*(1+J$48/100))</f>
        <v>11</v>
      </c>
      <c r="K51" s="32">
        <f>INT(J51*(1+K$48/100))</f>
        <v>11</v>
      </c>
      <c r="L51" s="32">
        <f t="shared" ref="L51:O51" si="24">INT(K51*(1+L$48/100))</f>
        <v>11</v>
      </c>
      <c r="M51" s="32">
        <f t="shared" si="24"/>
        <v>11</v>
      </c>
      <c r="N51" s="32">
        <f t="shared" si="24"/>
        <v>11</v>
      </c>
      <c r="O51" s="32">
        <f t="shared" si="24"/>
        <v>11</v>
      </c>
    </row>
    <row r="52" spans="1:15">
      <c r="A52" s="1" t="s">
        <v>14</v>
      </c>
      <c r="B52" s="1" t="s">
        <v>2</v>
      </c>
      <c r="C52" s="1" t="s">
        <v>16787</v>
      </c>
      <c r="D52" s="3" t="s">
        <v>16788</v>
      </c>
      <c r="E52" s="31">
        <v>1</v>
      </c>
      <c r="F52" s="31">
        <v>14</v>
      </c>
      <c r="G52" s="31">
        <v>14</v>
      </c>
      <c r="H52" s="31">
        <v>26</v>
      </c>
      <c r="I52" s="31">
        <v>26</v>
      </c>
      <c r="J52" s="32">
        <f>INT(I52*(1+J$48/100))</f>
        <v>26</v>
      </c>
      <c r="K52" s="32">
        <f t="shared" ref="K52:O52" si="25">INT(J52*(1+K$48/100))</f>
        <v>26</v>
      </c>
      <c r="L52" s="32">
        <f t="shared" si="25"/>
        <v>26</v>
      </c>
      <c r="M52" s="32">
        <f t="shared" si="25"/>
        <v>26</v>
      </c>
      <c r="N52" s="32">
        <f t="shared" si="25"/>
        <v>26</v>
      </c>
      <c r="O52" s="32">
        <f t="shared" si="25"/>
        <v>26</v>
      </c>
    </row>
    <row r="53" spans="1:15">
      <c r="A53" s="1" t="s">
        <v>14</v>
      </c>
      <c r="B53" s="1" t="s">
        <v>2</v>
      </c>
      <c r="C53" s="1" t="s">
        <v>16789</v>
      </c>
      <c r="D53" s="3" t="s">
        <v>16790</v>
      </c>
      <c r="E53" s="31">
        <v>52</v>
      </c>
      <c r="F53" s="31">
        <v>134</v>
      </c>
      <c r="G53" s="31">
        <v>102</v>
      </c>
      <c r="H53" s="31">
        <v>145</v>
      </c>
      <c r="I53" s="31">
        <v>145</v>
      </c>
      <c r="J53" s="32">
        <f t="shared" ref="J53:O62" si="26">INT(I53*(1+J$48/100))</f>
        <v>147</v>
      </c>
      <c r="K53" s="32">
        <f t="shared" si="26"/>
        <v>149</v>
      </c>
      <c r="L53" s="32">
        <f t="shared" si="26"/>
        <v>151</v>
      </c>
      <c r="M53" s="32">
        <f t="shared" si="26"/>
        <v>153</v>
      </c>
      <c r="N53" s="32">
        <f t="shared" si="26"/>
        <v>155</v>
      </c>
      <c r="O53" s="32">
        <f t="shared" si="26"/>
        <v>157</v>
      </c>
    </row>
    <row r="54" spans="1:15">
      <c r="A54" s="1" t="s">
        <v>14</v>
      </c>
      <c r="B54" s="1" t="s">
        <v>2</v>
      </c>
      <c r="C54" s="1" t="s">
        <v>16791</v>
      </c>
      <c r="D54" s="3" t="s">
        <v>16792</v>
      </c>
      <c r="E54" s="31">
        <v>2</v>
      </c>
      <c r="F54" s="31">
        <v>0</v>
      </c>
      <c r="G54" s="31">
        <v>3</v>
      </c>
      <c r="H54" s="31">
        <v>4</v>
      </c>
      <c r="I54" s="31">
        <v>4</v>
      </c>
      <c r="J54" s="32">
        <f t="shared" si="26"/>
        <v>4</v>
      </c>
      <c r="K54" s="32">
        <f t="shared" si="26"/>
        <v>4</v>
      </c>
      <c r="L54" s="32">
        <f t="shared" si="26"/>
        <v>4</v>
      </c>
      <c r="M54" s="32">
        <f t="shared" si="26"/>
        <v>4</v>
      </c>
      <c r="N54" s="32">
        <f t="shared" si="26"/>
        <v>4</v>
      </c>
      <c r="O54" s="32">
        <f t="shared" si="26"/>
        <v>4</v>
      </c>
    </row>
    <row r="55" spans="1:15">
      <c r="A55" s="1" t="s">
        <v>14</v>
      </c>
      <c r="B55" s="1" t="s">
        <v>2</v>
      </c>
      <c r="C55" s="1" t="s">
        <v>16793</v>
      </c>
      <c r="D55" s="3" t="s">
        <v>16794</v>
      </c>
      <c r="E55" s="31">
        <v>50</v>
      </c>
      <c r="F55" s="31">
        <v>46</v>
      </c>
      <c r="G55" s="31">
        <v>39</v>
      </c>
      <c r="H55" s="31">
        <v>109</v>
      </c>
      <c r="I55" s="31">
        <v>109</v>
      </c>
      <c r="J55" s="32">
        <f t="shared" si="26"/>
        <v>111</v>
      </c>
      <c r="K55" s="32">
        <f t="shared" si="26"/>
        <v>113</v>
      </c>
      <c r="L55" s="32">
        <f t="shared" si="26"/>
        <v>115</v>
      </c>
      <c r="M55" s="32">
        <f t="shared" si="26"/>
        <v>117</v>
      </c>
      <c r="N55" s="32">
        <f t="shared" si="26"/>
        <v>119</v>
      </c>
      <c r="O55" s="32">
        <f t="shared" si="26"/>
        <v>121</v>
      </c>
    </row>
    <row r="56" spans="1:15">
      <c r="A56" s="1" t="s">
        <v>14</v>
      </c>
      <c r="B56" s="1" t="s">
        <v>2</v>
      </c>
      <c r="C56" s="1" t="s">
        <v>16795</v>
      </c>
      <c r="D56" s="3" t="s">
        <v>16796</v>
      </c>
      <c r="E56" s="31"/>
      <c r="F56" s="31"/>
      <c r="G56" s="31"/>
      <c r="H56" s="31"/>
      <c r="I56" s="31"/>
      <c r="J56" s="32">
        <f t="shared" si="26"/>
        <v>0</v>
      </c>
      <c r="K56" s="32">
        <f t="shared" si="26"/>
        <v>0</v>
      </c>
      <c r="L56" s="32">
        <f t="shared" si="26"/>
        <v>0</v>
      </c>
      <c r="M56" s="32">
        <f t="shared" si="26"/>
        <v>0</v>
      </c>
      <c r="N56" s="32">
        <f t="shared" si="26"/>
        <v>0</v>
      </c>
      <c r="O56" s="32">
        <f t="shared" si="26"/>
        <v>0</v>
      </c>
    </row>
    <row r="57" spans="1:15">
      <c r="A57" s="1" t="s">
        <v>14</v>
      </c>
      <c r="B57" s="1" t="s">
        <v>2</v>
      </c>
      <c r="C57" s="1" t="s">
        <v>16797</v>
      </c>
      <c r="D57" s="3" t="s">
        <v>16798</v>
      </c>
      <c r="E57" s="31">
        <v>105</v>
      </c>
      <c r="F57" s="31">
        <v>143</v>
      </c>
      <c r="G57" s="31">
        <v>170</v>
      </c>
      <c r="H57" s="31">
        <v>73</v>
      </c>
      <c r="I57" s="31">
        <v>73</v>
      </c>
      <c r="J57" s="32">
        <f t="shared" si="26"/>
        <v>74</v>
      </c>
      <c r="K57" s="32">
        <f t="shared" si="26"/>
        <v>75</v>
      </c>
      <c r="L57" s="32">
        <f t="shared" si="26"/>
        <v>76</v>
      </c>
      <c r="M57" s="32">
        <f t="shared" si="26"/>
        <v>77</v>
      </c>
      <c r="N57" s="32">
        <f t="shared" si="26"/>
        <v>78</v>
      </c>
      <c r="O57" s="32">
        <f t="shared" si="26"/>
        <v>79</v>
      </c>
    </row>
    <row r="58" spans="1:15">
      <c r="A58" s="1" t="s">
        <v>14</v>
      </c>
      <c r="B58" s="1" t="s">
        <v>2</v>
      </c>
      <c r="C58" s="1" t="s">
        <v>16799</v>
      </c>
      <c r="D58" s="3" t="s">
        <v>16800</v>
      </c>
      <c r="E58" s="31">
        <v>66</v>
      </c>
      <c r="F58" s="31">
        <v>50</v>
      </c>
      <c r="G58" s="31">
        <v>16</v>
      </c>
      <c r="H58" s="31">
        <v>29</v>
      </c>
      <c r="I58" s="31">
        <v>29</v>
      </c>
      <c r="J58" s="32">
        <f t="shared" si="26"/>
        <v>29</v>
      </c>
      <c r="K58" s="32">
        <f t="shared" si="26"/>
        <v>29</v>
      </c>
      <c r="L58" s="32">
        <f t="shared" si="26"/>
        <v>29</v>
      </c>
      <c r="M58" s="32">
        <f t="shared" si="26"/>
        <v>29</v>
      </c>
      <c r="N58" s="32">
        <f t="shared" si="26"/>
        <v>29</v>
      </c>
      <c r="O58" s="32">
        <f t="shared" si="26"/>
        <v>29</v>
      </c>
    </row>
    <row r="59" spans="1:15">
      <c r="A59" s="1" t="s">
        <v>14</v>
      </c>
      <c r="B59" s="1" t="s">
        <v>2</v>
      </c>
      <c r="C59" s="1" t="s">
        <v>16801</v>
      </c>
      <c r="D59" s="3" t="s">
        <v>16802</v>
      </c>
      <c r="E59" s="31"/>
      <c r="F59" s="31"/>
      <c r="G59" s="31"/>
      <c r="H59" s="31"/>
      <c r="I59" s="31"/>
      <c r="J59" s="32">
        <f t="shared" si="26"/>
        <v>0</v>
      </c>
      <c r="K59" s="32">
        <f t="shared" si="26"/>
        <v>0</v>
      </c>
      <c r="L59" s="32">
        <f t="shared" si="26"/>
        <v>0</v>
      </c>
      <c r="M59" s="32">
        <f t="shared" si="26"/>
        <v>0</v>
      </c>
      <c r="N59" s="32">
        <f t="shared" si="26"/>
        <v>0</v>
      </c>
      <c r="O59" s="32">
        <f t="shared" si="26"/>
        <v>0</v>
      </c>
    </row>
    <row r="60" spans="1:15">
      <c r="A60" s="1" t="s">
        <v>14</v>
      </c>
      <c r="B60" s="1" t="s">
        <v>2</v>
      </c>
      <c r="C60" s="1" t="s">
        <v>16803</v>
      </c>
      <c r="D60" s="3" t="s">
        <v>16804</v>
      </c>
      <c r="E60" s="31">
        <v>0</v>
      </c>
      <c r="F60" s="31">
        <v>0</v>
      </c>
      <c r="G60" s="31"/>
      <c r="H60" s="31">
        <v>10</v>
      </c>
      <c r="I60" s="31">
        <v>10</v>
      </c>
      <c r="J60" s="32">
        <f t="shared" si="26"/>
        <v>10</v>
      </c>
      <c r="K60" s="32">
        <f t="shared" si="26"/>
        <v>10</v>
      </c>
      <c r="L60" s="32">
        <f t="shared" si="26"/>
        <v>10</v>
      </c>
      <c r="M60" s="32">
        <f t="shared" si="26"/>
        <v>10</v>
      </c>
      <c r="N60" s="32">
        <f t="shared" si="26"/>
        <v>10</v>
      </c>
      <c r="O60" s="32">
        <f t="shared" si="26"/>
        <v>10</v>
      </c>
    </row>
    <row r="61" spans="1:15">
      <c r="A61" s="1" t="s">
        <v>14</v>
      </c>
      <c r="B61" s="1" t="s">
        <v>2</v>
      </c>
      <c r="C61" s="1" t="s">
        <v>16805</v>
      </c>
      <c r="D61" s="3" t="s">
        <v>16806</v>
      </c>
      <c r="E61" s="31"/>
      <c r="F61" s="31"/>
      <c r="G61" s="31"/>
      <c r="H61" s="31"/>
      <c r="I61" s="31"/>
      <c r="J61" s="32">
        <f t="shared" si="26"/>
        <v>0</v>
      </c>
      <c r="K61" s="32">
        <f t="shared" si="26"/>
        <v>0</v>
      </c>
      <c r="L61" s="32">
        <f t="shared" si="26"/>
        <v>0</v>
      </c>
      <c r="M61" s="32">
        <f t="shared" si="26"/>
        <v>0</v>
      </c>
      <c r="N61" s="32">
        <f t="shared" si="26"/>
        <v>0</v>
      </c>
      <c r="O61" s="32">
        <f t="shared" si="26"/>
        <v>0</v>
      </c>
    </row>
    <row r="62" spans="1:15">
      <c r="A62" s="1" t="s">
        <v>14</v>
      </c>
      <c r="B62" s="1" t="s">
        <v>2</v>
      </c>
      <c r="C62" s="1" t="s">
        <v>16807</v>
      </c>
      <c r="D62" s="3" t="s">
        <v>16808</v>
      </c>
      <c r="E62" s="31"/>
      <c r="F62" s="31"/>
      <c r="G62" s="31"/>
      <c r="H62" s="31"/>
      <c r="I62" s="31"/>
      <c r="J62" s="32">
        <f t="shared" si="26"/>
        <v>0</v>
      </c>
      <c r="K62" s="32">
        <f t="shared" si="26"/>
        <v>0</v>
      </c>
      <c r="L62" s="32">
        <f t="shared" si="26"/>
        <v>0</v>
      </c>
      <c r="M62" s="32">
        <f t="shared" si="26"/>
        <v>0</v>
      </c>
      <c r="N62" s="32">
        <f t="shared" si="26"/>
        <v>0</v>
      </c>
      <c r="O62" s="32">
        <f t="shared" si="26"/>
        <v>0</v>
      </c>
    </row>
    <row r="63" spans="1:15">
      <c r="A63" s="1" t="s">
        <v>4</v>
      </c>
      <c r="B63" s="1" t="s">
        <v>2</v>
      </c>
      <c r="C63" s="1" t="s">
        <v>16809</v>
      </c>
      <c r="D63" s="8" t="s">
        <v>16810</v>
      </c>
      <c r="E63" s="30">
        <f>SUM(E50:E62)</f>
        <v>295</v>
      </c>
      <c r="F63" s="30">
        <f>SUM(F50:F62)</f>
        <v>406</v>
      </c>
      <c r="G63" s="30">
        <f t="shared" ref="G63:I63" si="27">SUM(G50:G62)</f>
        <v>416</v>
      </c>
      <c r="H63" s="30">
        <f t="shared" si="27"/>
        <v>690</v>
      </c>
      <c r="I63" s="30">
        <f t="shared" si="27"/>
        <v>690</v>
      </c>
      <c r="J63" s="30">
        <f>SUM(J50:J62)</f>
        <v>697</v>
      </c>
      <c r="K63" s="30">
        <f t="shared" ref="K63" si="28">SUM(K50:K62)</f>
        <v>704</v>
      </c>
      <c r="L63" s="30">
        <f t="shared" ref="L63" si="29">SUM(L50:L62)</f>
        <v>711</v>
      </c>
      <c r="M63" s="30">
        <f t="shared" ref="M63" si="30">SUM(M50:M62)</f>
        <v>718</v>
      </c>
      <c r="N63" s="30">
        <f>SUM(N50:N62)</f>
        <v>725</v>
      </c>
      <c r="O63" s="30">
        <f>SUM(O50:O62)</f>
        <v>732</v>
      </c>
    </row>
    <row r="64" spans="1:15">
      <c r="A64" s="1" t="s">
        <v>4</v>
      </c>
      <c r="B64" s="1" t="s">
        <v>2</v>
      </c>
      <c r="C64" s="1" t="s">
        <v>16811</v>
      </c>
      <c r="D64" s="8" t="s">
        <v>16812</v>
      </c>
      <c r="E64" s="36">
        <f>감가상각추정!E9</f>
        <v>94</v>
      </c>
      <c r="F64" s="36">
        <f>감가상각추정!F9</f>
        <v>134</v>
      </c>
      <c r="G64" s="36">
        <f>감가상각추정!G9</f>
        <v>161</v>
      </c>
      <c r="H64" s="36">
        <f>감가상각추정!H9</f>
        <v>228</v>
      </c>
      <c r="I64" s="36">
        <f>감가상각추정!I9</f>
        <v>228</v>
      </c>
      <c r="J64" s="36">
        <f>감가상각추정!J9</f>
        <v>255</v>
      </c>
      <c r="K64" s="36">
        <f>감가상각추정!K9</f>
        <v>318</v>
      </c>
      <c r="L64" s="36">
        <f>감가상각추정!L9</f>
        <v>395</v>
      </c>
      <c r="M64" s="36">
        <f>감가상각추정!M9</f>
        <v>491</v>
      </c>
      <c r="N64" s="36">
        <f>감가상각추정!N9</f>
        <v>610</v>
      </c>
      <c r="O64" s="36">
        <f>감가상각추정!O9</f>
        <v>759</v>
      </c>
    </row>
    <row r="65" spans="1:20">
      <c r="A65" s="1" t="s">
        <v>14</v>
      </c>
      <c r="B65" s="1" t="s">
        <v>2</v>
      </c>
      <c r="C65" s="1" t="s">
        <v>16813</v>
      </c>
      <c r="D65" s="8" t="s">
        <v>16814</v>
      </c>
      <c r="E65" s="36">
        <f>감가상각추정!E15</f>
        <v>0</v>
      </c>
      <c r="F65" s="36">
        <f>감가상각추정!F15</f>
        <v>0</v>
      </c>
      <c r="G65" s="36">
        <f>감가상각추정!G15</f>
        <v>0</v>
      </c>
      <c r="H65" s="36">
        <f>감가상각추정!H15</f>
        <v>28</v>
      </c>
      <c r="I65" s="36">
        <f>감가상각추정!I15</f>
        <v>28</v>
      </c>
      <c r="J65" s="36">
        <f>감가상각추정!J15</f>
        <v>13</v>
      </c>
      <c r="K65" s="36">
        <f>감가상각추정!K15</f>
        <v>15</v>
      </c>
      <c r="L65" s="36">
        <f>감가상각추정!L15</f>
        <v>18</v>
      </c>
      <c r="M65" s="36">
        <f>감가상각추정!M15</f>
        <v>22</v>
      </c>
      <c r="N65" s="36">
        <f>감가상각추정!N15</f>
        <v>26</v>
      </c>
      <c r="O65" s="36">
        <f>감가상각추정!O15</f>
        <v>30</v>
      </c>
    </row>
    <row r="66" spans="1:20">
      <c r="A66" s="1" t="s">
        <v>4</v>
      </c>
      <c r="B66" s="1" t="s">
        <v>2</v>
      </c>
      <c r="C66" s="1" t="s">
        <v>16815</v>
      </c>
      <c r="D66" s="8" t="s">
        <v>16816</v>
      </c>
      <c r="E66" s="31"/>
      <c r="F66" s="31"/>
      <c r="G66" s="31"/>
      <c r="H66" s="31"/>
      <c r="I66" s="31"/>
      <c r="J66" s="143">
        <f>IS추정!J24</f>
        <v>0</v>
      </c>
      <c r="K66" s="143">
        <f>IS추정!K24</f>
        <v>0</v>
      </c>
      <c r="L66" s="143">
        <f>IS추정!L24</f>
        <v>0</v>
      </c>
      <c r="M66" s="143">
        <f>IS추정!M24</f>
        <v>0</v>
      </c>
      <c r="N66" s="143">
        <f>IS추정!N24</f>
        <v>0</v>
      </c>
      <c r="O66" s="143">
        <f>IS추정!O24</f>
        <v>0</v>
      </c>
    </row>
    <row r="67" spans="1:20">
      <c r="A67" s="1" t="s">
        <v>4</v>
      </c>
      <c r="B67" s="1" t="s">
        <v>2</v>
      </c>
      <c r="C67" s="1" t="s">
        <v>16817</v>
      </c>
      <c r="D67" s="8" t="s">
        <v>16818</v>
      </c>
      <c r="E67" s="30">
        <f>E29+E41+E47+E63+E64+E65+E66</f>
        <v>4824</v>
      </c>
      <c r="F67" s="30">
        <f>F29+F41+F47+F63+F64+F65+F66</f>
        <v>4519</v>
      </c>
      <c r="G67" s="30">
        <f t="shared" ref="G67:I67" si="31">G29+G41+G47+G63+G64+G65+G66</f>
        <v>6202</v>
      </c>
      <c r="H67" s="30">
        <f t="shared" si="31"/>
        <v>10378</v>
      </c>
      <c r="I67" s="30">
        <f t="shared" si="31"/>
        <v>10378</v>
      </c>
      <c r="J67" s="89">
        <f>J29+J41+J47+J63+J64+J65+J66</f>
        <v>9722</v>
      </c>
      <c r="K67" s="89">
        <f t="shared" ref="K67:O67" si="32">K29+K41+K47+K63+K64+K65+K66</f>
        <v>10058</v>
      </c>
      <c r="L67" s="89">
        <f t="shared" si="32"/>
        <v>10405</v>
      </c>
      <c r="M67" s="89">
        <f t="shared" si="32"/>
        <v>10774</v>
      </c>
      <c r="N67" s="89">
        <f t="shared" si="32"/>
        <v>11169</v>
      </c>
      <c r="O67" s="89">
        <f t="shared" si="32"/>
        <v>11597</v>
      </c>
    </row>
    <row r="68" spans="1:20">
      <c r="A68" s="2" t="s">
        <v>14</v>
      </c>
      <c r="B68" s="2" t="s">
        <v>13</v>
      </c>
      <c r="C68" s="1" t="s">
        <v>16819</v>
      </c>
      <c r="D68" s="2" t="s">
        <v>16820</v>
      </c>
      <c r="E68" s="33">
        <f>IS추정!E17</f>
        <v>4824</v>
      </c>
      <c r="F68" s="33">
        <f>IS추정!F17</f>
        <v>4518</v>
      </c>
      <c r="G68" s="33">
        <f>IS추정!G17</f>
        <v>6201</v>
      </c>
      <c r="H68" s="33">
        <f>IS추정!H17</f>
        <v>10378</v>
      </c>
      <c r="O68" s="86"/>
    </row>
    <row r="69" spans="1:20">
      <c r="A69" s="2" t="s">
        <v>108</v>
      </c>
      <c r="B69" s="2" t="s">
        <v>13</v>
      </c>
      <c r="C69" s="1" t="s">
        <v>16821</v>
      </c>
      <c r="D69" s="2" t="s">
        <v>16822</v>
      </c>
      <c r="E69" s="45">
        <f>E67-E68</f>
        <v>0</v>
      </c>
      <c r="F69" s="45">
        <f>F67-F68</f>
        <v>1</v>
      </c>
      <c r="G69" s="45">
        <f>G67-G68</f>
        <v>1</v>
      </c>
      <c r="H69" s="45">
        <f>H67-H68</f>
        <v>0</v>
      </c>
      <c r="O69" s="86"/>
    </row>
    <row r="71" spans="1:20">
      <c r="L71" s="56" t="s">
        <v>0</v>
      </c>
    </row>
    <row r="72" spans="1:20" ht="17.25" thickBot="1">
      <c r="L72" s="57">
        <f ca="1">+민감도!B7</f>
        <v>15427948.43692149</v>
      </c>
    </row>
    <row r="73" spans="1:20" ht="17.25" thickBot="1">
      <c r="A73" s="367">
        <f>ROW(C78)-ROW(C73)</f>
        <v>5</v>
      </c>
      <c r="B73" s="1"/>
      <c r="C73" s="1" t="s">
        <v>16823</v>
      </c>
      <c r="D73" s="1" t="s">
        <v>16824</v>
      </c>
      <c r="E73" s="1" t="s">
        <v>16376</v>
      </c>
      <c r="F73" s="1" t="s">
        <v>16378</v>
      </c>
      <c r="G73" s="1" t="s">
        <v>16380</v>
      </c>
      <c r="H73" s="1" t="s">
        <v>16382</v>
      </c>
      <c r="I73" s="1" t="s">
        <v>16674</v>
      </c>
      <c r="J73" s="360" t="s">
        <v>206</v>
      </c>
      <c r="L73" s="116" t="s">
        <v>29</v>
      </c>
      <c r="M73" s="14"/>
      <c r="N73" s="354" t="s">
        <v>30</v>
      </c>
      <c r="O73" s="354" t="s">
        <v>26</v>
      </c>
      <c r="P73" s="354" t="s">
        <v>27</v>
      </c>
      <c r="Q73" s="354" t="s">
        <v>211</v>
      </c>
      <c r="R73" s="354" t="s">
        <v>31</v>
      </c>
      <c r="S73" s="363" t="s">
        <v>210</v>
      </c>
      <c r="T73" s="354" t="s">
        <v>28</v>
      </c>
    </row>
    <row r="74" spans="1:20">
      <c r="A74" s="1" t="s">
        <v>14</v>
      </c>
      <c r="B74" s="1" t="s">
        <v>3</v>
      </c>
      <c r="C74" s="1" t="s">
        <v>16825</v>
      </c>
      <c r="D74" s="2" t="s">
        <v>16826</v>
      </c>
      <c r="E74" s="28">
        <f>E3/E2*100</f>
        <v>46.288659793814432</v>
      </c>
      <c r="F74" s="28">
        <f>F3/F2*100</f>
        <v>53.090234857849197</v>
      </c>
      <c r="G74" s="28">
        <f t="shared" ref="G74:H74" si="33">G3/G2*100</f>
        <v>60.969361079159256</v>
      </c>
      <c r="H74" s="28">
        <f t="shared" si="33"/>
        <v>62.350534091512998</v>
      </c>
      <c r="I74" s="28">
        <f>(F74+G74*2+H74*3)/6</f>
        <v>60.346759881784443</v>
      </c>
      <c r="J74" s="356">
        <f>HLOOKUP($J$73,$N$73:$T$78,$M74,0)</f>
        <v>60.346759881784443</v>
      </c>
      <c r="K74" s="92">
        <f>(E74+F74*2+G74*3)/6</f>
        <v>55.896202124498437</v>
      </c>
      <c r="L74" s="159"/>
      <c r="M74" s="359">
        <v>2</v>
      </c>
      <c r="N74" s="353">
        <f>AVERAGE(E74:H74)</f>
        <v>55.674697455583967</v>
      </c>
      <c r="O74" s="353">
        <f>AVERAGE(F74:H74)</f>
        <v>58.803376676173819</v>
      </c>
      <c r="P74" s="353">
        <f>AVERAGE(G74:H74)</f>
        <v>61.659947585336127</v>
      </c>
      <c r="Q74" s="353">
        <f>AVERAGE(E74:G74)</f>
        <v>53.449418576940957</v>
      </c>
      <c r="R74" s="353">
        <f>(4*H74+3*G74+2*F74+E74)/10</f>
        <v>58.477934911304246</v>
      </c>
      <c r="S74" s="353">
        <f>(F74+G74*2+H74*3)/6</f>
        <v>60.346759881784443</v>
      </c>
      <c r="T74" s="364">
        <f>(2*H74+G74)/3</f>
        <v>61.890143087395082</v>
      </c>
    </row>
    <row r="75" spans="1:20">
      <c r="A75" s="1" t="s">
        <v>14</v>
      </c>
      <c r="B75" s="1" t="s">
        <v>3</v>
      </c>
      <c r="C75" s="1" t="s">
        <v>16827</v>
      </c>
      <c r="D75" s="2" t="s">
        <v>16828</v>
      </c>
      <c r="E75" s="28">
        <f>E29/E2*100</f>
        <v>17.038425492033742</v>
      </c>
      <c r="F75" s="28">
        <f>F29/F2*100</f>
        <v>13.213844252163165</v>
      </c>
      <c r="G75" s="28">
        <f t="shared" ref="G75:H75" si="34">G29/G2*100</f>
        <v>11.301369863013697</v>
      </c>
      <c r="H75" s="28">
        <f t="shared" si="34"/>
        <v>17.911994473082853</v>
      </c>
      <c r="I75" s="28">
        <f t="shared" ref="I75:I78" si="35">(F75+G75*2+H75*3)/6</f>
        <v>14.925427899573185</v>
      </c>
      <c r="J75" s="357">
        <f t="shared" ref="J75:J78" si="36">HLOOKUP($J$73,$N$73:$T$78,$M75,0)</f>
        <v>14.925427899573185</v>
      </c>
      <c r="K75" s="92">
        <f t="shared" ref="K75:K78" si="37">(E75+F75*2+G75*3)/6</f>
        <v>12.895037264233528</v>
      </c>
      <c r="L75" s="159"/>
      <c r="M75" s="359">
        <v>3</v>
      </c>
      <c r="N75" s="353">
        <f>AVERAGE(E75:H75)</f>
        <v>14.866408520073364</v>
      </c>
      <c r="O75" s="353">
        <f>AVERAGE(F75:H75)</f>
        <v>14.142402862753238</v>
      </c>
      <c r="P75" s="353">
        <f>AVERAGE(G75:H75)</f>
        <v>14.606682168048275</v>
      </c>
      <c r="Q75" s="353">
        <f>AVERAGE(E75:G75)</f>
        <v>13.851213202403535</v>
      </c>
      <c r="R75" s="353">
        <f>(4*H75+3*G75+2*F75+E75)/10</f>
        <v>14.901820147773259</v>
      </c>
      <c r="S75" s="353">
        <f t="shared" ref="S75:S78" si="38">(F75+G75*2+H75*3)/6</f>
        <v>14.925427899573185</v>
      </c>
      <c r="T75" s="364">
        <f>(2*H75+G75)/3</f>
        <v>15.708452936393135</v>
      </c>
    </row>
    <row r="76" spans="1:20">
      <c r="A76" s="1" t="s">
        <v>14</v>
      </c>
      <c r="B76" s="1" t="s">
        <v>3</v>
      </c>
      <c r="C76" s="1" t="s">
        <v>16829</v>
      </c>
      <c r="D76" s="2" t="s">
        <v>16830</v>
      </c>
      <c r="E76" s="28">
        <f>E40/E37*100</f>
        <v>23.880597014925371</v>
      </c>
      <c r="F76" s="28">
        <f>F40/F37*100</f>
        <v>-4.7692307692307692</v>
      </c>
      <c r="G76" s="28">
        <f t="shared" ref="G76:H76" si="39">G40/G37*100</f>
        <v>26.543209876543212</v>
      </c>
      <c r="H76" s="28">
        <f t="shared" si="39"/>
        <v>15.961995249406174</v>
      </c>
      <c r="I76" s="28">
        <f t="shared" si="35"/>
        <v>16.033862455345698</v>
      </c>
      <c r="J76" s="357">
        <f t="shared" si="36"/>
        <v>16.033862455345698</v>
      </c>
      <c r="K76" s="92">
        <f t="shared" si="37"/>
        <v>15.661960851015579</v>
      </c>
      <c r="L76" s="159"/>
      <c r="M76" s="359">
        <v>4</v>
      </c>
      <c r="N76" s="353">
        <f>AVERAGE(E76:H76)</f>
        <v>15.404142842910996</v>
      </c>
      <c r="O76" s="353">
        <f>AVERAGE(F76:H76)</f>
        <v>12.578658118906205</v>
      </c>
      <c r="P76" s="353">
        <f>AVERAGE(G76:H76)</f>
        <v>21.252602562974694</v>
      </c>
      <c r="Q76" s="353">
        <f>AVERAGE(E76:G76)</f>
        <v>15.218192040745938</v>
      </c>
      <c r="R76" s="353">
        <f>(4*H76+3*G76+2*F76+E76)/10</f>
        <v>15.781974610371815</v>
      </c>
      <c r="S76" s="353">
        <f t="shared" si="38"/>
        <v>16.033862455345698</v>
      </c>
      <c r="T76" s="364">
        <f>(2*H76+G76)/3</f>
        <v>19.489066791785188</v>
      </c>
    </row>
    <row r="77" spans="1:20">
      <c r="A77" s="1" t="s">
        <v>14</v>
      </c>
      <c r="B77" s="1" t="s">
        <v>3</v>
      </c>
      <c r="C77" s="1" t="s">
        <v>16831</v>
      </c>
      <c r="D77" s="2" t="s">
        <v>16832</v>
      </c>
      <c r="E77" s="28">
        <f>E47/E41*100</f>
        <v>20.331325301204821</v>
      </c>
      <c r="F77" s="28">
        <f>F47/F41*100</f>
        <v>24.717285945072696</v>
      </c>
      <c r="G77" s="28">
        <f t="shared" ref="G77:H77" si="40">G47/G41*100</f>
        <v>27.024390243902442</v>
      </c>
      <c r="H77" s="28">
        <f t="shared" si="40"/>
        <v>10.24170421958214</v>
      </c>
      <c r="I77" s="28">
        <f t="shared" si="35"/>
        <v>18.248529848603997</v>
      </c>
      <c r="J77" s="357">
        <f t="shared" si="36"/>
        <v>18.248529848603997</v>
      </c>
      <c r="K77" s="92">
        <f t="shared" si="37"/>
        <v>25.139844653842925</v>
      </c>
      <c r="L77" s="159"/>
      <c r="M77" s="359">
        <v>5</v>
      </c>
      <c r="N77" s="353">
        <f>AVERAGE(E77:H77)</f>
        <v>20.578676427440527</v>
      </c>
      <c r="O77" s="353">
        <f>AVERAGE(F77:H77)</f>
        <v>20.661126802852426</v>
      </c>
      <c r="P77" s="353">
        <f>AVERAGE(G77:H77)</f>
        <v>18.633047231742289</v>
      </c>
      <c r="Q77" s="353">
        <f>AVERAGE(E77:G77)</f>
        <v>24.024333830059987</v>
      </c>
      <c r="R77" s="353">
        <f>(4*H77+3*G77+2*F77+E77)/10</f>
        <v>19.18058848013861</v>
      </c>
      <c r="S77" s="353">
        <f t="shared" si="38"/>
        <v>18.248529848603997</v>
      </c>
      <c r="T77" s="364">
        <f>(2*H77+G77)/3</f>
        <v>15.835932894355574</v>
      </c>
    </row>
    <row r="78" spans="1:20" ht="17.25" thickBot="1">
      <c r="A78" s="1" t="s">
        <v>14</v>
      </c>
      <c r="B78" s="1" t="s">
        <v>3</v>
      </c>
      <c r="C78" s="1" t="s">
        <v>16833</v>
      </c>
      <c r="D78" s="2" t="s">
        <v>16834</v>
      </c>
      <c r="E78" s="28">
        <f>IF(E66=0,0,E66/E2*100)</f>
        <v>0</v>
      </c>
      <c r="F78" s="28">
        <f>IF(F66=0,0,F66/F2*100)</f>
        <v>0</v>
      </c>
      <c r="G78" s="28">
        <f>IF(G66=0,0,G66/G2*100)</f>
        <v>0</v>
      </c>
      <c r="H78" s="28">
        <f>IF(H66=0,0,H66/H2*100)</f>
        <v>0</v>
      </c>
      <c r="I78" s="28">
        <f t="shared" si="35"/>
        <v>0</v>
      </c>
      <c r="J78" s="358">
        <f t="shared" si="36"/>
        <v>0</v>
      </c>
      <c r="K78" s="92">
        <f t="shared" si="37"/>
        <v>0</v>
      </c>
      <c r="L78" s="159"/>
      <c r="M78" s="359">
        <v>6</v>
      </c>
      <c r="N78" s="353">
        <f>AVERAGE(E78:H78)</f>
        <v>0</v>
      </c>
      <c r="O78" s="353">
        <f>AVERAGE(F78:H78)</f>
        <v>0</v>
      </c>
      <c r="P78" s="353">
        <f>AVERAGE(G78:H78)</f>
        <v>0</v>
      </c>
      <c r="Q78" s="353">
        <f>AVERAGE(E78:G78)</f>
        <v>0</v>
      </c>
      <c r="R78" s="353">
        <f>(4*H78+3*G78+2*F78+E78)/10</f>
        <v>0</v>
      </c>
      <c r="S78" s="353">
        <f t="shared" si="38"/>
        <v>0</v>
      </c>
      <c r="T78" s="364">
        <f>(2*H78+G78)/3</f>
        <v>0</v>
      </c>
    </row>
    <row r="79" spans="1:20" s="99" customFormat="1">
      <c r="A79" s="1"/>
      <c r="B79" s="1"/>
      <c r="E79" s="245">
        <f>E74+E75</f>
        <v>63.32708528584817</v>
      </c>
      <c r="F79" s="245">
        <f t="shared" ref="F79:S79" si="41">F74+F75</f>
        <v>66.304079110012367</v>
      </c>
      <c r="G79" s="245">
        <f t="shared" si="41"/>
        <v>72.270730942172946</v>
      </c>
      <c r="H79" s="245">
        <f t="shared" si="41"/>
        <v>80.262528564595854</v>
      </c>
      <c r="I79" s="245">
        <f t="shared" si="41"/>
        <v>75.27218778135763</v>
      </c>
      <c r="J79" s="245">
        <f t="shared" si="41"/>
        <v>75.27218778135763</v>
      </c>
      <c r="K79" s="245">
        <f t="shared" si="41"/>
        <v>68.791239388731967</v>
      </c>
      <c r="L79" s="245">
        <f t="shared" si="41"/>
        <v>0</v>
      </c>
      <c r="M79" s="245"/>
      <c r="N79" s="365">
        <f t="shared" si="41"/>
        <v>70.541105975657331</v>
      </c>
      <c r="O79" s="365">
        <f t="shared" si="41"/>
        <v>72.945779538927056</v>
      </c>
      <c r="P79" s="365">
        <f t="shared" si="41"/>
        <v>76.266629753384407</v>
      </c>
      <c r="Q79" s="365">
        <f t="shared" si="41"/>
        <v>67.300631779344485</v>
      </c>
      <c r="R79" s="365">
        <f t="shared" si="41"/>
        <v>73.37975505907751</v>
      </c>
      <c r="S79" s="366">
        <f t="shared" si="41"/>
        <v>75.27218778135763</v>
      </c>
      <c r="T79" s="365">
        <f>T74+T75</f>
        <v>77.598596023788218</v>
      </c>
    </row>
    <row r="81" spans="4:16">
      <c r="D81" s="160"/>
      <c r="E81" s="227" t="str">
        <f>E1</f>
        <v>20201231K</v>
      </c>
      <c r="F81" s="227" t="str">
        <f t="shared" ref="F81:O81" si="42">F1</f>
        <v>20211231K</v>
      </c>
      <c r="G81" s="227" t="str">
        <f t="shared" si="42"/>
        <v>20221231K</v>
      </c>
      <c r="H81" s="227" t="str">
        <f t="shared" si="42"/>
        <v>20231231K</v>
      </c>
      <c r="I81" s="227" t="str">
        <f t="shared" si="42"/>
        <v>20231231Y</v>
      </c>
      <c r="J81" s="227" t="str">
        <f t="shared" si="42"/>
        <v>20241231Z</v>
      </c>
      <c r="K81" s="227" t="str">
        <f t="shared" si="42"/>
        <v>20251231Z</v>
      </c>
      <c r="L81" s="227" t="str">
        <f t="shared" si="42"/>
        <v>20261231Z</v>
      </c>
      <c r="M81" s="227" t="str">
        <f t="shared" si="42"/>
        <v>20271231Z</v>
      </c>
      <c r="N81" s="227" t="str">
        <f t="shared" si="42"/>
        <v>20281231Z</v>
      </c>
      <c r="O81" s="227" t="str">
        <f t="shared" si="42"/>
        <v>20291231Z</v>
      </c>
    </row>
    <row r="82" spans="4:16">
      <c r="D82" s="157" t="s">
        <v>65</v>
      </c>
      <c r="E82" s="228"/>
      <c r="F82" s="228"/>
      <c r="G82" s="228"/>
      <c r="H82" s="229">
        <f>WACC!$E$18</f>
        <v>10780</v>
      </c>
      <c r="I82" s="229">
        <f>WACC!$E$18</f>
        <v>10780</v>
      </c>
      <c r="J82" s="229">
        <f>WACC!$E$18</f>
        <v>10780</v>
      </c>
      <c r="K82" s="229">
        <f>WACC!$E$18</f>
        <v>10780</v>
      </c>
      <c r="L82" s="229">
        <f>WACC!$E$18</f>
        <v>10780</v>
      </c>
      <c r="M82" s="229">
        <f>WACC!$E$18</f>
        <v>10780</v>
      </c>
      <c r="N82" s="229">
        <f>WACC!$E$18</f>
        <v>10780</v>
      </c>
      <c r="O82" s="229">
        <f>WACC!$E$18</f>
        <v>10780</v>
      </c>
    </row>
    <row r="83" spans="4:16">
      <c r="D83" s="157" t="s">
        <v>57</v>
      </c>
      <c r="E83" s="188" t="e">
        <f>IS추정!E36*1000000/E82</f>
        <v>#DIV/0!</v>
      </c>
      <c r="F83" s="188" t="e">
        <f>IS추정!F36*1000000/F82</f>
        <v>#DIV/0!</v>
      </c>
      <c r="G83" s="188" t="e">
        <f>IS추정!G36*1000000/G82</f>
        <v>#DIV/0!</v>
      </c>
      <c r="H83" s="219">
        <f>IS추정!H36*1000000/H82</f>
        <v>211873.84044526902</v>
      </c>
      <c r="I83" s="188">
        <f>IS추정!I36*1000000/I82</f>
        <v>181373.28385899815</v>
      </c>
      <c r="J83" s="188">
        <f>IS추정!J36*1000000/J82</f>
        <v>409134.32282003708</v>
      </c>
      <c r="K83" s="188">
        <f>IS추정!K36*1000000/K82</f>
        <v>410601.85528756958</v>
      </c>
      <c r="L83" s="188">
        <f>IS추정!L36*1000000/L82</f>
        <v>410528.47866419284</v>
      </c>
      <c r="M83" s="188">
        <f>IS추정!M36*1000000/M82</f>
        <v>408400.55658627086</v>
      </c>
      <c r="N83" s="188">
        <f>IS추정!N36*1000000/N82</f>
        <v>404364.8423005566</v>
      </c>
      <c r="O83" s="188">
        <f>IS추정!O36*1000000/O82</f>
        <v>397687.56957328384</v>
      </c>
    </row>
    <row r="84" spans="4:16" s="99" customFormat="1">
      <c r="D84" s="157" t="s">
        <v>64</v>
      </c>
      <c r="E84" s="188" t="e">
        <f>IS추정!E14*1000000/E82</f>
        <v>#DIV/0!</v>
      </c>
      <c r="F84" s="188" t="e">
        <f>IS추정!F14*1000000/F82</f>
        <v>#DIV/0!</v>
      </c>
      <c r="G84" s="188" t="e">
        <f>IS추정!G14*1000000/G82</f>
        <v>#DIV/0!</v>
      </c>
      <c r="H84" s="219">
        <f>IS추정!H14*1000000/H82</f>
        <v>3491094.6196660483</v>
      </c>
      <c r="I84" s="188">
        <f>IS추정!I14*1000000/I82</f>
        <v>3491094.6196660483</v>
      </c>
      <c r="J84" s="188">
        <f>IS추정!J14*1000000/J82</f>
        <v>3572077.9220779222</v>
      </c>
      <c r="K84" s="188">
        <f>IS추정!K14*1000000/K82</f>
        <v>3655473.0983302412</v>
      </c>
      <c r="L84" s="188">
        <f>IS추정!L14*1000000/L82</f>
        <v>3736270.8719851575</v>
      </c>
      <c r="M84" s="188">
        <f>IS추정!M14*1000000/M82</f>
        <v>3815862.7087198514</v>
      </c>
      <c r="N84" s="188">
        <f>IS추정!N14*1000000/N82</f>
        <v>3895361.7810760667</v>
      </c>
      <c r="O84" s="188">
        <f>IS추정!O14*1000000/O82</f>
        <v>3974211.5027829316</v>
      </c>
    </row>
    <row r="85" spans="4:16">
      <c r="D85" s="157" t="s">
        <v>58</v>
      </c>
      <c r="E85" s="188" t="e">
        <f>BS추정!E36*1000000/E82</f>
        <v>#DIV/0!</v>
      </c>
      <c r="F85" s="188" t="e">
        <f>BS추정!F36*1000000/F82</f>
        <v>#DIV/0!</v>
      </c>
      <c r="G85" s="188" t="e">
        <f>BS추정!G36*1000000/G82</f>
        <v>#DIV/0!</v>
      </c>
      <c r="H85" s="188">
        <f>BS추정!H36*1000000/H82</f>
        <v>1358256.0296846011</v>
      </c>
      <c r="I85" s="188">
        <f>BS추정!I36*1000000/I82</f>
        <v>1358256.0296846011</v>
      </c>
      <c r="J85" s="188">
        <f>BS추정!J36*1000000/J82</f>
        <v>1767390.3525046383</v>
      </c>
      <c r="K85" s="188">
        <f>BS추정!K36*1000000/K82</f>
        <v>2177992.2077922076</v>
      </c>
      <c r="L85" s="188">
        <f>BS추정!L36*1000000/L82</f>
        <v>2588520.6864564009</v>
      </c>
      <c r="M85" s="188">
        <f>BS추정!M36*1000000/M82</f>
        <v>2996921.2430426716</v>
      </c>
      <c r="N85" s="188">
        <f>BS추정!N36*1000000/N82</f>
        <v>3401286.0853432282</v>
      </c>
      <c r="O85" s="188">
        <f>BS추정!O36*1000000/O82</f>
        <v>3798973.6549165118</v>
      </c>
    </row>
    <row r="86" spans="4:16">
      <c r="D86" s="157" t="s">
        <v>59</v>
      </c>
      <c r="E86" s="133">
        <f>IS추정!E17/IS추정!E14</f>
        <v>0.2260543580131209</v>
      </c>
      <c r="F86" s="133">
        <f>IS추정!F17/IS추정!F14</f>
        <v>0.18615574783683561</v>
      </c>
      <c r="G86" s="133">
        <f>IS추정!G17/IS추정!G14</f>
        <v>0.16210917076231307</v>
      </c>
      <c r="H86" s="133">
        <f>IS추정!H17/IS추정!H14</f>
        <v>0.2757612796938938</v>
      </c>
      <c r="I86" s="133">
        <f>IS추정!I17/IS추정!I14</f>
        <v>0.2757612796938938</v>
      </c>
      <c r="J86" s="133">
        <f>IS추정!J17/IS추정!J14</f>
        <v>0.25247357623289274</v>
      </c>
      <c r="K86" s="133">
        <f>IS추정!K17/IS추정!K14</f>
        <v>0.25524031873318787</v>
      </c>
      <c r="L86" s="133">
        <f>IS추정!L17/IS추정!L14</f>
        <v>0.2583360230404449</v>
      </c>
      <c r="M86" s="133">
        <f>IS추정!M17/IS추정!M14</f>
        <v>0.26191807463230826</v>
      </c>
      <c r="N86" s="133">
        <f>IS추정!N17/IS추정!N14</f>
        <v>0.26597923413983615</v>
      </c>
      <c r="O86" s="133">
        <f>IS추정!O17/IS추정!O14</f>
        <v>0.27069231128332011</v>
      </c>
    </row>
    <row r="87" spans="4:16">
      <c r="D87" s="157" t="s">
        <v>60</v>
      </c>
      <c r="E87" s="133">
        <f>IS추정!E25/IS추정!E14</f>
        <v>0.31105904404873475</v>
      </c>
      <c r="F87" s="133">
        <f>IS추정!F25/IS추정!F14</f>
        <v>0.28294190358467242</v>
      </c>
      <c r="G87" s="133">
        <f>IS추정!G25/IS추정!G14</f>
        <v>0.22819721844609434</v>
      </c>
      <c r="H87" s="133">
        <f>IS추정!H25/IS추정!H14</f>
        <v>0.10073337939097625</v>
      </c>
      <c r="I87" s="133">
        <f>IS추정!I25/IS추정!I14</f>
        <v>0.10073337939097625</v>
      </c>
      <c r="J87" s="133">
        <f>IS추정!J25/IS추정!J14</f>
        <v>0.14407770015841276</v>
      </c>
      <c r="K87" s="133">
        <f>IS추정!K25/IS추정!K14</f>
        <v>0.14129827944982998</v>
      </c>
      <c r="L87" s="133">
        <f>IS추정!L25/IS추정!L14</f>
        <v>0.13821784144797278</v>
      </c>
      <c r="M87" s="133">
        <f>IS추정!M25/IS추정!M14</f>
        <v>0.13462987723349945</v>
      </c>
      <c r="N87" s="133">
        <f>IS추정!N25/IS추정!N14</f>
        <v>0.13057248999809487</v>
      </c>
      <c r="O87" s="133">
        <f>IS추정!O25/IS추정!O14</f>
        <v>0.1258578030904253</v>
      </c>
    </row>
    <row r="88" spans="4:16">
      <c r="D88" s="157" t="s">
        <v>61</v>
      </c>
      <c r="E88" s="133">
        <f>IS추정!E36/IS추정!E14</f>
        <v>0.4766635426429241</v>
      </c>
      <c r="F88" s="133">
        <f>IS추정!F36/IS추정!F14</f>
        <v>0.29192418623815408</v>
      </c>
      <c r="G88" s="133">
        <f>IS추정!G36/IS추정!G14</f>
        <v>9.1916762522221057E-2</v>
      </c>
      <c r="H88" s="133">
        <f>IS추정!H36/IS추정!H14</f>
        <v>6.0689801774990698E-2</v>
      </c>
      <c r="I88" s="133">
        <f>IS추정!I36/IS추정!I14</f>
        <v>5.1953127491098476E-2</v>
      </c>
      <c r="J88" s="133">
        <f>IS추정!J36/IS추정!J14</f>
        <v>0.11453678551951593</v>
      </c>
      <c r="K88" s="133">
        <f>IS추정!K36/IS추정!K14</f>
        <v>0.11232522966045778</v>
      </c>
      <c r="L88" s="133">
        <f>IS추정!L36/IS추정!L14</f>
        <v>0.10987653002954538</v>
      </c>
      <c r="M88" s="133">
        <f>IS추정!M36/IS추정!M14</f>
        <v>0.10702705725051659</v>
      </c>
      <c r="N88" s="133">
        <f>IS추정!N36/IS추정!N14</f>
        <v>0.10380674890455324</v>
      </c>
      <c r="O88" s="133">
        <f>IS추정!O36/IS추정!O14</f>
        <v>0.10006703701974698</v>
      </c>
    </row>
    <row r="89" spans="4:16">
      <c r="D89" s="157" t="s">
        <v>62</v>
      </c>
      <c r="E89" s="133"/>
      <c r="F89" s="133">
        <f>IS추정!F36/AVERAGE(BS추정!E36:F36)</f>
        <v>0.2901666871442028</v>
      </c>
      <c r="G89" s="133">
        <f>IS추정!G36/AVERAGE(BS추정!F36:G36)</f>
        <v>0.15477395782893869</v>
      </c>
      <c r="H89" s="220">
        <f>IS추정!H36/AVERAGE(BS추정!G36:H36)</f>
        <v>0.14222997166609583</v>
      </c>
      <c r="I89" s="133">
        <f>IS추정!I36/AVERAGE(BS추정!G36:I36)</f>
        <v>0.12544348681537243</v>
      </c>
      <c r="J89" s="133">
        <f>IS추정!J36/AVERAGE(BS추정!I36:J36)</f>
        <v>0.26179181698313203</v>
      </c>
      <c r="K89" s="133">
        <f>IS추정!K36/AVERAGE(BS추정!J36:K36)</f>
        <v>0.20814298690298683</v>
      </c>
      <c r="L89" s="133">
        <f>IS추정!L36/AVERAGE(BS추정!K36:L36)</f>
        <v>0.1722552682736038</v>
      </c>
      <c r="M89" s="133">
        <f>IS추정!M36/AVERAGE(BS추정!L36:M36)</f>
        <v>0.14623750877413494</v>
      </c>
      <c r="N89" s="133">
        <f>IS추정!N36/AVERAGE(BS추정!M36:N36)</f>
        <v>0.12639941832037108</v>
      </c>
      <c r="O89" s="133">
        <f>IS추정!O36/AVERAGE(BS추정!N36:O36)</f>
        <v>0.11046478430483336</v>
      </c>
      <c r="P89" s="77"/>
    </row>
    <row r="90" spans="4:16">
      <c r="D90" s="157" t="s">
        <v>63</v>
      </c>
      <c r="E90" s="133"/>
      <c r="F90" s="133">
        <f>IS추정!F36/AVERAGE(BS추정!E37:F37)</f>
        <v>0.20196117556512072</v>
      </c>
      <c r="G90" s="133">
        <f>IS추정!G36/AVERAGE(BS추정!F37:G37)</f>
        <v>8.6996325667132654E-2</v>
      </c>
      <c r="H90" s="220">
        <f>IS추정!H36/AVERAGE(BS추정!G37:H37)</f>
        <v>6.4386998562286815E-2</v>
      </c>
      <c r="I90" s="133">
        <f>IS추정!I36/AVERAGE(BS추정!G37:I37)</f>
        <v>5.6381682911355903E-2</v>
      </c>
      <c r="J90" s="133">
        <f>IS추정!J36/AVERAGE(BS추정!I37:J37)</f>
        <v>0.11450635318205872</v>
      </c>
      <c r="K90" s="133">
        <f>IS추정!K36/AVERAGE(BS추정!J37:K37)</f>
        <v>9.5391851815965087E-2</v>
      </c>
      <c r="L90" s="133">
        <f>IS추정!L36/AVERAGE(BS추정!K37:L37)</f>
        <v>8.625101807404903E-2</v>
      </c>
      <c r="M90" s="133">
        <f>IS추정!M36/AVERAGE(BS추정!L37:M37)</f>
        <v>7.8328923842195447E-2</v>
      </c>
      <c r="N90" s="133">
        <f>IS추정!N36/AVERAGE(BS추정!M37:N37)</f>
        <v>7.1378750424466286E-2</v>
      </c>
      <c r="O90" s="133">
        <f>IS추정!O36/AVERAGE(BS추정!N37:O37)</f>
        <v>6.5078990632243858E-2</v>
      </c>
    </row>
    <row r="91" spans="4:16">
      <c r="D91" s="99"/>
      <c r="E91" s="99"/>
      <c r="F91" s="99"/>
      <c r="G91" s="99"/>
      <c r="H91" s="99"/>
      <c r="I91" s="99"/>
      <c r="J91" s="99"/>
      <c r="K91" s="99"/>
      <c r="L91" s="99"/>
    </row>
    <row r="93" spans="4:16" customFormat="1"/>
    <row r="94" spans="4:16" customFormat="1"/>
    <row r="95" spans="4:16" customFormat="1"/>
    <row r="96" spans="4:1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</sheetData>
  <sheetProtection selectLockedCells="1"/>
  <phoneticPr fontId="3" type="noConversion"/>
  <conditionalFormatting sqref="J73 N73:T73">
    <cfRule type="duplicateValues" dxfId="10" priority="1"/>
  </conditionalFormatting>
  <dataValidations count="2">
    <dataValidation type="list" allowBlank="1" showInputMessage="1" showErrorMessage="1" sqref="P32">
      <formula1>$U$32:$U$33</formula1>
    </dataValidation>
    <dataValidation type="list" allowBlank="1" showInputMessage="1" sqref="J73">
      <formula1>$N$73:$T$73</formula1>
    </dataValidation>
  </dataValidations>
  <pageMargins left="0.7" right="0.7" top="0.75" bottom="0.75" header="0.3" footer="0.3"/>
  <pageSetup paperSize="9" orientation="portrait" r:id="rId1"/>
  <ignoredErrors>
    <ignoredError sqref="F37:I37" formulaRange="1"/>
    <ignoredError sqref="F47:N47 J50:N65 F63:I65 F67:I67 F49:N49 G48:N48 E81:O82 E91:O92 E113:O113" unlockedFormula="1"/>
    <ignoredError sqref="E74:I77" evalError="1"/>
    <ignoredError sqref="N74:R77 N78:R78 K74:K78 J66:O67 J2:O4 E79:R79 E83:O90" evalError="1" unlocked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X176"/>
  <sheetViews>
    <sheetView showGridLines="0" zoomScale="85" zoomScaleNormal="85" workbookViewId="0">
      <pane ySplit="1" topLeftCell="A8" activePane="bottomLeft" state="frozen"/>
      <selection activeCell="D26" sqref="D26"/>
      <selection pane="bottomLeft" activeCell="L62" sqref="L6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8" width="9.625" style="2" customWidth="1"/>
    <col min="9" max="9" width="9.625" style="11" customWidth="1"/>
    <col min="10" max="19" width="9.625" style="2" customWidth="1"/>
    <col min="20" max="22" width="9" style="2"/>
    <col min="23" max="23" width="9.75" style="2" customWidth="1"/>
    <col min="24" max="24" width="9" style="2"/>
    <col min="25" max="25" width="9.75" style="2" customWidth="1"/>
    <col min="26" max="16384" width="9" style="2"/>
  </cols>
  <sheetData>
    <row r="1" spans="1:15">
      <c r="A1" s="367">
        <f>ROW(C42)-ROW(C1)</f>
        <v>41</v>
      </c>
      <c r="B1" s="1"/>
      <c r="C1" s="1" t="s">
        <v>16835</v>
      </c>
      <c r="D1" s="1" t="s">
        <v>16836</v>
      </c>
      <c r="E1" s="1" t="s">
        <v>16650</v>
      </c>
      <c r="F1" s="1" t="s">
        <v>16651</v>
      </c>
      <c r="G1" s="1" t="s">
        <v>16652</v>
      </c>
      <c r="H1" s="1" t="s">
        <v>16611</v>
      </c>
      <c r="I1" s="1" t="s">
        <v>16653</v>
      </c>
      <c r="J1" s="1" t="s">
        <v>16654</v>
      </c>
      <c r="K1" s="1" t="s">
        <v>16655</v>
      </c>
      <c r="L1" s="1" t="s">
        <v>16656</v>
      </c>
      <c r="M1" s="1" t="s">
        <v>16657</v>
      </c>
      <c r="N1" s="1" t="s">
        <v>16658</v>
      </c>
      <c r="O1" s="1" t="s">
        <v>16659</v>
      </c>
    </row>
    <row r="2" spans="1:15">
      <c r="A2" s="1" t="s">
        <v>14</v>
      </c>
      <c r="B2" s="1" t="s">
        <v>3</v>
      </c>
      <c r="C2" s="1" t="s">
        <v>16837</v>
      </c>
      <c r="D2" s="2" t="s">
        <v>16838</v>
      </c>
      <c r="F2" s="27">
        <v>0</v>
      </c>
      <c r="G2" s="27">
        <v>0</v>
      </c>
      <c r="H2" s="27">
        <v>0</v>
      </c>
      <c r="I2" s="346">
        <v>100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1</v>
      </c>
    </row>
    <row r="3" spans="1:15">
      <c r="A3" s="1" t="s">
        <v>4</v>
      </c>
      <c r="B3" s="1" t="s">
        <v>3</v>
      </c>
      <c r="C3" s="1" t="s">
        <v>16839</v>
      </c>
      <c r="D3" s="9" t="s">
        <v>16840</v>
      </c>
      <c r="E3" s="61"/>
      <c r="F3" s="46"/>
      <c r="G3" s="46"/>
      <c r="H3" s="67"/>
      <c r="I3" s="68" t="str">
        <f>IFERROR(HLOOKUP(MID(I1,1,8),성장률추정!$6:$9,4,0),"")</f>
        <v/>
      </c>
      <c r="J3" s="68">
        <f>IFERROR(HLOOKUP(MID(J1,1,8),성장률추정!$6:$9,4,0),"")</f>
        <v>2.3220000000000001</v>
      </c>
      <c r="K3" s="68">
        <f>IFERROR(HLOOKUP(MID(K1,1,8),성장률추정!$6:$9,4,0),"")</f>
        <v>2.3370000000000002</v>
      </c>
      <c r="L3" s="68">
        <f>IFERROR(HLOOKUP(MID(L1,1,8),성장률추정!$6:$9,4,0),"")</f>
        <v>2.2120000000000002</v>
      </c>
      <c r="M3" s="68">
        <f>IFERROR(HLOOKUP(MID(M1,1,8),성장률추정!$6:$9,4,0),"")</f>
        <v>2.1309999999999998</v>
      </c>
      <c r="N3" s="68">
        <f>IFERROR(HLOOKUP(MID(N1,1,8),성장률추정!$6:$9,4,0),"")</f>
        <v>2.0840000000000001</v>
      </c>
      <c r="O3" s="68">
        <f>IFERROR(HLOOKUP(MID(O1,1,8),성장률추정!$6:$9,4,0),"")</f>
        <v>2.0249999999999999</v>
      </c>
    </row>
    <row r="4" spans="1:15">
      <c r="A4" s="1" t="s">
        <v>14</v>
      </c>
      <c r="B4" s="1" t="s">
        <v>3</v>
      </c>
      <c r="C4" s="1" t="s">
        <v>16841</v>
      </c>
      <c r="D4" s="2" t="s">
        <v>16842</v>
      </c>
      <c r="E4" s="27">
        <f>비용추정!E74</f>
        <v>46.288659793814432</v>
      </c>
      <c r="F4" s="27">
        <f>비용추정!F74</f>
        <v>53.090234857849197</v>
      </c>
      <c r="G4" s="27">
        <f>비용추정!G74</f>
        <v>60.969361079159256</v>
      </c>
      <c r="H4" s="27">
        <f>비용추정!H74</f>
        <v>62.350534091512998</v>
      </c>
      <c r="I4" s="27">
        <f>H4</f>
        <v>62.350534091512998</v>
      </c>
      <c r="J4" s="27">
        <f>비용추정!$J$74</f>
        <v>60.346759881784443</v>
      </c>
      <c r="K4" s="27">
        <f>비용추정!$J$74</f>
        <v>60.346759881784443</v>
      </c>
      <c r="L4" s="27">
        <f>비용추정!$J$74</f>
        <v>60.346759881784443</v>
      </c>
      <c r="M4" s="27">
        <f>비용추정!$J$74</f>
        <v>60.346759881784443</v>
      </c>
      <c r="N4" s="27">
        <f>비용추정!$J$74</f>
        <v>60.346759881784443</v>
      </c>
      <c r="O4" s="27">
        <f>비용추정!$J$74</f>
        <v>60.346759881784443</v>
      </c>
    </row>
    <row r="5" spans="1:15">
      <c r="A5" s="1" t="s">
        <v>14</v>
      </c>
      <c r="B5" s="1" t="s">
        <v>3</v>
      </c>
      <c r="C5" s="1" t="s">
        <v>16843</v>
      </c>
      <c r="D5" s="2" t="s">
        <v>16844</v>
      </c>
      <c r="E5" s="27">
        <f>비용추정!E75</f>
        <v>17.038425492033742</v>
      </c>
      <c r="F5" s="27">
        <f>비용추정!F75</f>
        <v>13.213844252163165</v>
      </c>
      <c r="G5" s="27">
        <f>비용추정!G75</f>
        <v>11.301369863013697</v>
      </c>
      <c r="H5" s="27">
        <f>비용추정!H75</f>
        <v>17.911994473082853</v>
      </c>
      <c r="I5" s="27">
        <f>H5</f>
        <v>17.911994473082853</v>
      </c>
      <c r="J5" s="27">
        <f>비용추정!$J$75</f>
        <v>14.925427899573185</v>
      </c>
      <c r="K5" s="27">
        <f>비용추정!$J$75</f>
        <v>14.925427899573185</v>
      </c>
      <c r="L5" s="27">
        <f>비용추정!$J$75</f>
        <v>14.925427899573185</v>
      </c>
      <c r="M5" s="27">
        <f>비용추정!$J$75</f>
        <v>14.925427899573185</v>
      </c>
      <c r="N5" s="27">
        <f>비용추정!$J$75</f>
        <v>14.925427899573185</v>
      </c>
      <c r="O5" s="27">
        <f>비용추정!$J$75</f>
        <v>14.925427899573185</v>
      </c>
    </row>
    <row r="6" spans="1:15">
      <c r="A6" s="1" t="s">
        <v>14</v>
      </c>
      <c r="B6" s="1" t="s">
        <v>3</v>
      </c>
      <c r="C6" s="1" t="s">
        <v>16845</v>
      </c>
      <c r="D6" s="2" t="s">
        <v>16846</v>
      </c>
      <c r="E6" s="27">
        <f>비용추정!E78</f>
        <v>0</v>
      </c>
      <c r="F6" s="27">
        <f>비용추정!F78</f>
        <v>0</v>
      </c>
      <c r="G6" s="27">
        <f>비용추정!G78</f>
        <v>0</v>
      </c>
      <c r="H6" s="27">
        <f>비용추정!H78</f>
        <v>0</v>
      </c>
      <c r="I6" s="27">
        <f>H6</f>
        <v>0</v>
      </c>
      <c r="J6" s="27">
        <f>비용추정!$J$78</f>
        <v>0</v>
      </c>
      <c r="K6" s="27">
        <f>비용추정!$J$78</f>
        <v>0</v>
      </c>
      <c r="L6" s="27">
        <f>비용추정!$J$78</f>
        <v>0</v>
      </c>
      <c r="M6" s="27">
        <f>비용추정!$J$78</f>
        <v>0</v>
      </c>
      <c r="N6" s="27">
        <f>비용추정!$J$78</f>
        <v>0</v>
      </c>
      <c r="O6" s="27">
        <f>비용추정!$J$78</f>
        <v>0</v>
      </c>
    </row>
    <row r="7" spans="1:15">
      <c r="A7" s="1" t="s">
        <v>14</v>
      </c>
      <c r="B7" s="1" t="s">
        <v>3</v>
      </c>
      <c r="C7" s="1" t="s">
        <v>16847</v>
      </c>
      <c r="D7" s="2" t="s">
        <v>16848</v>
      </c>
      <c r="E7" s="27">
        <f>E47</f>
        <v>2.797563261480787</v>
      </c>
      <c r="F7" s="27">
        <f>F47</f>
        <v>0.83642356819118246</v>
      </c>
      <c r="G7" s="27">
        <f t="shared" ref="G7:H7" si="0">G47</f>
        <v>0.81302938408449232</v>
      </c>
      <c r="H7" s="27">
        <f t="shared" si="0"/>
        <v>0.36403252378168677</v>
      </c>
      <c r="I7" s="27">
        <f t="shared" ref="I7:I10" si="1">H7</f>
        <v>0.36403252378168677</v>
      </c>
      <c r="J7" s="27">
        <f>$J$47</f>
        <v>0</v>
      </c>
      <c r="K7" s="27">
        <f t="shared" ref="K7:O7" si="2">$J$47</f>
        <v>0</v>
      </c>
      <c r="L7" s="27">
        <f t="shared" si="2"/>
        <v>0</v>
      </c>
      <c r="M7" s="27">
        <f t="shared" si="2"/>
        <v>0</v>
      </c>
      <c r="N7" s="27">
        <f t="shared" si="2"/>
        <v>0</v>
      </c>
      <c r="O7" s="27">
        <f t="shared" si="2"/>
        <v>0</v>
      </c>
    </row>
    <row r="8" spans="1:15">
      <c r="A8" s="1" t="s">
        <v>14</v>
      </c>
      <c r="B8" s="1" t="s">
        <v>3</v>
      </c>
      <c r="C8" s="1" t="s">
        <v>16849</v>
      </c>
      <c r="D8" s="2" t="s">
        <v>16850</v>
      </c>
      <c r="E8" s="27">
        <f t="shared" ref="E8" si="3">E48</f>
        <v>2.6497166487976722</v>
      </c>
      <c r="F8" s="27">
        <f t="shared" ref="F8:H10" si="4">F48</f>
        <v>5.5025174017112821E-2</v>
      </c>
      <c r="G8" s="27">
        <f t="shared" si="4"/>
        <v>0.7940319533826401</v>
      </c>
      <c r="H8" s="27">
        <f t="shared" si="4"/>
        <v>1.5481232656637942</v>
      </c>
      <c r="I8" s="27">
        <f t="shared" si="1"/>
        <v>1.5481232656637942</v>
      </c>
      <c r="J8" s="27">
        <f>$J$48</f>
        <v>0</v>
      </c>
      <c r="K8" s="27">
        <f t="shared" ref="K8:O8" si="5">$J$48</f>
        <v>0</v>
      </c>
      <c r="L8" s="27">
        <f t="shared" si="5"/>
        <v>0</v>
      </c>
      <c r="M8" s="27">
        <f t="shared" si="5"/>
        <v>0</v>
      </c>
      <c r="N8" s="27">
        <f t="shared" si="5"/>
        <v>0</v>
      </c>
      <c r="O8" s="27">
        <f t="shared" si="5"/>
        <v>0</v>
      </c>
    </row>
    <row r="9" spans="1:15">
      <c r="A9" s="1" t="s">
        <v>14</v>
      </c>
      <c r="B9" s="1" t="s">
        <v>3</v>
      </c>
      <c r="C9" s="1" t="s">
        <v>16851</v>
      </c>
      <c r="D9" s="2" t="s">
        <v>16852</v>
      </c>
      <c r="E9" s="27">
        <f t="shared" ref="E9" si="6">E49</f>
        <v>0.98875351452671034</v>
      </c>
      <c r="F9" s="27">
        <f t="shared" si="4"/>
        <v>0.94355170992995474</v>
      </c>
      <c r="G9" s="27">
        <f t="shared" si="4"/>
        <v>2.9384084492314129</v>
      </c>
      <c r="H9" s="27">
        <f t="shared" si="4"/>
        <v>3.4596375617792421</v>
      </c>
      <c r="I9" s="27">
        <f t="shared" si="1"/>
        <v>3.4596375617792421</v>
      </c>
      <c r="J9" s="27">
        <f>$J$49</f>
        <v>0</v>
      </c>
      <c r="K9" s="27">
        <f t="shared" ref="K9:O9" si="7">$J$49</f>
        <v>0</v>
      </c>
      <c r="L9" s="27">
        <f t="shared" si="7"/>
        <v>0</v>
      </c>
      <c r="M9" s="27">
        <f t="shared" si="7"/>
        <v>0</v>
      </c>
      <c r="N9" s="27">
        <f t="shared" si="7"/>
        <v>0</v>
      </c>
      <c r="O9" s="27">
        <f t="shared" si="7"/>
        <v>0</v>
      </c>
    </row>
    <row r="10" spans="1:15">
      <c r="A10" s="1" t="s">
        <v>14</v>
      </c>
      <c r="B10" s="1" t="s">
        <v>3</v>
      </c>
      <c r="C10" s="1" t="s">
        <v>16853</v>
      </c>
      <c r="D10" s="2" t="s">
        <v>16854</v>
      </c>
      <c r="E10" s="27">
        <f t="shared" ref="E10" si="8">E50</f>
        <v>2.4848366268831934</v>
      </c>
      <c r="F10" s="27">
        <f t="shared" si="4"/>
        <v>1.7920937042459735</v>
      </c>
      <c r="G10" s="27">
        <f t="shared" si="4"/>
        <v>4.1832226072030263</v>
      </c>
      <c r="H10" s="27">
        <f t="shared" si="4"/>
        <v>6.059950806822175</v>
      </c>
      <c r="I10" s="27">
        <f t="shared" si="1"/>
        <v>6.059950806822175</v>
      </c>
      <c r="J10" s="27">
        <f>$J$50</f>
        <v>0</v>
      </c>
      <c r="K10" s="27">
        <f t="shared" ref="K10:O10" si="9">$J$50</f>
        <v>0</v>
      </c>
      <c r="L10" s="27">
        <f t="shared" si="9"/>
        <v>0</v>
      </c>
      <c r="M10" s="27">
        <f t="shared" si="9"/>
        <v>0</v>
      </c>
      <c r="N10" s="27">
        <f t="shared" si="9"/>
        <v>0</v>
      </c>
      <c r="O10" s="27">
        <f t="shared" si="9"/>
        <v>0</v>
      </c>
    </row>
    <row r="11" spans="1:15">
      <c r="A11" s="1" t="s">
        <v>14</v>
      </c>
      <c r="B11" s="1" t="s">
        <v>2</v>
      </c>
      <c r="C11" s="1" t="s">
        <v>16855</v>
      </c>
      <c r="D11" s="2" t="s">
        <v>16856</v>
      </c>
      <c r="E11" s="33">
        <f>NWC추정!E33</f>
        <v>13058</v>
      </c>
      <c r="F11" s="33">
        <f>NWC추정!F33</f>
        <v>23289</v>
      </c>
      <c r="G11" s="33">
        <f>NWC추정!G33</f>
        <v>7944</v>
      </c>
      <c r="H11" s="33">
        <f>NWC추정!H33</f>
        <v>5750</v>
      </c>
      <c r="I11" s="33">
        <f>NWC추정!I33</f>
        <v>5750</v>
      </c>
      <c r="J11" s="33">
        <f>NWC추정!J33</f>
        <v>4878</v>
      </c>
      <c r="K11" s="33">
        <f>NWC추정!K33</f>
        <v>4987</v>
      </c>
      <c r="L11" s="33">
        <f>NWC추정!L33</f>
        <v>5095</v>
      </c>
      <c r="M11" s="33">
        <f>NWC추정!M33</f>
        <v>5201</v>
      </c>
      <c r="N11" s="33">
        <f>NWC추정!N33</f>
        <v>5310</v>
      </c>
      <c r="O11" s="33">
        <f>NWC추정!O33</f>
        <v>5416</v>
      </c>
    </row>
    <row r="12" spans="1:15">
      <c r="A12" s="1" t="s">
        <v>14</v>
      </c>
      <c r="B12" s="1" t="s">
        <v>2</v>
      </c>
      <c r="C12" s="1" t="s">
        <v>16857</v>
      </c>
      <c r="D12" s="2" t="s">
        <v>16858</v>
      </c>
      <c r="E12" s="33">
        <f>NWC추정!E41</f>
        <v>5111</v>
      </c>
      <c r="F12" s="33">
        <f>NWC추정!F41</f>
        <v>11964</v>
      </c>
      <c r="G12" s="33">
        <f>NWC추정!G41</f>
        <v>19495</v>
      </c>
      <c r="H12" s="33">
        <f>NWC추정!H41</f>
        <v>17502</v>
      </c>
      <c r="I12" s="33">
        <f>NWC추정!I41</f>
        <v>17502</v>
      </c>
      <c r="J12" s="33">
        <f>NWC추정!J41</f>
        <v>23648</v>
      </c>
      <c r="K12" s="33">
        <f>NWC추정!K41</f>
        <v>24106</v>
      </c>
      <c r="L12" s="33">
        <f>NWC추정!L41</f>
        <v>24565</v>
      </c>
      <c r="M12" s="33">
        <f>NWC추정!M41</f>
        <v>25023</v>
      </c>
      <c r="N12" s="33">
        <f>NWC추정!N41</f>
        <v>25481</v>
      </c>
      <c r="O12" s="33">
        <f>NWC추정!O41</f>
        <v>25940</v>
      </c>
    </row>
    <row r="13" spans="1:15">
      <c r="A13" s="1" t="s">
        <v>14</v>
      </c>
      <c r="B13" s="1" t="s">
        <v>2</v>
      </c>
      <c r="C13" s="1" t="s">
        <v>16859</v>
      </c>
      <c r="D13" s="1" t="s">
        <v>16860</v>
      </c>
      <c r="E13" s="1"/>
      <c r="F13" s="1"/>
      <c r="G13" s="1"/>
      <c r="H13" s="1"/>
      <c r="I13" s="1"/>
      <c r="J13" s="1" t="str">
        <f t="shared" ref="J13:O13" si="10">LEFT(J1,4)</f>
        <v>2024</v>
      </c>
      <c r="K13" s="1" t="str">
        <f t="shared" si="10"/>
        <v>2025</v>
      </c>
      <c r="L13" s="1" t="str">
        <f t="shared" si="10"/>
        <v>2026</v>
      </c>
      <c r="M13" s="1" t="str">
        <f t="shared" si="10"/>
        <v>2027</v>
      </c>
      <c r="N13" s="1" t="str">
        <f t="shared" si="10"/>
        <v>2028</v>
      </c>
      <c r="O13" s="1" t="str">
        <f t="shared" si="10"/>
        <v>2029</v>
      </c>
    </row>
    <row r="14" spans="1:15">
      <c r="A14" s="1" t="s">
        <v>14</v>
      </c>
      <c r="B14" s="1" t="s">
        <v>2</v>
      </c>
      <c r="C14" s="1" t="s">
        <v>16861</v>
      </c>
      <c r="D14" s="2" t="s">
        <v>16862</v>
      </c>
      <c r="E14" s="42">
        <v>21340</v>
      </c>
      <c r="F14" s="42">
        <v>24270</v>
      </c>
      <c r="G14" s="42">
        <v>38252</v>
      </c>
      <c r="H14" s="42">
        <v>37634</v>
      </c>
      <c r="I14" s="50">
        <v>37634</v>
      </c>
      <c r="J14" s="32">
        <f>INT(I14*(1+J3/100))</f>
        <v>38507</v>
      </c>
      <c r="K14" s="32">
        <f t="shared" ref="K14:O14" si="11">INT(J14*(1+K3/100))</f>
        <v>39406</v>
      </c>
      <c r="L14" s="32">
        <f t="shared" si="11"/>
        <v>40277</v>
      </c>
      <c r="M14" s="32">
        <f t="shared" si="11"/>
        <v>41135</v>
      </c>
      <c r="N14" s="32">
        <f t="shared" si="11"/>
        <v>41992</v>
      </c>
      <c r="O14" s="32">
        <f t="shared" si="11"/>
        <v>42842</v>
      </c>
    </row>
    <row r="15" spans="1:15">
      <c r="A15" s="1" t="s">
        <v>14</v>
      </c>
      <c r="B15" s="1" t="s">
        <v>2</v>
      </c>
      <c r="C15" s="1" t="s">
        <v>16863</v>
      </c>
      <c r="D15" s="2" t="s">
        <v>16864</v>
      </c>
      <c r="E15" s="42">
        <v>9878</v>
      </c>
      <c r="F15" s="42">
        <v>12885</v>
      </c>
      <c r="G15" s="42">
        <v>23322</v>
      </c>
      <c r="H15" s="42">
        <v>23465</v>
      </c>
      <c r="I15" s="216">
        <v>23465</v>
      </c>
      <c r="J15" s="32">
        <f>INT(J14*J4/100)</f>
        <v>23237</v>
      </c>
      <c r="K15" s="32">
        <f t="shared" ref="K15:N15" si="12">INT(K14*K4/100)</f>
        <v>23780</v>
      </c>
      <c r="L15" s="32">
        <f t="shared" si="12"/>
        <v>24305</v>
      </c>
      <c r="M15" s="32">
        <f t="shared" si="12"/>
        <v>24823</v>
      </c>
      <c r="N15" s="32">
        <f t="shared" si="12"/>
        <v>25340</v>
      </c>
      <c r="O15" s="32">
        <f t="shared" ref="O15" si="13">INT(O14*O4/100)</f>
        <v>25853</v>
      </c>
    </row>
    <row r="16" spans="1:15">
      <c r="A16" s="1" t="s">
        <v>4</v>
      </c>
      <c r="B16" s="1" t="s">
        <v>2</v>
      </c>
      <c r="C16" s="1" t="s">
        <v>16865</v>
      </c>
      <c r="D16" s="8" t="s">
        <v>16866</v>
      </c>
      <c r="E16" s="49">
        <v>11462</v>
      </c>
      <c r="F16" s="49">
        <v>11386</v>
      </c>
      <c r="G16" s="49">
        <v>14930</v>
      </c>
      <c r="H16" s="49">
        <v>14169</v>
      </c>
      <c r="I16" s="65">
        <f t="shared" ref="I16" si="14">I14-I15</f>
        <v>14169</v>
      </c>
      <c r="J16" s="30">
        <f>J14-J15</f>
        <v>15270</v>
      </c>
      <c r="K16" s="30">
        <f t="shared" ref="K16:N16" si="15">K14-K15</f>
        <v>15626</v>
      </c>
      <c r="L16" s="30">
        <f t="shared" si="15"/>
        <v>15972</v>
      </c>
      <c r="M16" s="30">
        <f t="shared" si="15"/>
        <v>16312</v>
      </c>
      <c r="N16" s="30">
        <f t="shared" si="15"/>
        <v>16652</v>
      </c>
      <c r="O16" s="30">
        <f t="shared" ref="O16" si="16">O14-O15</f>
        <v>16989</v>
      </c>
    </row>
    <row r="17" spans="1:24">
      <c r="A17" s="1" t="s">
        <v>4</v>
      </c>
      <c r="B17" s="1" t="s">
        <v>2</v>
      </c>
      <c r="C17" s="1" t="s">
        <v>16867</v>
      </c>
      <c r="D17" s="8" t="s">
        <v>16868</v>
      </c>
      <c r="E17" s="49">
        <v>4824</v>
      </c>
      <c r="F17" s="49">
        <v>4518</v>
      </c>
      <c r="G17" s="49">
        <v>6201</v>
      </c>
      <c r="H17" s="49">
        <v>10378</v>
      </c>
      <c r="I17" s="65">
        <f>SUM(I18:I24)</f>
        <v>10378</v>
      </c>
      <c r="J17" s="30">
        <f>SUM(J18:J24)</f>
        <v>9722</v>
      </c>
      <c r="K17" s="30">
        <f t="shared" ref="K17:N17" si="17">SUM(K18:K24)</f>
        <v>10058</v>
      </c>
      <c r="L17" s="30">
        <f t="shared" si="17"/>
        <v>10405</v>
      </c>
      <c r="M17" s="30">
        <f t="shared" si="17"/>
        <v>10774</v>
      </c>
      <c r="N17" s="30">
        <f t="shared" si="17"/>
        <v>11169</v>
      </c>
      <c r="O17" s="30">
        <f t="shared" ref="O17" si="18">SUM(O18:O24)</f>
        <v>11597</v>
      </c>
    </row>
    <row r="18" spans="1:24">
      <c r="A18" s="1" t="s">
        <v>14</v>
      </c>
      <c r="B18" s="1" t="s">
        <v>2</v>
      </c>
      <c r="C18" s="1" t="s">
        <v>16869</v>
      </c>
      <c r="D18" s="2" t="s">
        <v>16870</v>
      </c>
      <c r="E18" s="31"/>
      <c r="F18" s="33">
        <f>비용추정!F29</f>
        <v>3207</v>
      </c>
      <c r="G18" s="33">
        <f>비용추정!G29</f>
        <v>4323</v>
      </c>
      <c r="H18" s="33">
        <f>비용추정!H29</f>
        <v>6741</v>
      </c>
      <c r="I18" s="33">
        <f>비용추정!I29 *I2/100</f>
        <v>6741</v>
      </c>
      <c r="J18" s="32">
        <f>INT(J14*J5/100)</f>
        <v>5747</v>
      </c>
      <c r="K18" s="32">
        <f t="shared" ref="K18:N18" si="19">INT(K14*K5/100)</f>
        <v>5881</v>
      </c>
      <c r="L18" s="32">
        <f t="shared" si="19"/>
        <v>6011</v>
      </c>
      <c r="M18" s="32">
        <f t="shared" si="19"/>
        <v>6139</v>
      </c>
      <c r="N18" s="32">
        <f t="shared" si="19"/>
        <v>6267</v>
      </c>
      <c r="O18" s="32">
        <f t="shared" ref="O18" si="20">INT(O14*O5/100)</f>
        <v>6394</v>
      </c>
    </row>
    <row r="19" spans="1:24">
      <c r="A19" s="1" t="s">
        <v>14</v>
      </c>
      <c r="B19" s="1" t="s">
        <v>2</v>
      </c>
      <c r="C19" s="1" t="s">
        <v>16871</v>
      </c>
      <c r="D19" s="2" t="s">
        <v>16872</v>
      </c>
      <c r="E19" s="31"/>
      <c r="F19" s="33">
        <f>비용추정!F41</f>
        <v>619</v>
      </c>
      <c r="G19" s="33">
        <f>비용추정!G41</f>
        <v>1025</v>
      </c>
      <c r="H19" s="33">
        <f>비용추정!H41</f>
        <v>2441</v>
      </c>
      <c r="I19" s="33">
        <f>비용추정!I41 *I2/100</f>
        <v>2441</v>
      </c>
      <c r="J19" s="24">
        <f>INT(비용추정!J41)</f>
        <v>2546</v>
      </c>
      <c r="K19" s="24">
        <f>INT(비용추정!K41)</f>
        <v>2656</v>
      </c>
      <c r="L19" s="24">
        <f>INT(비용추정!L41)</f>
        <v>2766</v>
      </c>
      <c r="M19" s="24">
        <f>INT(비용추정!M41)</f>
        <v>2879</v>
      </c>
      <c r="N19" s="24">
        <f>INT(비용추정!N41)</f>
        <v>2995</v>
      </c>
      <c r="O19" s="24">
        <f>INT(비용추정!O41)</f>
        <v>3114</v>
      </c>
    </row>
    <row r="20" spans="1:24">
      <c r="A20" s="1" t="s">
        <v>14</v>
      </c>
      <c r="B20" s="1" t="s">
        <v>2</v>
      </c>
      <c r="C20" s="1" t="s">
        <v>16873</v>
      </c>
      <c r="D20" s="2" t="s">
        <v>16874</v>
      </c>
      <c r="E20" s="31"/>
      <c r="F20" s="33">
        <f>비용추정!F47</f>
        <v>153</v>
      </c>
      <c r="G20" s="33">
        <f>비용추정!G47</f>
        <v>277</v>
      </c>
      <c r="H20" s="33">
        <f>비용추정!H47</f>
        <v>250</v>
      </c>
      <c r="I20" s="33">
        <f>비용추정!I47 *I2/100</f>
        <v>250</v>
      </c>
      <c r="J20" s="24">
        <f>INT(비용추정!J47)</f>
        <v>464</v>
      </c>
      <c r="K20" s="24">
        <f>INT(비용추정!K47)</f>
        <v>484</v>
      </c>
      <c r="L20" s="24">
        <f>INT(비용추정!L47)</f>
        <v>504</v>
      </c>
      <c r="M20" s="24">
        <f>INT(비용추정!M47)</f>
        <v>525</v>
      </c>
      <c r="N20" s="24">
        <f>INT(비용추정!N47)</f>
        <v>546</v>
      </c>
      <c r="O20" s="24">
        <f>INT(비용추정!O47)</f>
        <v>568</v>
      </c>
    </row>
    <row r="21" spans="1:24">
      <c r="A21" s="1" t="s">
        <v>14</v>
      </c>
      <c r="B21" s="1" t="s">
        <v>2</v>
      </c>
      <c r="C21" s="1" t="s">
        <v>16875</v>
      </c>
      <c r="D21" s="2" t="s">
        <v>16876</v>
      </c>
      <c r="E21" s="31"/>
      <c r="F21" s="33">
        <f>비용추정!F63</f>
        <v>406</v>
      </c>
      <c r="G21" s="33">
        <f>비용추정!G63</f>
        <v>416</v>
      </c>
      <c r="H21" s="33">
        <f>비용추정!H63</f>
        <v>690</v>
      </c>
      <c r="I21" s="33">
        <f>비용추정!I63 *I2/100</f>
        <v>690</v>
      </c>
      <c r="J21" s="24">
        <f>INT(비용추정!J63)</f>
        <v>697</v>
      </c>
      <c r="K21" s="24">
        <f>INT(비용추정!K63)</f>
        <v>704</v>
      </c>
      <c r="L21" s="24">
        <f>INT(비용추정!L63)</f>
        <v>711</v>
      </c>
      <c r="M21" s="24">
        <f>INT(비용추정!M63)</f>
        <v>718</v>
      </c>
      <c r="N21" s="24">
        <f>INT(비용추정!N63)</f>
        <v>725</v>
      </c>
      <c r="O21" s="24">
        <f>INT(비용추정!O63)</f>
        <v>732</v>
      </c>
    </row>
    <row r="22" spans="1:24">
      <c r="A22" s="1" t="s">
        <v>14</v>
      </c>
      <c r="B22" s="1" t="s">
        <v>2</v>
      </c>
      <c r="C22" s="1" t="s">
        <v>16877</v>
      </c>
      <c r="D22" s="2" t="s">
        <v>16878</v>
      </c>
      <c r="E22" s="31"/>
      <c r="F22" s="33">
        <f>비용추정!F64</f>
        <v>134</v>
      </c>
      <c r="G22" s="33">
        <f>비용추정!G64</f>
        <v>161</v>
      </c>
      <c r="H22" s="33">
        <f>비용추정!H64</f>
        <v>228</v>
      </c>
      <c r="I22" s="33">
        <f>비용추정!I64 *I2/100</f>
        <v>228</v>
      </c>
      <c r="J22" s="24">
        <f>INT(비용추정!J64)</f>
        <v>255</v>
      </c>
      <c r="K22" s="24">
        <f>INT(비용추정!K64)</f>
        <v>318</v>
      </c>
      <c r="L22" s="24">
        <f>INT(비용추정!L64)</f>
        <v>395</v>
      </c>
      <c r="M22" s="24">
        <f>INT(비용추정!M64)</f>
        <v>491</v>
      </c>
      <c r="N22" s="24">
        <f>INT(비용추정!N64)</f>
        <v>610</v>
      </c>
      <c r="O22" s="24">
        <f>INT(비용추정!O64)</f>
        <v>759</v>
      </c>
    </row>
    <row r="23" spans="1:24">
      <c r="A23" s="1" t="s">
        <v>14</v>
      </c>
      <c r="B23" s="1" t="s">
        <v>2</v>
      </c>
      <c r="C23" s="1" t="s">
        <v>16879</v>
      </c>
      <c r="D23" s="2" t="s">
        <v>16880</v>
      </c>
      <c r="E23" s="31"/>
      <c r="F23" s="33">
        <f>비용추정!F65</f>
        <v>0</v>
      </c>
      <c r="G23" s="33">
        <f>비용추정!G65</f>
        <v>0</v>
      </c>
      <c r="H23" s="33">
        <f>비용추정!H65</f>
        <v>28</v>
      </c>
      <c r="I23" s="33">
        <f>비용추정!I65 *I2/100</f>
        <v>28</v>
      </c>
      <c r="J23" s="24">
        <f>INT(비용추정!J65)</f>
        <v>13</v>
      </c>
      <c r="K23" s="24">
        <f>INT(비용추정!K65)</f>
        <v>15</v>
      </c>
      <c r="L23" s="24">
        <f>INT(비용추정!L65)</f>
        <v>18</v>
      </c>
      <c r="M23" s="24">
        <f>INT(비용추정!M65)</f>
        <v>22</v>
      </c>
      <c r="N23" s="24">
        <f>INT(비용추정!N65)</f>
        <v>26</v>
      </c>
      <c r="O23" s="24">
        <f>INT(비용추정!O65)</f>
        <v>30</v>
      </c>
    </row>
    <row r="24" spans="1:24">
      <c r="A24" s="1" t="s">
        <v>14</v>
      </c>
      <c r="B24" s="1" t="s">
        <v>2</v>
      </c>
      <c r="C24" s="1" t="s">
        <v>16881</v>
      </c>
      <c r="D24" s="2" t="s">
        <v>16882</v>
      </c>
      <c r="E24" s="31"/>
      <c r="F24" s="33">
        <f>비용추정!F66</f>
        <v>0</v>
      </c>
      <c r="G24" s="33">
        <f>비용추정!G66</f>
        <v>0</v>
      </c>
      <c r="H24" s="33">
        <f>비용추정!H66</f>
        <v>0</v>
      </c>
      <c r="I24" s="33">
        <f>비용추정!I66 *I2/100</f>
        <v>0</v>
      </c>
      <c r="J24" s="32">
        <f>INT(J14*J6/100)</f>
        <v>0</v>
      </c>
      <c r="K24" s="32">
        <f t="shared" ref="K24:N24" si="21">INT(K14*K6/100)</f>
        <v>0</v>
      </c>
      <c r="L24" s="32">
        <f t="shared" si="21"/>
        <v>0</v>
      </c>
      <c r="M24" s="32">
        <f t="shared" si="21"/>
        <v>0</v>
      </c>
      <c r="N24" s="32">
        <f t="shared" si="21"/>
        <v>0</v>
      </c>
      <c r="O24" s="32">
        <f t="shared" ref="O24" si="22">INT(O14*O6/100)</f>
        <v>0</v>
      </c>
    </row>
    <row r="25" spans="1:24">
      <c r="A25" s="1" t="s">
        <v>4</v>
      </c>
      <c r="B25" s="1" t="s">
        <v>2</v>
      </c>
      <c r="C25" s="1" t="s">
        <v>16883</v>
      </c>
      <c r="D25" s="8" t="s">
        <v>16884</v>
      </c>
      <c r="E25" s="29">
        <v>6638</v>
      </c>
      <c r="F25" s="43">
        <v>6867</v>
      </c>
      <c r="G25" s="43">
        <v>8729</v>
      </c>
      <c r="H25" s="43">
        <v>3791</v>
      </c>
      <c r="I25" s="65">
        <f>I16-I17</f>
        <v>3791</v>
      </c>
      <c r="J25" s="30">
        <f>J16-J17</f>
        <v>5548</v>
      </c>
      <c r="K25" s="30">
        <f t="shared" ref="K25:N25" si="23">K16-K17</f>
        <v>5568</v>
      </c>
      <c r="L25" s="30">
        <f t="shared" si="23"/>
        <v>5567</v>
      </c>
      <c r="M25" s="30">
        <f t="shared" si="23"/>
        <v>5538</v>
      </c>
      <c r="N25" s="30">
        <f t="shared" si="23"/>
        <v>5483</v>
      </c>
      <c r="O25" s="30">
        <f t="shared" ref="O25" si="24">O16-O17</f>
        <v>5392</v>
      </c>
    </row>
    <row r="26" spans="1:24">
      <c r="A26" s="1" t="s">
        <v>4</v>
      </c>
      <c r="B26" s="1" t="s">
        <v>2</v>
      </c>
      <c r="C26" s="1" t="s">
        <v>16885</v>
      </c>
      <c r="D26" s="8" t="s">
        <v>16886</v>
      </c>
      <c r="E26" s="29">
        <v>7461</v>
      </c>
      <c r="F26" s="43">
        <v>8194</v>
      </c>
      <c r="G26" s="43">
        <v>1572</v>
      </c>
      <c r="H26" s="43">
        <v>591</v>
      </c>
      <c r="I26" s="259">
        <v>591</v>
      </c>
      <c r="J26" s="260">
        <f>SUM(J27)</f>
        <v>0</v>
      </c>
      <c r="K26" s="260">
        <f t="shared" ref="K26:O26" si="25">SUM(K27)</f>
        <v>0</v>
      </c>
      <c r="L26" s="260">
        <f t="shared" si="25"/>
        <v>0</v>
      </c>
      <c r="M26" s="260">
        <f t="shared" si="25"/>
        <v>0</v>
      </c>
      <c r="N26" s="260">
        <f t="shared" si="25"/>
        <v>0</v>
      </c>
      <c r="O26" s="260">
        <f t="shared" si="25"/>
        <v>0</v>
      </c>
    </row>
    <row r="27" spans="1:24">
      <c r="A27" s="1" t="s">
        <v>14</v>
      </c>
      <c r="B27" s="1" t="s">
        <v>2</v>
      </c>
      <c r="C27" s="1" t="s">
        <v>16887</v>
      </c>
      <c r="D27" s="2" t="s">
        <v>16888</v>
      </c>
      <c r="E27" s="31"/>
      <c r="F27" s="24">
        <f>F56</f>
        <v>203</v>
      </c>
      <c r="G27" s="24">
        <f t="shared" ref="G27:H27" si="26">G56</f>
        <v>311</v>
      </c>
      <c r="H27" s="24">
        <f t="shared" si="26"/>
        <v>137</v>
      </c>
      <c r="I27" s="261">
        <f>I56 *I2/100</f>
        <v>137</v>
      </c>
      <c r="J27" s="262">
        <f t="shared" ref="J27:O27" si="27">INT(J14*J7/100)</f>
        <v>0</v>
      </c>
      <c r="K27" s="262">
        <f t="shared" si="27"/>
        <v>0</v>
      </c>
      <c r="L27" s="262">
        <f t="shared" si="27"/>
        <v>0</v>
      </c>
      <c r="M27" s="262">
        <f t="shared" si="27"/>
        <v>0</v>
      </c>
      <c r="N27" s="262">
        <f t="shared" si="27"/>
        <v>0</v>
      </c>
      <c r="O27" s="262">
        <f t="shared" si="27"/>
        <v>0</v>
      </c>
    </row>
    <row r="28" spans="1:24">
      <c r="A28" s="1" t="s">
        <v>14</v>
      </c>
      <c r="B28" s="1" t="s">
        <v>2</v>
      </c>
      <c r="C28" s="1" t="s">
        <v>16889</v>
      </c>
      <c r="D28" s="2" t="s">
        <v>16890</v>
      </c>
      <c r="E28" s="31">
        <v>346</v>
      </c>
      <c r="F28" s="31">
        <v>10</v>
      </c>
      <c r="G28" s="31">
        <v>124</v>
      </c>
      <c r="H28" s="31">
        <v>106</v>
      </c>
      <c r="I28" s="263">
        <v>106</v>
      </c>
      <c r="J28" s="262">
        <f>INT(J11*J8/100)</f>
        <v>0</v>
      </c>
      <c r="K28" s="262">
        <f t="shared" ref="K28:N28" si="28">INT(K11*K8/100)</f>
        <v>0</v>
      </c>
      <c r="L28" s="262">
        <f t="shared" si="28"/>
        <v>0</v>
      </c>
      <c r="M28" s="262">
        <f t="shared" si="28"/>
        <v>0</v>
      </c>
      <c r="N28" s="262">
        <f t="shared" si="28"/>
        <v>0</v>
      </c>
      <c r="O28" s="262">
        <f t="shared" ref="O28" si="29">INT(O11*O8/100)</f>
        <v>0</v>
      </c>
    </row>
    <row r="29" spans="1:24">
      <c r="A29" s="1" t="s">
        <v>4</v>
      </c>
      <c r="B29" s="1" t="s">
        <v>2</v>
      </c>
      <c r="C29" s="1" t="s">
        <v>16891</v>
      </c>
      <c r="D29" s="8" t="s">
        <v>16892</v>
      </c>
      <c r="E29" s="29">
        <v>2962</v>
      </c>
      <c r="F29" s="43">
        <v>5284</v>
      </c>
      <c r="G29" s="43">
        <v>6598</v>
      </c>
      <c r="H29" s="43">
        <v>1938</v>
      </c>
      <c r="I29" s="259">
        <v>1938</v>
      </c>
      <c r="J29" s="260">
        <f>SUM(J30)</f>
        <v>0</v>
      </c>
      <c r="K29" s="260">
        <f t="shared" ref="K29:O29" si="30">SUM(K30)</f>
        <v>0</v>
      </c>
      <c r="L29" s="260">
        <f t="shared" si="30"/>
        <v>0</v>
      </c>
      <c r="M29" s="260">
        <f t="shared" si="30"/>
        <v>0</v>
      </c>
      <c r="N29" s="260">
        <f t="shared" si="30"/>
        <v>0</v>
      </c>
      <c r="O29" s="260">
        <f t="shared" si="30"/>
        <v>0</v>
      </c>
    </row>
    <row r="30" spans="1:24">
      <c r="A30" s="1" t="s">
        <v>14</v>
      </c>
      <c r="B30" s="1" t="s">
        <v>2</v>
      </c>
      <c r="C30" s="1" t="s">
        <v>16893</v>
      </c>
      <c r="D30" s="2" t="s">
        <v>16894</v>
      </c>
      <c r="E30" s="31"/>
      <c r="F30" s="24">
        <f>F125</f>
        <v>229</v>
      </c>
      <c r="G30" s="24">
        <f t="shared" ref="G30:H30" si="31">G125</f>
        <v>1124</v>
      </c>
      <c r="H30" s="24">
        <f t="shared" si="31"/>
        <v>1302</v>
      </c>
      <c r="I30" s="261">
        <f>I125 *I2/100</f>
        <v>1302</v>
      </c>
      <c r="J30" s="262">
        <f>INT(J14*J9/100)</f>
        <v>0</v>
      </c>
      <c r="K30" s="262">
        <f t="shared" ref="K30:N30" si="32">INT(K14*K9/100)</f>
        <v>0</v>
      </c>
      <c r="L30" s="262">
        <f t="shared" si="32"/>
        <v>0</v>
      </c>
      <c r="M30" s="262">
        <f t="shared" si="32"/>
        <v>0</v>
      </c>
      <c r="N30" s="262">
        <f t="shared" si="32"/>
        <v>0</v>
      </c>
      <c r="O30" s="262">
        <f t="shared" ref="O30" si="33">INT(O14*O9/100)</f>
        <v>0</v>
      </c>
    </row>
    <row r="31" spans="1:24">
      <c r="A31" s="1" t="s">
        <v>14</v>
      </c>
      <c r="B31" s="1" t="s">
        <v>2</v>
      </c>
      <c r="C31" s="1" t="s">
        <v>16895</v>
      </c>
      <c r="D31" s="2" t="s">
        <v>16896</v>
      </c>
      <c r="E31" s="31">
        <v>127</v>
      </c>
      <c r="F31" s="42">
        <v>153</v>
      </c>
      <c r="G31" s="42">
        <v>658</v>
      </c>
      <c r="H31" s="42">
        <v>1121</v>
      </c>
      <c r="I31" s="264">
        <v>1121</v>
      </c>
      <c r="J31" s="262">
        <f>INT(J12*J10/100)</f>
        <v>0</v>
      </c>
      <c r="K31" s="262">
        <f t="shared" ref="K31:N31" si="34">INT(K12*K10/100)</f>
        <v>0</v>
      </c>
      <c r="L31" s="262">
        <f t="shared" si="34"/>
        <v>0</v>
      </c>
      <c r="M31" s="262">
        <f t="shared" si="34"/>
        <v>0</v>
      </c>
      <c r="N31" s="262">
        <f t="shared" si="34"/>
        <v>0</v>
      </c>
      <c r="O31" s="262">
        <f t="shared" ref="O31" si="35">INT(O12*O10/100)</f>
        <v>0</v>
      </c>
    </row>
    <row r="32" spans="1:24">
      <c r="A32" s="1" t="s">
        <v>4</v>
      </c>
      <c r="B32" s="1" t="s">
        <v>2</v>
      </c>
      <c r="C32" s="1" t="s">
        <v>16897</v>
      </c>
      <c r="D32" s="8" t="s">
        <v>16898</v>
      </c>
      <c r="E32" s="29">
        <v>11137</v>
      </c>
      <c r="F32" s="43">
        <v>9777</v>
      </c>
      <c r="G32" s="43">
        <v>3702</v>
      </c>
      <c r="H32" s="43">
        <v>2444</v>
      </c>
      <c r="I32" s="65">
        <f>I25+I26-I29</f>
        <v>2444</v>
      </c>
      <c r="J32" s="30">
        <f t="shared" ref="J32:N32" si="36">J25+J26-J29</f>
        <v>5548</v>
      </c>
      <c r="K32" s="30">
        <f t="shared" si="36"/>
        <v>5568</v>
      </c>
      <c r="L32" s="30">
        <f t="shared" si="36"/>
        <v>5567</v>
      </c>
      <c r="M32" s="30">
        <f t="shared" si="36"/>
        <v>5538</v>
      </c>
      <c r="N32" s="30">
        <f t="shared" si="36"/>
        <v>5483</v>
      </c>
      <c r="O32" s="30">
        <f t="shared" ref="O32" si="37">O25+O26-O29</f>
        <v>5392</v>
      </c>
      <c r="R32" s="645" t="str">
        <f>민감도!I11</f>
        <v>과세표준</v>
      </c>
      <c r="S32" s="645" t="str">
        <f>민감도!J11</f>
        <v>세율(*)</v>
      </c>
      <c r="T32" s="645" t="str">
        <f>민감도!K11</f>
        <v>누진공제</v>
      </c>
      <c r="U32" s="645" t="str">
        <f>민감도!L11</f>
        <v>기준</v>
      </c>
      <c r="V32"/>
      <c r="W32"/>
      <c r="X32"/>
    </row>
    <row r="33" spans="1:24">
      <c r="A33" s="1" t="s">
        <v>14</v>
      </c>
      <c r="B33" s="1" t="s">
        <v>3</v>
      </c>
      <c r="C33" s="1" t="s">
        <v>16899</v>
      </c>
      <c r="D33" s="2" t="s">
        <v>16900</v>
      </c>
      <c r="E33" s="31"/>
      <c r="F33" s="31"/>
      <c r="G33" s="31"/>
      <c r="H33" s="31"/>
      <c r="I33" s="248">
        <f>IF(I32&lt;=0,0,VLOOKUP(I32,법인세[],2))</f>
        <v>20.900000000000002</v>
      </c>
      <c r="J33" s="248">
        <f>IF(J32&lt;=0,0,VLOOKUP(J32,법인세[],2))</f>
        <v>20.900000000000002</v>
      </c>
      <c r="K33" s="248">
        <f>IF(K32&lt;=0,0,VLOOKUP(K32,법인세[],2))</f>
        <v>20.900000000000002</v>
      </c>
      <c r="L33" s="248">
        <f>IF(L32&lt;=0,0,VLOOKUP(L32,법인세[],2))</f>
        <v>20.900000000000002</v>
      </c>
      <c r="M33" s="248">
        <f>IF(M32&lt;=0,0,VLOOKUP(M32,법인세[],2))</f>
        <v>20.900000000000002</v>
      </c>
      <c r="N33" s="248">
        <f>IF(N32&lt;=0,0,VLOOKUP(N32,법인세[],2))</f>
        <v>20.900000000000002</v>
      </c>
      <c r="O33" s="248">
        <f>IF(O32&lt;=0,0,VLOOKUP(O32,법인세[],2))</f>
        <v>20.900000000000002</v>
      </c>
      <c r="R33" s="646">
        <f>민감도!I12</f>
        <v>0</v>
      </c>
      <c r="S33" s="647">
        <f>민감도!J12</f>
        <v>9.9</v>
      </c>
      <c r="T33" s="648">
        <f>민감도!K12</f>
        <v>0</v>
      </c>
      <c r="U33" s="649" t="str">
        <f>민감도!L12</f>
        <v>2억미만</v>
      </c>
      <c r="V33"/>
      <c r="W33"/>
      <c r="X33"/>
    </row>
    <row r="34" spans="1:24">
      <c r="A34" s="1" t="s">
        <v>14</v>
      </c>
      <c r="B34" s="1" t="s">
        <v>2</v>
      </c>
      <c r="C34" s="1" t="s">
        <v>16901</v>
      </c>
      <c r="D34" s="2" t="s">
        <v>16902</v>
      </c>
      <c r="E34" s="31">
        <v>966</v>
      </c>
      <c r="F34" s="31">
        <v>2693</v>
      </c>
      <c r="G34" s="31">
        <v>186</v>
      </c>
      <c r="H34" s="31">
        <v>160</v>
      </c>
      <c r="I34" s="105">
        <f>IF(I33=0,I32,I32*I33/100-VLOOKUP(I32,법인세[],3))</f>
        <v>488.79600000000005</v>
      </c>
      <c r="J34" s="495">
        <f>IF(J33=0,J32,J32*J33/100-VLOOKUP(J32,법인세[],3))</f>
        <v>1137.5320000000002</v>
      </c>
      <c r="K34" s="495">
        <f>IF(K33=0,K32,K32*K33/100-VLOOKUP(K32,법인세[],3))</f>
        <v>1141.7120000000002</v>
      </c>
      <c r="L34" s="495">
        <f>IF(L33=0,L32,L32*L33/100-VLOOKUP(L32,법인세[],3))</f>
        <v>1141.5030000000002</v>
      </c>
      <c r="M34" s="495">
        <f>IF(M33=0,M32,M32*M33/100-VLOOKUP(M32,법인세[],3))</f>
        <v>1135.442</v>
      </c>
      <c r="N34" s="495">
        <f>IF(N33=0,N32,N32*N33/100-VLOOKUP(N32,법인세[],3))</f>
        <v>1123.9470000000001</v>
      </c>
      <c r="O34" s="495">
        <f>IF(O33=0,O32,O32*O33/100-VLOOKUP(O32,법인세[],3))</f>
        <v>1104.9280000000001</v>
      </c>
      <c r="R34" s="646">
        <f>민감도!I13</f>
        <v>200</v>
      </c>
      <c r="S34" s="647">
        <f>민감도!J13</f>
        <v>20.900000000000002</v>
      </c>
      <c r="T34" s="646">
        <f>민감도!K13</f>
        <v>22</v>
      </c>
      <c r="U34" s="649" t="str">
        <f>민감도!L13</f>
        <v>2~200</v>
      </c>
      <c r="V34"/>
      <c r="W34"/>
      <c r="X34"/>
    </row>
    <row r="35" spans="1:24">
      <c r="A35" s="1" t="s">
        <v>14</v>
      </c>
      <c r="B35" s="1" t="s">
        <v>2</v>
      </c>
      <c r="C35" s="1" t="s">
        <v>16903</v>
      </c>
      <c r="D35" s="2" t="s">
        <v>16904</v>
      </c>
      <c r="E35" s="31">
        <v>10172</v>
      </c>
      <c r="F35" s="31">
        <v>7085</v>
      </c>
      <c r="G35" s="31">
        <v>3516</v>
      </c>
      <c r="H35" s="31">
        <v>2284</v>
      </c>
      <c r="I35" s="32">
        <f>I32-I34</f>
        <v>1955.204</v>
      </c>
      <c r="J35" s="32">
        <f>J32-J34</f>
        <v>4410.4679999999998</v>
      </c>
      <c r="K35" s="32">
        <f t="shared" ref="K35:N35" si="38">K32-K34</f>
        <v>4426.2879999999996</v>
      </c>
      <c r="L35" s="32">
        <f t="shared" si="38"/>
        <v>4425.4969999999994</v>
      </c>
      <c r="M35" s="32">
        <f t="shared" si="38"/>
        <v>4402.558</v>
      </c>
      <c r="N35" s="32">
        <f t="shared" si="38"/>
        <v>4359.0529999999999</v>
      </c>
      <c r="O35" s="32">
        <f t="shared" ref="O35" si="39">O32-O34</f>
        <v>4287.0720000000001</v>
      </c>
      <c r="R35" s="646">
        <f>민감도!I14</f>
        <v>20000</v>
      </c>
      <c r="S35" s="647">
        <f>민감도!J14</f>
        <v>23.1</v>
      </c>
      <c r="T35" s="646">
        <f>민감도!K14</f>
        <v>462</v>
      </c>
      <c r="U35" s="649" t="str">
        <f>민감도!L14</f>
        <v>200~3000</v>
      </c>
      <c r="V35"/>
      <c r="W35"/>
      <c r="X35"/>
    </row>
    <row r="36" spans="1:24">
      <c r="A36" s="1" t="s">
        <v>4</v>
      </c>
      <c r="B36" s="1" t="s">
        <v>2</v>
      </c>
      <c r="C36" s="1" t="s">
        <v>16905</v>
      </c>
      <c r="D36" s="8" t="s">
        <v>16906</v>
      </c>
      <c r="E36" s="29">
        <v>10172</v>
      </c>
      <c r="F36" s="29">
        <v>7085</v>
      </c>
      <c r="G36" s="29">
        <v>3516</v>
      </c>
      <c r="H36" s="29">
        <v>2284</v>
      </c>
      <c r="I36" s="36">
        <f>I35</f>
        <v>1955.204</v>
      </c>
      <c r="J36" s="36">
        <f>J35</f>
        <v>4410.4679999999998</v>
      </c>
      <c r="K36" s="36">
        <f t="shared" ref="K36:N36" si="40">K35</f>
        <v>4426.2879999999996</v>
      </c>
      <c r="L36" s="36">
        <f t="shared" si="40"/>
        <v>4425.4969999999994</v>
      </c>
      <c r="M36" s="36">
        <f t="shared" si="40"/>
        <v>4402.558</v>
      </c>
      <c r="N36" s="36">
        <f t="shared" si="40"/>
        <v>4359.0529999999999</v>
      </c>
      <c r="O36" s="36">
        <f t="shared" ref="O36" si="41">O35</f>
        <v>4287.0720000000001</v>
      </c>
      <c r="R36" s="646">
        <f>민감도!I15</f>
        <v>300000</v>
      </c>
      <c r="S36" s="647">
        <f>민감도!J15</f>
        <v>26.400000000000002</v>
      </c>
      <c r="T36" s="646">
        <f>민감도!K15</f>
        <v>10362</v>
      </c>
      <c r="U36" s="649" t="str">
        <f>민감도!L15</f>
        <v>3000억초과</v>
      </c>
      <c r="V36"/>
      <c r="W36"/>
      <c r="X36"/>
    </row>
    <row r="37" spans="1:24">
      <c r="A37" s="1" t="s">
        <v>4</v>
      </c>
      <c r="B37" s="1" t="s">
        <v>2</v>
      </c>
      <c r="C37" s="1" t="s">
        <v>16907</v>
      </c>
      <c r="D37" s="2" t="s">
        <v>16908</v>
      </c>
      <c r="E37" s="45">
        <f>E26-E55</f>
        <v>-1</v>
      </c>
      <c r="F37" s="45">
        <f>F26-F55</f>
        <v>0</v>
      </c>
      <c r="G37" s="45">
        <f>G26-G55</f>
        <v>1</v>
      </c>
      <c r="H37" s="45">
        <f>H26-H55</f>
        <v>0</v>
      </c>
      <c r="I37" s="2"/>
      <c r="O37" s="86"/>
      <c r="R37" s="204"/>
      <c r="S37" s="650" t="s">
        <v>710</v>
      </c>
      <c r="T37" s="204"/>
      <c r="U37" s="204"/>
      <c r="V37"/>
      <c r="W37"/>
      <c r="X37"/>
    </row>
    <row r="38" spans="1:24">
      <c r="A38" s="1" t="s">
        <v>4</v>
      </c>
      <c r="B38" s="1" t="s">
        <v>2</v>
      </c>
      <c r="C38" s="1" t="s">
        <v>16909</v>
      </c>
      <c r="D38" s="2" t="s">
        <v>16910</v>
      </c>
      <c r="E38" s="45">
        <f>E29-E124</f>
        <v>1</v>
      </c>
      <c r="F38" s="45">
        <f>F29-F124</f>
        <v>-1</v>
      </c>
      <c r="G38" s="45">
        <f>G29-G124</f>
        <v>0</v>
      </c>
      <c r="H38" s="45">
        <f>H29-H124</f>
        <v>-1</v>
      </c>
      <c r="I38" s="2"/>
      <c r="O38" s="86"/>
    </row>
    <row r="39" spans="1:24" s="204" customFormat="1">
      <c r="A39" s="1" t="s">
        <v>16602</v>
      </c>
      <c r="B39" s="1" t="s">
        <v>16911</v>
      </c>
      <c r="C39" s="1" t="s">
        <v>16912</v>
      </c>
      <c r="D39" s="204" t="s">
        <v>16913</v>
      </c>
      <c r="E39" s="498"/>
      <c r="F39" s="498"/>
      <c r="G39" s="498"/>
      <c r="H39" s="498"/>
      <c r="J39" s="266">
        <f>(IS추정!J14/IS추정!I14-1)*100</f>
        <v>2.3197108997183413</v>
      </c>
      <c r="K39" s="266">
        <f>(IS추정!K14/IS추정!J14-1)*100</f>
        <v>2.3346404549822175</v>
      </c>
      <c r="L39" s="266">
        <f>(IS추정!L14/IS추정!K14-1)*100</f>
        <v>2.2103233010201562</v>
      </c>
      <c r="M39" s="266">
        <f>(IS추정!M14/IS추정!L14-1)*100</f>
        <v>2.1302480323758033</v>
      </c>
      <c r="N39" s="266">
        <f>(IS추정!N14/IS추정!M14-1)*100</f>
        <v>2.083383979579434</v>
      </c>
      <c r="O39" s="266">
        <f>(IS추정!O14/IS추정!N14-1)*100</f>
        <v>2.0241950847780465</v>
      </c>
    </row>
    <row r="40" spans="1:24" s="204" customFormat="1">
      <c r="A40" s="1" t="s">
        <v>16602</v>
      </c>
      <c r="B40" s="1" t="s">
        <v>16911</v>
      </c>
      <c r="C40" s="1" t="s">
        <v>16914</v>
      </c>
      <c r="D40" s="204" t="s">
        <v>16915</v>
      </c>
      <c r="E40" s="498"/>
      <c r="F40" s="498"/>
      <c r="G40" s="498"/>
      <c r="H40" s="498"/>
      <c r="J40" s="266">
        <f>J15/J14*100</f>
        <v>60.344872360869452</v>
      </c>
      <c r="K40" s="266">
        <f t="shared" ref="K40:O40" si="42">K15/K14*100</f>
        <v>60.346140181698217</v>
      </c>
      <c r="L40" s="266">
        <f t="shared" si="42"/>
        <v>60.344613551158233</v>
      </c>
      <c r="M40" s="266">
        <f t="shared" si="42"/>
        <v>60.34520481341923</v>
      </c>
      <c r="N40" s="266">
        <f t="shared" si="42"/>
        <v>60.344827586206897</v>
      </c>
      <c r="O40" s="266">
        <f t="shared" si="42"/>
        <v>60.34498856262546</v>
      </c>
    </row>
    <row r="41" spans="1:24" s="204" customFormat="1">
      <c r="A41" s="1" t="s">
        <v>16602</v>
      </c>
      <c r="B41" s="1" t="s">
        <v>16911</v>
      </c>
      <c r="C41" s="1" t="s">
        <v>16916</v>
      </c>
      <c r="D41" s="204" t="s">
        <v>16917</v>
      </c>
      <c r="E41" s="498"/>
      <c r="F41" s="498"/>
      <c r="G41" s="498"/>
      <c r="H41" s="498"/>
      <c r="J41" s="266">
        <f>(IS추정!J17/IS추정!J14)*100</f>
        <v>25.247357623289275</v>
      </c>
      <c r="K41" s="266">
        <f>(IS추정!K17/IS추정!K14)*100</f>
        <v>25.524031873318787</v>
      </c>
      <c r="L41" s="266">
        <f>(IS추정!L17/IS추정!L14)*100</f>
        <v>25.83360230404449</v>
      </c>
      <c r="M41" s="266">
        <f>(IS추정!M17/IS추정!M14)*100</f>
        <v>26.191807463230827</v>
      </c>
      <c r="N41" s="266">
        <f>(IS추정!N17/IS추정!N14)*100</f>
        <v>26.597923413983615</v>
      </c>
      <c r="O41" s="266">
        <f>(IS추정!O17/IS추정!O14)*100</f>
        <v>27.06923112833201</v>
      </c>
    </row>
    <row r="42" spans="1:24" s="204" customFormat="1" ht="17.25" thickBot="1">
      <c r="A42" s="1" t="s">
        <v>16602</v>
      </c>
      <c r="B42" s="1" t="s">
        <v>16911</v>
      </c>
      <c r="C42" s="1" t="s">
        <v>16918</v>
      </c>
      <c r="D42" s="204" t="s">
        <v>16919</v>
      </c>
      <c r="E42" s="498"/>
      <c r="F42" s="498"/>
      <c r="G42" s="498"/>
      <c r="H42" s="498"/>
      <c r="J42" s="266">
        <f>J52*100</f>
        <v>14.407770015841276</v>
      </c>
      <c r="K42" s="266">
        <f t="shared" ref="K42:O42" si="43">K52*100</f>
        <v>14.129827944982997</v>
      </c>
      <c r="L42" s="266">
        <f t="shared" si="43"/>
        <v>13.821784144797277</v>
      </c>
      <c r="M42" s="266">
        <f t="shared" si="43"/>
        <v>13.462987723349945</v>
      </c>
      <c r="N42" s="266">
        <f t="shared" si="43"/>
        <v>13.057248999809486</v>
      </c>
      <c r="O42" s="266">
        <f t="shared" si="43"/>
        <v>12.58578030904253</v>
      </c>
    </row>
    <row r="43" spans="1:24">
      <c r="D43" s="161" t="s">
        <v>69</v>
      </c>
      <c r="E43" s="162"/>
      <c r="F43" s="162">
        <f t="shared" ref="F43:O43" si="44">F28/F27</f>
        <v>4.9261083743842367E-2</v>
      </c>
      <c r="G43" s="162">
        <f t="shared" si="44"/>
        <v>0.3987138263665595</v>
      </c>
      <c r="H43" s="162">
        <f t="shared" si="44"/>
        <v>0.77372262773722633</v>
      </c>
      <c r="I43" s="162">
        <f t="shared" si="44"/>
        <v>0.77372262773722633</v>
      </c>
      <c r="J43" s="162" t="e">
        <f t="shared" si="44"/>
        <v>#DIV/0!</v>
      </c>
      <c r="K43" s="162" t="e">
        <f t="shared" si="44"/>
        <v>#DIV/0!</v>
      </c>
      <c r="L43" s="162" t="e">
        <f t="shared" si="44"/>
        <v>#DIV/0!</v>
      </c>
      <c r="M43" s="162" t="e">
        <f t="shared" si="44"/>
        <v>#DIV/0!</v>
      </c>
      <c r="N43" s="162" t="e">
        <f t="shared" si="44"/>
        <v>#DIV/0!</v>
      </c>
      <c r="O43" s="162" t="e">
        <f t="shared" si="44"/>
        <v>#DIV/0!</v>
      </c>
      <c r="P43" s="163" t="e">
        <f>IF(AND(I43&lt;=1,J43&lt;=1,K43&lt;=1,L43&lt;=1,M43&lt;=1,N43&lt;=1,O43&lt;=1),"이상없음","이자수익초과")</f>
        <v>#DIV/0!</v>
      </c>
      <c r="Q43" s="56" t="s">
        <v>0</v>
      </c>
    </row>
    <row r="44" spans="1:24" ht="17.25" thickBot="1">
      <c r="D44" s="164" t="s">
        <v>70</v>
      </c>
      <c r="E44" s="165"/>
      <c r="F44" s="165">
        <f t="shared" ref="F44:O44" si="45">F31/F30</f>
        <v>0.66812227074235808</v>
      </c>
      <c r="G44" s="165">
        <f t="shared" si="45"/>
        <v>0.58540925266903909</v>
      </c>
      <c r="H44" s="165">
        <f t="shared" si="45"/>
        <v>0.86098310291858682</v>
      </c>
      <c r="I44" s="165">
        <f t="shared" si="45"/>
        <v>0.86098310291858682</v>
      </c>
      <c r="J44" s="165" t="e">
        <f t="shared" si="45"/>
        <v>#DIV/0!</v>
      </c>
      <c r="K44" s="165" t="e">
        <f t="shared" si="45"/>
        <v>#DIV/0!</v>
      </c>
      <c r="L44" s="165" t="e">
        <f t="shared" si="45"/>
        <v>#DIV/0!</v>
      </c>
      <c r="M44" s="165" t="e">
        <f t="shared" si="45"/>
        <v>#DIV/0!</v>
      </c>
      <c r="N44" s="165" t="e">
        <f t="shared" si="45"/>
        <v>#DIV/0!</v>
      </c>
      <c r="O44" s="165" t="e">
        <f t="shared" si="45"/>
        <v>#DIV/0!</v>
      </c>
      <c r="P44" s="166" t="e">
        <f>IF(AND(I44&lt;=1,J44&lt;=1,K44&lt;=1,L44&lt;=1,M44&lt;=1,N44&lt;=1,O44&lt;=1),"이상없음","이자비용초과")</f>
        <v>#DIV/0!</v>
      </c>
      <c r="Q44" s="57">
        <f ca="1">+민감도!B7</f>
        <v>15427948.43692149</v>
      </c>
    </row>
    <row r="45" spans="1:24">
      <c r="I45" s="2"/>
    </row>
    <row r="46" spans="1:24">
      <c r="A46" s="367">
        <f>ROW(C50)-ROW(C46)</f>
        <v>4</v>
      </c>
      <c r="B46" s="1"/>
      <c r="C46" s="1" t="s">
        <v>16920</v>
      </c>
      <c r="D46" s="1" t="s">
        <v>16921</v>
      </c>
      <c r="E46" s="1" t="s">
        <v>16376</v>
      </c>
      <c r="F46" s="1" t="s">
        <v>16378</v>
      </c>
      <c r="G46" s="1" t="s">
        <v>16380</v>
      </c>
      <c r="H46" s="1" t="s">
        <v>16382</v>
      </c>
      <c r="I46" s="1" t="s">
        <v>16674</v>
      </c>
      <c r="J46" s="1" t="s">
        <v>16930</v>
      </c>
      <c r="K46" s="1"/>
      <c r="L46" s="116" t="s">
        <v>25</v>
      </c>
      <c r="N46" s="126" t="s">
        <v>32</v>
      </c>
      <c r="O46" s="126" t="s">
        <v>33</v>
      </c>
      <c r="P46" s="126" t="s">
        <v>34</v>
      </c>
      <c r="Q46" s="126" t="s">
        <v>33</v>
      </c>
      <c r="R46" s="126" t="s">
        <v>35</v>
      </c>
      <c r="S46" s="126" t="s">
        <v>36</v>
      </c>
    </row>
    <row r="47" spans="1:24">
      <c r="A47" s="1" t="s">
        <v>14</v>
      </c>
      <c r="B47" s="1" t="s">
        <v>3</v>
      </c>
      <c r="C47" s="1" t="s">
        <v>16922</v>
      </c>
      <c r="D47" s="2" t="s">
        <v>16923</v>
      </c>
      <c r="E47" s="87">
        <f>IF(E14=0,0,E56/E14*100)</f>
        <v>2.797563261480787</v>
      </c>
      <c r="F47" s="28">
        <f>IF(F14=0,0,F56/F14*100)</f>
        <v>0.83642356819118246</v>
      </c>
      <c r="G47" s="87">
        <f>IF(G14=0,0,G56/G14*100)</f>
        <v>0.81302938408449232</v>
      </c>
      <c r="H47" s="87">
        <f>IF(H14=0,0,H56/H14*100)</f>
        <v>0.36403252378168677</v>
      </c>
      <c r="I47" s="28">
        <f>(F47+G47*2+H47*3)/6</f>
        <v>0.59242998461753782</v>
      </c>
      <c r="J47" s="497">
        <v>0</v>
      </c>
      <c r="K47" s="92">
        <f>(E47+F47*2+G47*3)/6</f>
        <v>1.1515830916861047</v>
      </c>
      <c r="L47" s="159"/>
      <c r="N47" s="117">
        <f>AVERAGE(E47:H47)</f>
        <v>1.2027621843845371</v>
      </c>
      <c r="O47" s="117">
        <f>AVERAGE(F47:H47)</f>
        <v>0.67116182535245394</v>
      </c>
      <c r="P47" s="117">
        <f>AVERAGE(G47:H47)</f>
        <v>0.58853095393308952</v>
      </c>
      <c r="Q47" s="117">
        <f>AVERAGE(E47:G47)</f>
        <v>1.4823387379188206</v>
      </c>
      <c r="R47" s="117">
        <f>(4*H47+3*G47+2*F47+E47)/10</f>
        <v>0.83656286452433759</v>
      </c>
      <c r="S47" s="117">
        <f>(2*H47+G47)/3</f>
        <v>0.51369814388262192</v>
      </c>
    </row>
    <row r="48" spans="1:24">
      <c r="A48" s="1" t="s">
        <v>14</v>
      </c>
      <c r="B48" s="1" t="s">
        <v>3</v>
      </c>
      <c r="C48" s="1" t="s">
        <v>16924</v>
      </c>
      <c r="D48" s="2" t="s">
        <v>16925</v>
      </c>
      <c r="E48" s="87">
        <f>IF((E11)=0,0,(E28/E11)*100)</f>
        <v>2.6497166487976722</v>
      </c>
      <c r="F48" s="28">
        <f>IF((E11+F11)=0,0,(F28/((E11+F11)/2))*100)</f>
        <v>5.5025174017112821E-2</v>
      </c>
      <c r="G48" s="87">
        <f>IF((F11+G11)=0,0,(G28/((F11+G11)/2))*100)</f>
        <v>0.7940319533826401</v>
      </c>
      <c r="H48" s="87">
        <f>IF((G11+H11)=0,0,(I28/((G11+H11)/2))*100)</f>
        <v>1.5481232656637942</v>
      </c>
      <c r="I48" s="28">
        <f t="shared" ref="I48:I50" si="46">(F48+G48*2+H48*3)/6</f>
        <v>1.0479098129622959</v>
      </c>
      <c r="J48" s="497">
        <v>0</v>
      </c>
      <c r="K48" s="92">
        <f t="shared" ref="K48:K50" si="47">(E48+F48*2+G48*3)/6</f>
        <v>0.85697714282996973</v>
      </c>
      <c r="L48" s="159"/>
      <c r="N48" s="117">
        <f>AVERAGE(E48:H48)</f>
        <v>1.2617242604653049</v>
      </c>
      <c r="O48" s="117">
        <f>AVERAGE(F48:H48)</f>
        <v>0.79906013102118234</v>
      </c>
      <c r="P48" s="117">
        <f>AVERAGE(G48:H48)</f>
        <v>1.1710776095232172</v>
      </c>
      <c r="Q48" s="117">
        <f>AVERAGE(E48:G48)</f>
        <v>1.1662579253991419</v>
      </c>
      <c r="R48" s="117">
        <f>(4*H48+3*G48+2*F48+E48)/10</f>
        <v>1.1334355919634995</v>
      </c>
      <c r="S48" s="117">
        <f>(2*H48+G48)/3</f>
        <v>1.2967594949034096</v>
      </c>
    </row>
    <row r="49" spans="1:19">
      <c r="A49" s="1" t="s">
        <v>14</v>
      </c>
      <c r="B49" s="1" t="s">
        <v>3</v>
      </c>
      <c r="C49" s="1" t="s">
        <v>16926</v>
      </c>
      <c r="D49" s="2" t="s">
        <v>16927</v>
      </c>
      <c r="E49" s="87">
        <f>IF(E125=0,0,E125/E14*100)</f>
        <v>0.98875351452671034</v>
      </c>
      <c r="F49" s="28">
        <f>IF(F125=0,0,F125/F14*100)</f>
        <v>0.94355170992995474</v>
      </c>
      <c r="G49" s="87">
        <f>IF(G125=0,0,G125/G14*100)</f>
        <v>2.9384084492314129</v>
      </c>
      <c r="H49" s="87">
        <f>IF(H125=0,0,H125/H14*100)</f>
        <v>3.4596375617792421</v>
      </c>
      <c r="I49" s="28">
        <f t="shared" si="46"/>
        <v>2.8665468822884179</v>
      </c>
      <c r="J49" s="497">
        <v>0</v>
      </c>
      <c r="K49" s="92">
        <f t="shared" si="47"/>
        <v>1.9485137136801429</v>
      </c>
      <c r="L49" s="159"/>
      <c r="N49" s="117">
        <f>AVERAGE(E49:H49)</f>
        <v>2.0825878088668301</v>
      </c>
      <c r="O49" s="117">
        <f>AVERAGE(F49:H49)</f>
        <v>2.4471992403135365</v>
      </c>
      <c r="P49" s="117">
        <f>AVERAGE(G49:H49)</f>
        <v>3.1990230055053273</v>
      </c>
      <c r="Q49" s="117">
        <f>AVERAGE(E49:G49)</f>
        <v>1.6235712245626928</v>
      </c>
      <c r="R49" s="117">
        <f>(4*H49+3*G49+2*F49+E49)/10</f>
        <v>2.5529632529197825</v>
      </c>
      <c r="S49" s="117">
        <f>(2*H49+G49)/3</f>
        <v>3.2858945242632989</v>
      </c>
    </row>
    <row r="50" spans="1:19">
      <c r="A50" s="1" t="s">
        <v>14</v>
      </c>
      <c r="B50" s="1" t="s">
        <v>3</v>
      </c>
      <c r="C50" s="1" t="s">
        <v>16928</v>
      </c>
      <c r="D50" s="2" t="s">
        <v>16929</v>
      </c>
      <c r="E50" s="87">
        <f>IF((E12)=0,0,(E31/E12)*100)</f>
        <v>2.4848366268831934</v>
      </c>
      <c r="F50" s="28">
        <f>IF((E12+F12)=0,0,(F31/((E12+F12)/2))*100)</f>
        <v>1.7920937042459735</v>
      </c>
      <c r="G50" s="87">
        <f>IF((F12+G12)=0,0,(G31/((F12+G12)/2))*100)</f>
        <v>4.1832226072030263</v>
      </c>
      <c r="H50" s="87">
        <f>IF((G12+H12)=0,0,(I31/((G12+H12)/2))*100)</f>
        <v>6.059950806822175</v>
      </c>
      <c r="I50" s="28">
        <f t="shared" si="46"/>
        <v>4.723065223186425</v>
      </c>
      <c r="J50" s="497">
        <v>0</v>
      </c>
      <c r="K50" s="92">
        <f t="shared" si="47"/>
        <v>3.1031153094973702</v>
      </c>
      <c r="L50" s="159"/>
      <c r="N50" s="117">
        <f>AVERAGE(E50:H50)</f>
        <v>3.6300259362885923</v>
      </c>
      <c r="O50" s="117">
        <f>AVERAGE(F50:H50)</f>
        <v>4.0117557060903914</v>
      </c>
      <c r="P50" s="117">
        <f>AVERAGE(G50:H50)</f>
        <v>5.1215867070126002</v>
      </c>
      <c r="Q50" s="117">
        <f>AVERAGE(E50:G50)</f>
        <v>2.8200509794440642</v>
      </c>
      <c r="R50" s="117">
        <f>(4*H50+3*G50+2*F50+E50)/10</f>
        <v>4.2858495084272921</v>
      </c>
      <c r="S50" s="117">
        <f>(2*H50+G50)/3</f>
        <v>5.4343747402824585</v>
      </c>
    </row>
    <row r="51" spans="1:19" ht="17.25" thickBot="1">
      <c r="D51" s="204"/>
      <c r="E51" s="230">
        <f>E47-E49</f>
        <v>1.8088097469540767</v>
      </c>
      <c r="F51" s="230">
        <f t="shared" ref="F51:S51" si="48">F47-F49</f>
        <v>-0.10712814173877228</v>
      </c>
      <c r="G51" s="230">
        <f t="shared" si="48"/>
        <v>-2.1253790651469204</v>
      </c>
      <c r="H51" s="230">
        <f t="shared" si="48"/>
        <v>-3.0956050379975553</v>
      </c>
      <c r="I51" s="230">
        <f t="shared" si="48"/>
        <v>-2.2741168976708801</v>
      </c>
      <c r="J51" s="230">
        <v>-2.2741168976708801</v>
      </c>
      <c r="K51" s="230">
        <f t="shared" si="48"/>
        <v>-0.79693062199403819</v>
      </c>
      <c r="L51" s="230">
        <f t="shared" si="48"/>
        <v>0</v>
      </c>
      <c r="M51" s="230"/>
      <c r="N51" s="230">
        <f t="shared" si="48"/>
        <v>-0.87982562448229307</v>
      </c>
      <c r="O51" s="230">
        <f t="shared" si="48"/>
        <v>-1.7760374149610825</v>
      </c>
      <c r="P51" s="230">
        <f t="shared" si="48"/>
        <v>-2.6104920515722378</v>
      </c>
      <c r="Q51" s="230">
        <f t="shared" si="48"/>
        <v>-0.14123248664387211</v>
      </c>
      <c r="R51" s="230">
        <f t="shared" si="48"/>
        <v>-1.7164003883954448</v>
      </c>
      <c r="S51" s="230">
        <f t="shared" si="48"/>
        <v>-2.7721963803806768</v>
      </c>
    </row>
    <row r="52" spans="1:19" ht="17.25" thickBot="1">
      <c r="D52" s="231" t="s">
        <v>83</v>
      </c>
      <c r="E52" s="232">
        <f t="shared" ref="E52:O52" si="49">IFERROR(E25/E14,"")</f>
        <v>0.31105904404873475</v>
      </c>
      <c r="F52" s="232">
        <f t="shared" si="49"/>
        <v>0.28294190358467242</v>
      </c>
      <c r="G52" s="232">
        <f t="shared" si="49"/>
        <v>0.22819721844609434</v>
      </c>
      <c r="H52" s="232">
        <f t="shared" si="49"/>
        <v>0.10073337939097625</v>
      </c>
      <c r="I52" s="232">
        <f t="shared" si="49"/>
        <v>0.10073337939097625</v>
      </c>
      <c r="J52" s="246">
        <f t="shared" si="49"/>
        <v>0.14407770015841276</v>
      </c>
      <c r="K52" s="247">
        <f t="shared" si="49"/>
        <v>0.14129827944982998</v>
      </c>
      <c r="L52" s="247">
        <f t="shared" si="49"/>
        <v>0.13821784144797278</v>
      </c>
      <c r="M52" s="247">
        <f t="shared" si="49"/>
        <v>0.13462987723349945</v>
      </c>
      <c r="N52" s="247">
        <f t="shared" si="49"/>
        <v>0.13057248999809487</v>
      </c>
      <c r="O52" s="325">
        <f t="shared" si="49"/>
        <v>0.1258578030904253</v>
      </c>
      <c r="P52" s="204"/>
      <c r="Q52" s="204"/>
      <c r="R52" s="204"/>
      <c r="S52" s="204"/>
    </row>
    <row r="53" spans="1:19">
      <c r="D53" s="231" t="s">
        <v>87</v>
      </c>
      <c r="E53" s="232">
        <f t="shared" ref="E53:O53" si="50">IFERROR(E36/E14,"")</f>
        <v>0.4766635426429241</v>
      </c>
      <c r="F53" s="232">
        <f t="shared" si="50"/>
        <v>0.29192418623815408</v>
      </c>
      <c r="G53" s="232">
        <f t="shared" si="50"/>
        <v>9.1916762522221057E-2</v>
      </c>
      <c r="H53" s="232">
        <f t="shared" si="50"/>
        <v>6.0689801774990698E-2</v>
      </c>
      <c r="I53" s="232">
        <f t="shared" si="50"/>
        <v>5.1953127491098476E-2</v>
      </c>
      <c r="J53" s="232">
        <f t="shared" si="50"/>
        <v>0.11453678551951593</v>
      </c>
      <c r="K53" s="232">
        <f t="shared" si="50"/>
        <v>0.11232522966045778</v>
      </c>
      <c r="L53" s="232">
        <f t="shared" si="50"/>
        <v>0.10987653002954538</v>
      </c>
      <c r="M53" s="232">
        <f t="shared" si="50"/>
        <v>0.10702705725051659</v>
      </c>
      <c r="N53" s="232">
        <f t="shared" si="50"/>
        <v>0.10380674890455324</v>
      </c>
      <c r="O53" s="232">
        <f t="shared" si="50"/>
        <v>0.10006703701974698</v>
      </c>
      <c r="P53" s="204"/>
      <c r="Q53" s="204"/>
      <c r="R53" s="204"/>
      <c r="S53" s="204"/>
    </row>
    <row r="54" spans="1:19">
      <c r="A54" s="1">
        <v>65</v>
      </c>
      <c r="B54" s="1"/>
      <c r="C54" s="1" t="s">
        <v>16931</v>
      </c>
      <c r="D54" s="1" t="s">
        <v>16932</v>
      </c>
      <c r="E54" s="1" t="s">
        <v>16650</v>
      </c>
      <c r="F54" s="1" t="s">
        <v>16651</v>
      </c>
      <c r="G54" s="1" t="s">
        <v>16652</v>
      </c>
      <c r="H54" s="1" t="s">
        <v>16611</v>
      </c>
      <c r="I54" s="10" t="s">
        <v>17063</v>
      </c>
      <c r="J54" s="1" t="s">
        <v>17064</v>
      </c>
    </row>
    <row r="55" spans="1:19">
      <c r="A55" s="1" t="s">
        <v>14</v>
      </c>
      <c r="B55" s="1" t="s">
        <v>2</v>
      </c>
      <c r="C55" s="1" t="s">
        <v>16933</v>
      </c>
      <c r="D55" s="2" t="s">
        <v>16934</v>
      </c>
      <c r="E55" s="32">
        <f>SUM(E57:E119)</f>
        <v>7462</v>
      </c>
      <c r="F55" s="32">
        <f>SUM(F57:F119)</f>
        <v>8194</v>
      </c>
      <c r="G55" s="32">
        <f t="shared" ref="G55:I55" si="51">SUM(G57:G119)</f>
        <v>1571</v>
      </c>
      <c r="H55" s="32">
        <f t="shared" si="51"/>
        <v>591</v>
      </c>
      <c r="I55" s="39">
        <f t="shared" si="51"/>
        <v>591</v>
      </c>
      <c r="J55" s="2">
        <v>0</v>
      </c>
    </row>
    <row r="56" spans="1:19">
      <c r="A56" s="1" t="s">
        <v>4</v>
      </c>
      <c r="B56" s="1" t="s">
        <v>2</v>
      </c>
      <c r="C56" s="1" t="s">
        <v>16935</v>
      </c>
      <c r="D56" s="2" t="s">
        <v>16936</v>
      </c>
      <c r="E56" s="40">
        <f>SUMIF($J$57:$J$119,0,E57:E119)</f>
        <v>597</v>
      </c>
      <c r="F56" s="40">
        <f>SUMIF($J$57:$J$119,0,F57:F119)</f>
        <v>203</v>
      </c>
      <c r="G56" s="40">
        <f t="shared" ref="G56:I56" si="52">SUMIF($J$57:$J$119,0,G57:G119)</f>
        <v>311</v>
      </c>
      <c r="H56" s="40">
        <f t="shared" si="52"/>
        <v>137</v>
      </c>
      <c r="I56" s="41">
        <f t="shared" si="52"/>
        <v>137</v>
      </c>
      <c r="J56" s="2">
        <v>0</v>
      </c>
    </row>
    <row r="57" spans="1:19">
      <c r="A57" s="1" t="s">
        <v>14</v>
      </c>
      <c r="B57" s="1" t="s">
        <v>2</v>
      </c>
      <c r="C57" s="1" t="s">
        <v>16937</v>
      </c>
      <c r="D57" s="2" t="s">
        <v>16938</v>
      </c>
      <c r="E57" s="31">
        <v>346</v>
      </c>
      <c r="F57" s="31">
        <v>10</v>
      </c>
      <c r="G57" s="31">
        <v>124</v>
      </c>
      <c r="H57" s="31">
        <v>106</v>
      </c>
      <c r="I57" s="42">
        <v>106</v>
      </c>
      <c r="J57" s="2">
        <v>0</v>
      </c>
    </row>
    <row r="58" spans="1:19">
      <c r="A58" s="1" t="s">
        <v>14</v>
      </c>
      <c r="B58" s="1" t="s">
        <v>2</v>
      </c>
      <c r="C58" s="1" t="s">
        <v>16939</v>
      </c>
      <c r="D58" s="2" t="s">
        <v>16940</v>
      </c>
      <c r="E58" s="31"/>
      <c r="F58" s="31"/>
      <c r="G58" s="31"/>
      <c r="H58" s="31"/>
      <c r="I58" s="42"/>
      <c r="J58" s="2">
        <v>1</v>
      </c>
    </row>
    <row r="59" spans="1:19">
      <c r="A59" s="1" t="s">
        <v>14</v>
      </c>
      <c r="B59" s="1" t="s">
        <v>2</v>
      </c>
      <c r="C59" s="1" t="s">
        <v>16941</v>
      </c>
      <c r="D59" s="2" t="s">
        <v>16942</v>
      </c>
      <c r="E59" s="18">
        <v>16</v>
      </c>
      <c r="F59" s="18">
        <v>36</v>
      </c>
      <c r="G59" s="18">
        <v>100</v>
      </c>
      <c r="H59" s="18">
        <v>18</v>
      </c>
      <c r="I59" s="50">
        <v>18</v>
      </c>
      <c r="J59" s="2">
        <v>0</v>
      </c>
    </row>
    <row r="60" spans="1:19">
      <c r="A60" s="1" t="s">
        <v>14</v>
      </c>
      <c r="B60" s="1" t="s">
        <v>2</v>
      </c>
      <c r="C60" s="1" t="s">
        <v>16943</v>
      </c>
      <c r="D60" s="2" t="s">
        <v>16944</v>
      </c>
      <c r="E60" s="31"/>
      <c r="F60" s="31"/>
      <c r="G60" s="31"/>
      <c r="H60" s="31"/>
      <c r="I60" s="42"/>
      <c r="J60" s="2">
        <v>1</v>
      </c>
    </row>
    <row r="61" spans="1:19">
      <c r="A61" s="1" t="s">
        <v>14</v>
      </c>
      <c r="B61" s="1" t="s">
        <v>13</v>
      </c>
      <c r="C61" s="1" t="s">
        <v>16945</v>
      </c>
      <c r="D61" s="2" t="s">
        <v>16946</v>
      </c>
      <c r="E61" s="31"/>
      <c r="F61" s="31"/>
      <c r="G61" s="31"/>
      <c r="H61" s="31"/>
      <c r="I61" s="42"/>
      <c r="J61" s="2">
        <v>1</v>
      </c>
    </row>
    <row r="62" spans="1:19">
      <c r="A62" s="1" t="s">
        <v>14</v>
      </c>
      <c r="B62" s="1" t="s">
        <v>2</v>
      </c>
      <c r="C62" s="1" t="s">
        <v>16947</v>
      </c>
      <c r="D62" s="2" t="s">
        <v>16948</v>
      </c>
      <c r="E62" s="31"/>
      <c r="F62" s="31"/>
      <c r="G62" s="31"/>
      <c r="H62" s="31"/>
      <c r="I62" s="42"/>
      <c r="J62" s="2">
        <v>1</v>
      </c>
    </row>
    <row r="63" spans="1:19">
      <c r="A63" s="1" t="s">
        <v>14</v>
      </c>
      <c r="B63" s="1" t="s">
        <v>2</v>
      </c>
      <c r="C63" s="1" t="s">
        <v>16949</v>
      </c>
      <c r="D63" s="2" t="s">
        <v>16950</v>
      </c>
      <c r="E63" s="31">
        <v>3488</v>
      </c>
      <c r="F63" s="31">
        <v>5811</v>
      </c>
      <c r="G63" s="31">
        <v>157</v>
      </c>
      <c r="H63" s="31"/>
      <c r="I63" s="42"/>
      <c r="J63" s="2">
        <v>1</v>
      </c>
    </row>
    <row r="64" spans="1:19">
      <c r="A64" s="1" t="s">
        <v>14</v>
      </c>
      <c r="B64" s="1" t="s">
        <v>2</v>
      </c>
      <c r="C64" s="1" t="s">
        <v>16951</v>
      </c>
      <c r="D64" s="2" t="s">
        <v>16952</v>
      </c>
      <c r="E64" s="31">
        <v>3143</v>
      </c>
      <c r="F64" s="31">
        <v>1847</v>
      </c>
      <c r="G64" s="31"/>
      <c r="H64" s="31">
        <v>14</v>
      </c>
      <c r="I64" s="42">
        <v>14</v>
      </c>
      <c r="J64" s="2">
        <v>1</v>
      </c>
    </row>
    <row r="65" spans="1:10">
      <c r="A65" s="1" t="s">
        <v>14</v>
      </c>
      <c r="B65" s="1" t="s">
        <v>2</v>
      </c>
      <c r="C65" s="1" t="s">
        <v>16953</v>
      </c>
      <c r="D65" s="2" t="s">
        <v>16954</v>
      </c>
      <c r="E65" s="31"/>
      <c r="F65" s="31"/>
      <c r="G65" s="31"/>
      <c r="H65" s="31"/>
      <c r="I65" s="42"/>
      <c r="J65" s="2">
        <v>1</v>
      </c>
    </row>
    <row r="66" spans="1:10">
      <c r="A66" s="1" t="s">
        <v>14</v>
      </c>
      <c r="B66" s="1" t="s">
        <v>2</v>
      </c>
      <c r="C66" s="1" t="s">
        <v>16955</v>
      </c>
      <c r="D66" s="2" t="s">
        <v>16956</v>
      </c>
      <c r="E66" s="31"/>
      <c r="F66" s="31"/>
      <c r="G66" s="31"/>
      <c r="H66" s="31"/>
      <c r="I66" s="42"/>
      <c r="J66" s="2">
        <v>0</v>
      </c>
    </row>
    <row r="67" spans="1:10">
      <c r="A67" s="1" t="s">
        <v>14</v>
      </c>
      <c r="B67" s="1" t="s">
        <v>2</v>
      </c>
      <c r="C67" s="1" t="s">
        <v>16957</v>
      </c>
      <c r="D67" s="2" t="s">
        <v>16958</v>
      </c>
      <c r="E67" s="31"/>
      <c r="F67" s="31"/>
      <c r="G67" s="31"/>
      <c r="H67" s="31"/>
      <c r="I67" s="42"/>
      <c r="J67" s="2">
        <v>1</v>
      </c>
    </row>
    <row r="68" spans="1:10">
      <c r="A68" s="1" t="s">
        <v>14</v>
      </c>
      <c r="B68" s="1" t="s">
        <v>2</v>
      </c>
      <c r="C68" s="1" t="s">
        <v>16959</v>
      </c>
      <c r="D68" s="2" t="s">
        <v>16960</v>
      </c>
      <c r="E68" s="31"/>
      <c r="F68" s="31"/>
      <c r="G68" s="31"/>
      <c r="H68" s="31"/>
      <c r="I68" s="42"/>
      <c r="J68" s="2">
        <v>1</v>
      </c>
    </row>
    <row r="69" spans="1:10">
      <c r="A69" s="1" t="s">
        <v>14</v>
      </c>
      <c r="B69" s="1" t="s">
        <v>2</v>
      </c>
      <c r="C69" s="1" t="s">
        <v>16961</v>
      </c>
      <c r="D69" s="2" t="s">
        <v>16962</v>
      </c>
      <c r="E69" s="31"/>
      <c r="F69" s="31"/>
      <c r="G69" s="31"/>
      <c r="H69" s="31"/>
      <c r="I69" s="42"/>
      <c r="J69" s="2">
        <v>0</v>
      </c>
    </row>
    <row r="70" spans="1:10">
      <c r="A70" s="1" t="s">
        <v>14</v>
      </c>
      <c r="B70" s="1" t="s">
        <v>2</v>
      </c>
      <c r="C70" s="1" t="s">
        <v>16963</v>
      </c>
      <c r="D70" s="2" t="s">
        <v>16964</v>
      </c>
      <c r="E70" s="31"/>
      <c r="F70" s="31"/>
      <c r="G70" s="31"/>
      <c r="H70" s="31"/>
      <c r="I70" s="42"/>
      <c r="J70" s="2">
        <v>1</v>
      </c>
    </row>
    <row r="71" spans="1:10">
      <c r="A71" s="1" t="s">
        <v>14</v>
      </c>
      <c r="B71" s="1" t="s">
        <v>2</v>
      </c>
      <c r="C71" s="1" t="s">
        <v>16965</v>
      </c>
      <c r="D71" s="2" t="s">
        <v>16966</v>
      </c>
      <c r="E71" s="18">
        <v>63</v>
      </c>
      <c r="F71" s="18">
        <v>98</v>
      </c>
      <c r="G71" s="18">
        <v>80</v>
      </c>
      <c r="H71" s="18"/>
      <c r="I71" s="50"/>
      <c r="J71" s="2">
        <v>0</v>
      </c>
    </row>
    <row r="72" spans="1:10">
      <c r="A72" s="1" t="s">
        <v>14</v>
      </c>
      <c r="B72" s="1" t="s">
        <v>2</v>
      </c>
      <c r="C72" s="1" t="s">
        <v>16967</v>
      </c>
      <c r="D72" s="2" t="s">
        <v>16968</v>
      </c>
      <c r="E72" s="18"/>
      <c r="F72" s="18"/>
      <c r="G72" s="18"/>
      <c r="H72" s="18"/>
      <c r="I72" s="50"/>
      <c r="J72" s="2">
        <v>0</v>
      </c>
    </row>
    <row r="73" spans="1:10">
      <c r="A73" s="1" t="s">
        <v>14</v>
      </c>
      <c r="B73" s="1" t="s">
        <v>2</v>
      </c>
      <c r="C73" s="1" t="s">
        <v>16969</v>
      </c>
      <c r="D73" s="2" t="s">
        <v>16970</v>
      </c>
      <c r="E73" s="18"/>
      <c r="F73" s="18"/>
      <c r="G73" s="18"/>
      <c r="H73" s="18"/>
      <c r="I73" s="50"/>
      <c r="J73" s="2">
        <v>1</v>
      </c>
    </row>
    <row r="74" spans="1:10">
      <c r="A74" s="1" t="s">
        <v>14</v>
      </c>
      <c r="B74" s="1" t="s">
        <v>2</v>
      </c>
      <c r="C74" s="1" t="s">
        <v>16971</v>
      </c>
      <c r="D74" s="2" t="s">
        <v>16972</v>
      </c>
      <c r="E74" s="18"/>
      <c r="F74" s="18"/>
      <c r="G74" s="18"/>
      <c r="H74" s="18"/>
      <c r="I74" s="50"/>
      <c r="J74" s="2">
        <v>1</v>
      </c>
    </row>
    <row r="75" spans="1:10">
      <c r="A75" s="1" t="s">
        <v>14</v>
      </c>
      <c r="B75" s="1" t="s">
        <v>2</v>
      </c>
      <c r="C75" s="1" t="s">
        <v>16973</v>
      </c>
      <c r="D75" s="2" t="s">
        <v>16974</v>
      </c>
      <c r="E75" s="18"/>
      <c r="F75" s="18"/>
      <c r="G75" s="18"/>
      <c r="H75" s="18"/>
      <c r="I75" s="50"/>
      <c r="J75" s="2">
        <v>1</v>
      </c>
    </row>
    <row r="76" spans="1:10">
      <c r="A76" s="1" t="s">
        <v>14</v>
      </c>
      <c r="B76" s="1" t="s">
        <v>2</v>
      </c>
      <c r="C76" s="1" t="s">
        <v>16975</v>
      </c>
      <c r="D76" s="2" t="s">
        <v>16976</v>
      </c>
      <c r="E76" s="18">
        <v>175</v>
      </c>
      <c r="F76" s="18">
        <v>263</v>
      </c>
      <c r="G76" s="18">
        <v>822</v>
      </c>
      <c r="H76" s="18">
        <v>414</v>
      </c>
      <c r="I76" s="50">
        <v>414</v>
      </c>
      <c r="J76" s="2">
        <v>1</v>
      </c>
    </row>
    <row r="77" spans="1:10">
      <c r="A77" s="1" t="s">
        <v>14</v>
      </c>
      <c r="B77" s="1" t="s">
        <v>2</v>
      </c>
      <c r="C77" s="1" t="s">
        <v>16977</v>
      </c>
      <c r="D77" s="2" t="s">
        <v>16978</v>
      </c>
      <c r="E77" s="18"/>
      <c r="F77" s="18">
        <v>63</v>
      </c>
      <c r="G77" s="18">
        <v>251</v>
      </c>
      <c r="H77" s="18">
        <v>14</v>
      </c>
      <c r="I77" s="50">
        <v>14</v>
      </c>
      <c r="J77" s="2">
        <v>1</v>
      </c>
    </row>
    <row r="78" spans="1:10">
      <c r="A78" s="1" t="s">
        <v>14</v>
      </c>
      <c r="B78" s="1" t="s">
        <v>2</v>
      </c>
      <c r="C78" s="1" t="s">
        <v>16979</v>
      </c>
      <c r="D78" s="2" t="s">
        <v>16980</v>
      </c>
      <c r="E78" s="18">
        <v>51</v>
      </c>
      <c r="F78" s="18">
        <v>6</v>
      </c>
      <c r="G78" s="18">
        <v>30</v>
      </c>
      <c r="H78" s="18"/>
      <c r="I78" s="50"/>
      <c r="J78" s="3">
        <v>1</v>
      </c>
    </row>
    <row r="79" spans="1:10">
      <c r="A79" s="1" t="s">
        <v>14</v>
      </c>
      <c r="B79" s="1" t="s">
        <v>2</v>
      </c>
      <c r="C79" s="1" t="s">
        <v>16981</v>
      </c>
      <c r="D79" s="2" t="s">
        <v>16982</v>
      </c>
      <c r="E79" s="18"/>
      <c r="F79" s="18"/>
      <c r="G79" s="18"/>
      <c r="H79" s="18"/>
      <c r="I79" s="50"/>
      <c r="J79" s="3">
        <v>1</v>
      </c>
    </row>
    <row r="80" spans="1:10">
      <c r="A80" s="1" t="s">
        <v>14</v>
      </c>
      <c r="B80" s="1" t="s">
        <v>2</v>
      </c>
      <c r="C80" s="1" t="s">
        <v>16983</v>
      </c>
      <c r="D80" s="2" t="s">
        <v>16984</v>
      </c>
      <c r="E80" s="18"/>
      <c r="F80" s="18"/>
      <c r="G80" s="18"/>
      <c r="H80" s="18"/>
      <c r="I80" s="50"/>
      <c r="J80" s="3">
        <v>1</v>
      </c>
    </row>
    <row r="81" spans="1:10">
      <c r="A81" s="1" t="s">
        <v>14</v>
      </c>
      <c r="B81" s="1" t="s">
        <v>2</v>
      </c>
      <c r="C81" s="1" t="s">
        <v>16985</v>
      </c>
      <c r="D81" s="2" t="s">
        <v>16986</v>
      </c>
      <c r="E81" s="18"/>
      <c r="F81" s="18"/>
      <c r="G81" s="18"/>
      <c r="H81" s="18"/>
      <c r="I81" s="50"/>
      <c r="J81" s="3">
        <v>1</v>
      </c>
    </row>
    <row r="82" spans="1:10">
      <c r="A82" s="1" t="s">
        <v>14</v>
      </c>
      <c r="B82" s="1" t="s">
        <v>2</v>
      </c>
      <c r="C82" s="1" t="s">
        <v>16987</v>
      </c>
      <c r="D82" s="2" t="s">
        <v>16988</v>
      </c>
      <c r="E82" s="18"/>
      <c r="F82" s="18"/>
      <c r="G82" s="18"/>
      <c r="H82" s="18"/>
      <c r="I82" s="50"/>
      <c r="J82" s="2">
        <v>1</v>
      </c>
    </row>
    <row r="83" spans="1:10">
      <c r="A83" s="1" t="s">
        <v>14</v>
      </c>
      <c r="B83" s="1" t="s">
        <v>2</v>
      </c>
      <c r="C83" s="1" t="s">
        <v>16989</v>
      </c>
      <c r="D83" s="2" t="s">
        <v>16990</v>
      </c>
      <c r="E83" s="18"/>
      <c r="F83" s="18"/>
      <c r="G83" s="18"/>
      <c r="H83" s="18"/>
      <c r="I83" s="50"/>
      <c r="J83" s="2">
        <v>1</v>
      </c>
    </row>
    <row r="84" spans="1:10">
      <c r="A84" s="1" t="s">
        <v>14</v>
      </c>
      <c r="B84" s="1" t="s">
        <v>2</v>
      </c>
      <c r="C84" s="1" t="s">
        <v>16991</v>
      </c>
      <c r="D84" s="2" t="s">
        <v>16992</v>
      </c>
      <c r="E84" s="18">
        <v>0</v>
      </c>
      <c r="F84" s="18"/>
      <c r="G84" s="18"/>
      <c r="H84" s="18"/>
      <c r="I84" s="50"/>
      <c r="J84" s="2">
        <v>1</v>
      </c>
    </row>
    <row r="85" spans="1:10">
      <c r="A85" s="1" t="s">
        <v>14</v>
      </c>
      <c r="B85" s="1" t="s">
        <v>2</v>
      </c>
      <c r="C85" s="1" t="s">
        <v>16993</v>
      </c>
      <c r="D85" s="2" t="s">
        <v>16994</v>
      </c>
      <c r="E85" s="18"/>
      <c r="F85" s="18"/>
      <c r="G85" s="18"/>
      <c r="H85" s="18"/>
      <c r="I85" s="50"/>
      <c r="J85" s="2">
        <v>1</v>
      </c>
    </row>
    <row r="86" spans="1:10">
      <c r="A86" s="1" t="s">
        <v>14</v>
      </c>
      <c r="B86" s="1" t="s">
        <v>2</v>
      </c>
      <c r="C86" s="1" t="s">
        <v>16995</v>
      </c>
      <c r="D86" s="2" t="s">
        <v>16996</v>
      </c>
      <c r="E86" s="31"/>
      <c r="F86" s="31"/>
      <c r="G86" s="31"/>
      <c r="H86" s="31"/>
      <c r="I86" s="42"/>
      <c r="J86" s="2">
        <v>1</v>
      </c>
    </row>
    <row r="87" spans="1:10">
      <c r="A87" s="1" t="s">
        <v>14</v>
      </c>
      <c r="B87" s="1" t="s">
        <v>2</v>
      </c>
      <c r="C87" s="1" t="s">
        <v>16997</v>
      </c>
      <c r="D87" s="2" t="s">
        <v>16998</v>
      </c>
      <c r="E87" s="31"/>
      <c r="F87" s="31"/>
      <c r="G87" s="31"/>
      <c r="H87" s="31"/>
      <c r="I87" s="42"/>
      <c r="J87" s="2">
        <v>1</v>
      </c>
    </row>
    <row r="88" spans="1:10">
      <c r="A88" s="1" t="s">
        <v>14</v>
      </c>
      <c r="B88" s="1" t="s">
        <v>2</v>
      </c>
      <c r="C88" s="1" t="s">
        <v>16999</v>
      </c>
      <c r="D88" s="2" t="s">
        <v>17000</v>
      </c>
      <c r="E88" s="31"/>
      <c r="F88" s="31"/>
      <c r="G88" s="31"/>
      <c r="H88" s="31"/>
      <c r="I88" s="42"/>
      <c r="J88" s="2">
        <v>1</v>
      </c>
    </row>
    <row r="89" spans="1:10">
      <c r="A89" s="1" t="s">
        <v>14</v>
      </c>
      <c r="B89" s="1" t="s">
        <v>2</v>
      </c>
      <c r="C89" s="1" t="s">
        <v>17001</v>
      </c>
      <c r="D89" s="2" t="s">
        <v>17002</v>
      </c>
      <c r="E89" s="31"/>
      <c r="F89" s="31"/>
      <c r="G89" s="31"/>
      <c r="H89" s="31"/>
      <c r="I89" s="42"/>
      <c r="J89" s="2">
        <v>1</v>
      </c>
    </row>
    <row r="90" spans="1:10">
      <c r="A90" s="1" t="s">
        <v>14</v>
      </c>
      <c r="B90" s="1" t="s">
        <v>2</v>
      </c>
      <c r="C90" s="1" t="s">
        <v>17003</v>
      </c>
      <c r="D90" s="2" t="s">
        <v>17004</v>
      </c>
      <c r="E90" s="31"/>
      <c r="F90" s="31"/>
      <c r="G90" s="31"/>
      <c r="H90" s="31"/>
      <c r="I90" s="42"/>
      <c r="J90" s="2">
        <v>1</v>
      </c>
    </row>
    <row r="91" spans="1:10">
      <c r="A91" s="1" t="s">
        <v>14</v>
      </c>
      <c r="B91" s="1" t="s">
        <v>2</v>
      </c>
      <c r="C91" s="1" t="s">
        <v>17005</v>
      </c>
      <c r="D91" s="2" t="s">
        <v>17006</v>
      </c>
      <c r="E91" s="31"/>
      <c r="F91" s="31"/>
      <c r="G91" s="31"/>
      <c r="H91" s="31"/>
      <c r="I91" s="42"/>
      <c r="J91" s="2">
        <v>1</v>
      </c>
    </row>
    <row r="92" spans="1:10">
      <c r="A92" s="1" t="s">
        <v>14</v>
      </c>
      <c r="B92" s="1" t="s">
        <v>2</v>
      </c>
      <c r="C92" s="1" t="s">
        <v>17007</v>
      </c>
      <c r="D92" s="2" t="s">
        <v>17008</v>
      </c>
      <c r="E92" s="31"/>
      <c r="F92" s="31"/>
      <c r="G92" s="31"/>
      <c r="H92" s="31"/>
      <c r="I92" s="42"/>
      <c r="J92" s="2">
        <v>1</v>
      </c>
    </row>
    <row r="93" spans="1:10">
      <c r="A93" s="1" t="s">
        <v>14</v>
      </c>
      <c r="B93" s="1" t="s">
        <v>2</v>
      </c>
      <c r="C93" s="1" t="s">
        <v>17009</v>
      </c>
      <c r="D93" s="2" t="s">
        <v>17010</v>
      </c>
      <c r="E93" s="31"/>
      <c r="F93" s="31"/>
      <c r="G93" s="31"/>
      <c r="H93" s="31"/>
      <c r="I93" s="42"/>
      <c r="J93" s="2">
        <v>1</v>
      </c>
    </row>
    <row r="94" spans="1:10">
      <c r="A94" s="1" t="s">
        <v>14</v>
      </c>
      <c r="B94" s="1" t="s">
        <v>2</v>
      </c>
      <c r="C94" s="1" t="s">
        <v>17011</v>
      </c>
      <c r="D94" s="2" t="s">
        <v>17012</v>
      </c>
      <c r="E94" s="31">
        <v>8</v>
      </c>
      <c r="F94" s="31">
        <v>1</v>
      </c>
      <c r="G94" s="31"/>
      <c r="H94" s="31">
        <v>12</v>
      </c>
      <c r="I94" s="42">
        <v>12</v>
      </c>
      <c r="J94" s="2">
        <v>1</v>
      </c>
    </row>
    <row r="95" spans="1:10">
      <c r="A95" s="1" t="s">
        <v>14</v>
      </c>
      <c r="B95" s="1" t="s">
        <v>2</v>
      </c>
      <c r="C95" s="1" t="s">
        <v>17013</v>
      </c>
      <c r="D95" s="2" t="s">
        <v>17014</v>
      </c>
      <c r="E95" s="31"/>
      <c r="F95" s="31"/>
      <c r="G95" s="31"/>
      <c r="H95" s="31"/>
      <c r="I95" s="42"/>
      <c r="J95" s="2">
        <v>1</v>
      </c>
    </row>
    <row r="96" spans="1:10">
      <c r="A96" s="1" t="s">
        <v>14</v>
      </c>
      <c r="B96" s="1" t="s">
        <v>2</v>
      </c>
      <c r="C96" s="1" t="s">
        <v>17015</v>
      </c>
      <c r="D96" s="2" t="s">
        <v>17016</v>
      </c>
      <c r="E96" s="31"/>
      <c r="F96" s="31"/>
      <c r="G96" s="31"/>
      <c r="H96" s="31"/>
      <c r="I96" s="42"/>
      <c r="J96" s="2">
        <v>1</v>
      </c>
    </row>
    <row r="97" spans="1:10">
      <c r="A97" s="1" t="s">
        <v>14</v>
      </c>
      <c r="B97" s="1" t="s">
        <v>2</v>
      </c>
      <c r="C97" s="1" t="s">
        <v>17017</v>
      </c>
      <c r="D97" s="2" t="s">
        <v>17018</v>
      </c>
      <c r="E97" s="31"/>
      <c r="F97" s="31"/>
      <c r="G97" s="31"/>
      <c r="H97" s="31"/>
      <c r="I97" s="42"/>
      <c r="J97" s="2">
        <v>1</v>
      </c>
    </row>
    <row r="98" spans="1:10">
      <c r="A98" s="1" t="s">
        <v>14</v>
      </c>
      <c r="B98" s="1" t="s">
        <v>2</v>
      </c>
      <c r="C98" s="1" t="s">
        <v>17019</v>
      </c>
      <c r="D98" s="2" t="s">
        <v>17020</v>
      </c>
      <c r="E98" s="31"/>
      <c r="F98" s="31"/>
      <c r="G98" s="31"/>
      <c r="H98" s="31"/>
      <c r="I98" s="42"/>
      <c r="J98" s="2">
        <v>1</v>
      </c>
    </row>
    <row r="99" spans="1:10">
      <c r="A99" s="1" t="s">
        <v>14</v>
      </c>
      <c r="B99" s="1" t="s">
        <v>2</v>
      </c>
      <c r="C99" s="1" t="s">
        <v>17021</v>
      </c>
      <c r="D99" s="2" t="s">
        <v>17022</v>
      </c>
      <c r="E99" s="31"/>
      <c r="F99" s="31"/>
      <c r="G99" s="31"/>
      <c r="H99" s="31"/>
      <c r="I99" s="42"/>
      <c r="J99" s="2">
        <v>1</v>
      </c>
    </row>
    <row r="100" spans="1:10">
      <c r="A100" s="1" t="s">
        <v>14</v>
      </c>
      <c r="B100" s="1" t="s">
        <v>2</v>
      </c>
      <c r="C100" s="1" t="s">
        <v>17023</v>
      </c>
      <c r="D100" s="2" t="s">
        <v>17024</v>
      </c>
      <c r="E100" s="31"/>
      <c r="F100" s="31"/>
      <c r="G100" s="31"/>
      <c r="H100" s="31"/>
      <c r="I100" s="42"/>
      <c r="J100" s="2">
        <v>1</v>
      </c>
    </row>
    <row r="101" spans="1:10">
      <c r="A101" s="1" t="s">
        <v>14</v>
      </c>
      <c r="B101" s="1" t="s">
        <v>2</v>
      </c>
      <c r="C101" s="1" t="s">
        <v>17025</v>
      </c>
      <c r="D101" s="2" t="s">
        <v>17026</v>
      </c>
      <c r="E101" s="31"/>
      <c r="F101" s="31"/>
      <c r="G101" s="31"/>
      <c r="H101" s="31"/>
      <c r="I101" s="42"/>
      <c r="J101" s="2">
        <v>1</v>
      </c>
    </row>
    <row r="102" spans="1:10">
      <c r="A102" s="1" t="s">
        <v>14</v>
      </c>
      <c r="B102" s="1" t="s">
        <v>2</v>
      </c>
      <c r="C102" s="1" t="s">
        <v>17027</v>
      </c>
      <c r="D102" s="2" t="s">
        <v>17028</v>
      </c>
      <c r="E102" s="31"/>
      <c r="F102" s="31"/>
      <c r="G102" s="31"/>
      <c r="H102" s="31"/>
      <c r="I102" s="42"/>
      <c r="J102" s="2">
        <v>1</v>
      </c>
    </row>
    <row r="103" spans="1:10">
      <c r="A103" s="1" t="s">
        <v>14</v>
      </c>
      <c r="B103" s="1" t="s">
        <v>2</v>
      </c>
      <c r="C103" s="1" t="s">
        <v>17029</v>
      </c>
      <c r="D103" s="2" t="s">
        <v>17030</v>
      </c>
      <c r="E103" s="31"/>
      <c r="F103" s="31"/>
      <c r="G103" s="31"/>
      <c r="H103" s="31"/>
      <c r="I103" s="42"/>
      <c r="J103" s="2">
        <v>1</v>
      </c>
    </row>
    <row r="104" spans="1:10">
      <c r="A104" s="1" t="s">
        <v>14</v>
      </c>
      <c r="B104" s="1" t="s">
        <v>2</v>
      </c>
      <c r="C104" s="1" t="s">
        <v>17031</v>
      </c>
      <c r="D104" s="2" t="s">
        <v>17032</v>
      </c>
      <c r="E104" s="31"/>
      <c r="F104" s="31"/>
      <c r="G104" s="31"/>
      <c r="H104" s="31"/>
      <c r="I104" s="42"/>
      <c r="J104" s="2">
        <v>1</v>
      </c>
    </row>
    <row r="105" spans="1:10">
      <c r="A105" s="1" t="s">
        <v>14</v>
      </c>
      <c r="B105" s="1" t="s">
        <v>2</v>
      </c>
      <c r="C105" s="1" t="s">
        <v>17033</v>
      </c>
      <c r="D105" s="2" t="s">
        <v>17034</v>
      </c>
      <c r="E105" s="31"/>
      <c r="F105" s="31"/>
      <c r="G105" s="31"/>
      <c r="H105" s="31"/>
      <c r="I105" s="42"/>
      <c r="J105" s="2">
        <v>1</v>
      </c>
    </row>
    <row r="106" spans="1:10">
      <c r="A106" s="1" t="s">
        <v>14</v>
      </c>
      <c r="B106" s="1" t="s">
        <v>2</v>
      </c>
      <c r="C106" s="1" t="s">
        <v>17035</v>
      </c>
      <c r="D106" s="2" t="s">
        <v>17036</v>
      </c>
      <c r="E106" s="31"/>
      <c r="F106" s="31"/>
      <c r="G106" s="31"/>
      <c r="H106" s="31"/>
      <c r="I106" s="42"/>
      <c r="J106" s="2">
        <v>1</v>
      </c>
    </row>
    <row r="107" spans="1:10">
      <c r="A107" s="1" t="s">
        <v>14</v>
      </c>
      <c r="B107" s="1" t="s">
        <v>2</v>
      </c>
      <c r="C107" s="1" t="s">
        <v>17037</v>
      </c>
      <c r="D107" s="2" t="s">
        <v>17038</v>
      </c>
      <c r="E107" s="31"/>
      <c r="F107" s="31"/>
      <c r="G107" s="31"/>
      <c r="H107" s="31"/>
      <c r="I107" s="42"/>
      <c r="J107" s="2">
        <v>1</v>
      </c>
    </row>
    <row r="108" spans="1:10">
      <c r="A108" s="1" t="s">
        <v>14</v>
      </c>
      <c r="B108" s="1" t="s">
        <v>2</v>
      </c>
      <c r="C108" s="1" t="s">
        <v>17039</v>
      </c>
      <c r="D108" s="2" t="s">
        <v>17040</v>
      </c>
      <c r="E108" s="31"/>
      <c r="F108" s="31"/>
      <c r="G108" s="31"/>
      <c r="H108" s="31"/>
      <c r="I108" s="42"/>
      <c r="J108" s="2">
        <v>1</v>
      </c>
    </row>
    <row r="109" spans="1:10">
      <c r="A109" s="1" t="s">
        <v>14</v>
      </c>
      <c r="B109" s="1" t="s">
        <v>2</v>
      </c>
      <c r="C109" s="1" t="s">
        <v>17041</v>
      </c>
      <c r="D109" s="2" t="s">
        <v>17042</v>
      </c>
      <c r="E109" s="31"/>
      <c r="F109" s="31"/>
      <c r="G109" s="31"/>
      <c r="H109" s="31"/>
      <c r="I109" s="42"/>
      <c r="J109" s="2">
        <v>1</v>
      </c>
    </row>
    <row r="110" spans="1:10">
      <c r="A110" s="1" t="s">
        <v>14</v>
      </c>
      <c r="B110" s="1" t="s">
        <v>2</v>
      </c>
      <c r="C110" s="1" t="s">
        <v>17043</v>
      </c>
      <c r="D110" s="2" t="s">
        <v>17044</v>
      </c>
      <c r="E110" s="31"/>
      <c r="F110" s="31"/>
      <c r="G110" s="31"/>
      <c r="H110" s="31"/>
      <c r="I110" s="42"/>
      <c r="J110" s="2">
        <v>1</v>
      </c>
    </row>
    <row r="111" spans="1:10">
      <c r="A111" s="1" t="s">
        <v>14</v>
      </c>
      <c r="B111" s="1" t="s">
        <v>2</v>
      </c>
      <c r="C111" s="1" t="s">
        <v>17045</v>
      </c>
      <c r="D111" s="2" t="s">
        <v>17046</v>
      </c>
      <c r="E111" s="31"/>
      <c r="F111" s="31"/>
      <c r="G111" s="31"/>
      <c r="H111" s="31"/>
      <c r="I111" s="42"/>
      <c r="J111" s="2">
        <v>1</v>
      </c>
    </row>
    <row r="112" spans="1:10">
      <c r="A112" s="1" t="s">
        <v>14</v>
      </c>
      <c r="B112" s="1" t="s">
        <v>2</v>
      </c>
      <c r="C112" s="1" t="s">
        <v>17047</v>
      </c>
      <c r="D112" s="2" t="s">
        <v>17048</v>
      </c>
      <c r="E112" s="31"/>
      <c r="F112" s="31"/>
      <c r="G112" s="31"/>
      <c r="H112" s="31"/>
      <c r="I112" s="42"/>
      <c r="J112" s="2">
        <v>1</v>
      </c>
    </row>
    <row r="113" spans="1:10">
      <c r="A113" s="1" t="s">
        <v>14</v>
      </c>
      <c r="B113" s="1" t="s">
        <v>2</v>
      </c>
      <c r="C113" s="1" t="s">
        <v>17049</v>
      </c>
      <c r="D113" s="2" t="s">
        <v>17050</v>
      </c>
      <c r="E113" s="31"/>
      <c r="F113" s="31"/>
      <c r="G113" s="31"/>
      <c r="H113" s="31"/>
      <c r="I113" s="42"/>
      <c r="J113" s="2">
        <v>1</v>
      </c>
    </row>
    <row r="114" spans="1:10">
      <c r="A114" s="1" t="s">
        <v>14</v>
      </c>
      <c r="B114" s="1" t="s">
        <v>2</v>
      </c>
      <c r="C114" s="1" t="s">
        <v>17051</v>
      </c>
      <c r="D114" s="2" t="s">
        <v>17052</v>
      </c>
      <c r="E114" s="31"/>
      <c r="F114" s="31"/>
      <c r="G114" s="31"/>
      <c r="H114" s="31"/>
      <c r="I114" s="42"/>
      <c r="J114" s="2">
        <v>1</v>
      </c>
    </row>
    <row r="115" spans="1:10">
      <c r="A115" s="1" t="s">
        <v>14</v>
      </c>
      <c r="B115" s="1" t="s">
        <v>2</v>
      </c>
      <c r="C115" s="1" t="s">
        <v>17053</v>
      </c>
      <c r="D115" s="2" t="s">
        <v>17054</v>
      </c>
      <c r="E115" s="31"/>
      <c r="F115" s="31"/>
      <c r="G115" s="31"/>
      <c r="H115" s="31"/>
      <c r="I115" s="42"/>
      <c r="J115" s="2">
        <v>1</v>
      </c>
    </row>
    <row r="116" spans="1:10">
      <c r="A116" s="1" t="s">
        <v>14</v>
      </c>
      <c r="B116" s="1" t="s">
        <v>2</v>
      </c>
      <c r="C116" s="1" t="s">
        <v>17055</v>
      </c>
      <c r="D116" s="2" t="s">
        <v>17056</v>
      </c>
      <c r="E116" s="31"/>
      <c r="F116" s="31"/>
      <c r="G116" s="31"/>
      <c r="H116" s="31"/>
      <c r="I116" s="42"/>
      <c r="J116" s="2">
        <v>1</v>
      </c>
    </row>
    <row r="117" spans="1:10">
      <c r="A117" s="1" t="s">
        <v>14</v>
      </c>
      <c r="B117" s="1" t="s">
        <v>2</v>
      </c>
      <c r="C117" s="1" t="s">
        <v>17057</v>
      </c>
      <c r="D117" s="2" t="s">
        <v>17058</v>
      </c>
      <c r="E117" s="31"/>
      <c r="F117" s="31"/>
      <c r="G117" s="31"/>
      <c r="H117" s="31"/>
      <c r="I117" s="42"/>
      <c r="J117" s="2">
        <v>1</v>
      </c>
    </row>
    <row r="118" spans="1:10">
      <c r="A118" s="1" t="s">
        <v>14</v>
      </c>
      <c r="B118" s="1" t="s">
        <v>2</v>
      </c>
      <c r="C118" s="1" t="s">
        <v>17059</v>
      </c>
      <c r="D118" s="2" t="s">
        <v>17060</v>
      </c>
      <c r="E118" s="31"/>
      <c r="F118" s="31"/>
      <c r="G118" s="31"/>
      <c r="H118" s="31"/>
      <c r="I118" s="42"/>
      <c r="J118" s="2">
        <v>1</v>
      </c>
    </row>
    <row r="119" spans="1:10">
      <c r="A119" s="1" t="s">
        <v>14</v>
      </c>
      <c r="B119" s="1" t="s">
        <v>2</v>
      </c>
      <c r="C119" s="1" t="s">
        <v>17061</v>
      </c>
      <c r="D119" s="2" t="s">
        <v>17062</v>
      </c>
      <c r="E119" s="18">
        <v>172</v>
      </c>
      <c r="F119" s="18">
        <v>59</v>
      </c>
      <c r="G119" s="18">
        <v>7</v>
      </c>
      <c r="H119" s="18">
        <v>13</v>
      </c>
      <c r="I119" s="50">
        <v>13</v>
      </c>
      <c r="J119" s="2">
        <v>0</v>
      </c>
    </row>
    <row r="123" spans="1:10">
      <c r="A123" s="1">
        <v>53</v>
      </c>
      <c r="B123" s="1"/>
      <c r="C123" s="1" t="s">
        <v>17065</v>
      </c>
      <c r="D123" s="1" t="s">
        <v>17066</v>
      </c>
      <c r="E123" s="1" t="s">
        <v>16650</v>
      </c>
      <c r="F123" s="1" t="s">
        <v>16651</v>
      </c>
      <c r="G123" s="1" t="s">
        <v>16652</v>
      </c>
      <c r="H123" s="1" t="s">
        <v>16611</v>
      </c>
      <c r="I123" s="10" t="s">
        <v>17063</v>
      </c>
      <c r="J123" s="1" t="s">
        <v>17064</v>
      </c>
    </row>
    <row r="124" spans="1:10">
      <c r="A124" s="1" t="s">
        <v>14</v>
      </c>
      <c r="B124" s="1" t="s">
        <v>2</v>
      </c>
      <c r="C124" s="1" t="s">
        <v>17067</v>
      </c>
      <c r="D124" s="2" t="s">
        <v>17068</v>
      </c>
      <c r="E124" s="32">
        <f>SUM(E126:E176)</f>
        <v>2961</v>
      </c>
      <c r="F124" s="32">
        <f>SUM(F126:F176)</f>
        <v>5285</v>
      </c>
      <c r="G124" s="32">
        <f t="shared" ref="G124:I124" si="53">SUM(G126:G176)</f>
        <v>6598</v>
      </c>
      <c r="H124" s="32">
        <f t="shared" si="53"/>
        <v>1939</v>
      </c>
      <c r="I124" s="39">
        <f t="shared" si="53"/>
        <v>1939</v>
      </c>
      <c r="J124" s="2">
        <v>0</v>
      </c>
    </row>
    <row r="125" spans="1:10">
      <c r="A125" s="1" t="s">
        <v>4</v>
      </c>
      <c r="B125" s="1" t="s">
        <v>2</v>
      </c>
      <c r="C125" s="1" t="s">
        <v>17069</v>
      </c>
      <c r="D125" s="2" t="s">
        <v>17070</v>
      </c>
      <c r="E125" s="40">
        <f>SUMIF($J$126:$J$176,0,E126:E176)</f>
        <v>211</v>
      </c>
      <c r="F125" s="40">
        <f>SUMIF($J$126:$J$176,0,F126:F176)</f>
        <v>229</v>
      </c>
      <c r="G125" s="40">
        <f t="shared" ref="G125:I125" si="54">SUMIF($J$126:$J$176,0,G126:G176)</f>
        <v>1124</v>
      </c>
      <c r="H125" s="40">
        <f t="shared" si="54"/>
        <v>1302</v>
      </c>
      <c r="I125" s="41">
        <f t="shared" si="54"/>
        <v>1302</v>
      </c>
      <c r="J125" s="2">
        <v>0</v>
      </c>
    </row>
    <row r="126" spans="1:10">
      <c r="A126" s="1" t="s">
        <v>14</v>
      </c>
      <c r="B126" s="1" t="s">
        <v>2</v>
      </c>
      <c r="C126" s="1" t="s">
        <v>17071</v>
      </c>
      <c r="D126" s="2" t="s">
        <v>17072</v>
      </c>
      <c r="E126" s="31">
        <v>127</v>
      </c>
      <c r="F126" s="31">
        <v>153</v>
      </c>
      <c r="G126" s="31">
        <v>658</v>
      </c>
      <c r="H126" s="31">
        <v>1121</v>
      </c>
      <c r="I126" s="42">
        <v>1121</v>
      </c>
      <c r="J126" s="2">
        <v>0</v>
      </c>
    </row>
    <row r="127" spans="1:10">
      <c r="A127" s="1" t="s">
        <v>14</v>
      </c>
      <c r="B127" s="1" t="s">
        <v>2</v>
      </c>
      <c r="C127" s="1" t="s">
        <v>17073</v>
      </c>
      <c r="D127" s="2" t="s">
        <v>17074</v>
      </c>
      <c r="E127" s="31"/>
      <c r="F127" s="31"/>
      <c r="G127" s="31"/>
      <c r="H127" s="31"/>
      <c r="I127" s="42"/>
      <c r="J127" s="2">
        <v>0</v>
      </c>
    </row>
    <row r="128" spans="1:10">
      <c r="A128" s="1" t="s">
        <v>14</v>
      </c>
      <c r="B128" s="1" t="s">
        <v>2</v>
      </c>
      <c r="C128" s="1" t="s">
        <v>17075</v>
      </c>
      <c r="D128" s="2" t="s">
        <v>17076</v>
      </c>
      <c r="E128" s="31"/>
      <c r="F128" s="31"/>
      <c r="G128" s="31"/>
      <c r="H128" s="31"/>
      <c r="I128" s="42"/>
      <c r="J128" s="2">
        <v>1</v>
      </c>
    </row>
    <row r="129" spans="1:10">
      <c r="A129" s="1" t="s">
        <v>14</v>
      </c>
      <c r="B129" s="1" t="s">
        <v>2</v>
      </c>
      <c r="C129" s="1" t="s">
        <v>17077</v>
      </c>
      <c r="D129" s="2" t="s">
        <v>17078</v>
      </c>
      <c r="E129" s="31"/>
      <c r="F129" s="31"/>
      <c r="G129" s="31"/>
      <c r="H129" s="31"/>
      <c r="I129" s="42"/>
      <c r="J129" s="2">
        <v>1</v>
      </c>
    </row>
    <row r="130" spans="1:10">
      <c r="A130" s="1" t="s">
        <v>14</v>
      </c>
      <c r="B130" s="1" t="s">
        <v>2</v>
      </c>
      <c r="C130" s="1" t="s">
        <v>17079</v>
      </c>
      <c r="D130" s="2" t="s">
        <v>17080</v>
      </c>
      <c r="E130" s="31"/>
      <c r="F130" s="31"/>
      <c r="G130" s="31"/>
      <c r="H130" s="31"/>
      <c r="I130" s="42"/>
      <c r="J130" s="2">
        <v>1</v>
      </c>
    </row>
    <row r="131" spans="1:10">
      <c r="A131" s="1" t="s">
        <v>14</v>
      </c>
      <c r="B131" s="1" t="s">
        <v>2</v>
      </c>
      <c r="C131" s="1" t="s">
        <v>17081</v>
      </c>
      <c r="D131" s="2" t="s">
        <v>17082</v>
      </c>
      <c r="E131" s="31">
        <v>2586</v>
      </c>
      <c r="F131" s="31">
        <v>2789</v>
      </c>
      <c r="G131" s="31">
        <v>4229</v>
      </c>
      <c r="H131" s="31"/>
      <c r="I131" s="42"/>
      <c r="J131" s="2">
        <v>1</v>
      </c>
    </row>
    <row r="132" spans="1:10">
      <c r="A132" s="1" t="s">
        <v>14</v>
      </c>
      <c r="B132" s="1" t="s">
        <v>2</v>
      </c>
      <c r="C132" s="1" t="s">
        <v>17083</v>
      </c>
      <c r="D132" s="2" t="s">
        <v>17084</v>
      </c>
      <c r="E132" s="31"/>
      <c r="F132" s="31"/>
      <c r="G132" s="31"/>
      <c r="H132" s="31"/>
      <c r="I132" s="42"/>
      <c r="J132" s="2">
        <v>1</v>
      </c>
    </row>
    <row r="133" spans="1:10">
      <c r="A133" s="1" t="s">
        <v>14</v>
      </c>
      <c r="B133" s="1" t="s">
        <v>2</v>
      </c>
      <c r="C133" s="1" t="s">
        <v>17085</v>
      </c>
      <c r="D133" s="2" t="s">
        <v>17086</v>
      </c>
      <c r="E133" s="31"/>
      <c r="F133" s="31"/>
      <c r="G133" s="31"/>
      <c r="H133" s="31"/>
      <c r="I133" s="42"/>
      <c r="J133" s="2">
        <v>1</v>
      </c>
    </row>
    <row r="134" spans="1:10">
      <c r="A134" s="1" t="s">
        <v>14</v>
      </c>
      <c r="B134" s="1" t="s">
        <v>2</v>
      </c>
      <c r="C134" s="1" t="s">
        <v>17087</v>
      </c>
      <c r="D134" s="2" t="s">
        <v>17088</v>
      </c>
      <c r="E134" s="55"/>
      <c r="F134" s="55"/>
      <c r="G134" s="55"/>
      <c r="H134" s="55"/>
      <c r="I134" s="50"/>
      <c r="J134" s="2">
        <v>0</v>
      </c>
    </row>
    <row r="135" spans="1:10">
      <c r="A135" s="1" t="s">
        <v>14</v>
      </c>
      <c r="B135" s="1" t="s">
        <v>2</v>
      </c>
      <c r="C135" s="1" t="s">
        <v>17089</v>
      </c>
      <c r="D135" s="2" t="s">
        <v>17090</v>
      </c>
      <c r="E135" s="55"/>
      <c r="F135" s="55"/>
      <c r="G135" s="55"/>
      <c r="H135" s="55"/>
      <c r="I135" s="50"/>
      <c r="J135" s="2">
        <v>1</v>
      </c>
    </row>
    <row r="136" spans="1:10">
      <c r="A136" s="1" t="s">
        <v>14</v>
      </c>
      <c r="B136" s="1" t="s">
        <v>2</v>
      </c>
      <c r="C136" s="1" t="s">
        <v>17091</v>
      </c>
      <c r="D136" s="2" t="s">
        <v>17092</v>
      </c>
      <c r="E136" s="55"/>
      <c r="F136" s="55"/>
      <c r="G136" s="55"/>
      <c r="H136" s="55"/>
      <c r="I136" s="50"/>
      <c r="J136" s="2">
        <v>1</v>
      </c>
    </row>
    <row r="137" spans="1:10">
      <c r="A137" s="1" t="s">
        <v>14</v>
      </c>
      <c r="B137" s="1" t="s">
        <v>2</v>
      </c>
      <c r="C137" s="1" t="s">
        <v>17093</v>
      </c>
      <c r="D137" s="2" t="s">
        <v>17094</v>
      </c>
      <c r="E137" s="55">
        <v>70</v>
      </c>
      <c r="F137" s="55">
        <v>65</v>
      </c>
      <c r="G137" s="55">
        <v>62</v>
      </c>
      <c r="H137" s="55">
        <v>7</v>
      </c>
      <c r="I137" s="50">
        <v>7</v>
      </c>
      <c r="J137" s="2">
        <v>0</v>
      </c>
    </row>
    <row r="138" spans="1:10">
      <c r="A138" s="1" t="s">
        <v>14</v>
      </c>
      <c r="B138" s="1" t="s">
        <v>2</v>
      </c>
      <c r="C138" s="1" t="s">
        <v>17095</v>
      </c>
      <c r="D138" s="2" t="s">
        <v>17096</v>
      </c>
      <c r="E138" s="55">
        <v>53</v>
      </c>
      <c r="F138" s="55">
        <v>56</v>
      </c>
      <c r="G138" s="55">
        <v>712</v>
      </c>
      <c r="H138" s="55">
        <v>392</v>
      </c>
      <c r="I138" s="50">
        <v>392</v>
      </c>
      <c r="J138" s="2">
        <v>1</v>
      </c>
    </row>
    <row r="139" spans="1:10">
      <c r="A139" s="1" t="s">
        <v>14</v>
      </c>
      <c r="B139" s="1" t="s">
        <v>2</v>
      </c>
      <c r="C139" s="1" t="s">
        <v>17097</v>
      </c>
      <c r="D139" s="2" t="s">
        <v>17098</v>
      </c>
      <c r="E139" s="55">
        <v>29</v>
      </c>
      <c r="F139" s="55">
        <v>92</v>
      </c>
      <c r="G139" s="55"/>
      <c r="H139" s="55"/>
      <c r="I139" s="50"/>
      <c r="J139" s="3">
        <v>1</v>
      </c>
    </row>
    <row r="140" spans="1:10">
      <c r="A140" s="1" t="s">
        <v>14</v>
      </c>
      <c r="B140" s="1" t="s">
        <v>2</v>
      </c>
      <c r="C140" s="1" t="s">
        <v>17099</v>
      </c>
      <c r="D140" s="2" t="s">
        <v>17100</v>
      </c>
      <c r="E140" s="55"/>
      <c r="F140" s="55"/>
      <c r="G140" s="55"/>
      <c r="H140" s="55"/>
      <c r="I140" s="50"/>
      <c r="J140" s="3">
        <v>1</v>
      </c>
    </row>
    <row r="141" spans="1:10">
      <c r="A141" s="1" t="s">
        <v>14</v>
      </c>
      <c r="B141" s="1" t="s">
        <v>2</v>
      </c>
      <c r="C141" s="1" t="s">
        <v>17101</v>
      </c>
      <c r="D141" s="2" t="s">
        <v>17102</v>
      </c>
      <c r="E141" s="55"/>
      <c r="F141" s="55"/>
      <c r="G141" s="55"/>
      <c r="H141" s="55"/>
      <c r="I141" s="50"/>
      <c r="J141" s="3">
        <v>1</v>
      </c>
    </row>
    <row r="142" spans="1:10">
      <c r="A142" s="1" t="s">
        <v>14</v>
      </c>
      <c r="B142" s="1" t="s">
        <v>2</v>
      </c>
      <c r="C142" s="1" t="s">
        <v>17103</v>
      </c>
      <c r="D142" s="2" t="s">
        <v>17104</v>
      </c>
      <c r="E142" s="55">
        <v>50</v>
      </c>
      <c r="F142" s="55">
        <v>1996</v>
      </c>
      <c r="G142" s="55">
        <v>22</v>
      </c>
      <c r="H142" s="55"/>
      <c r="I142" s="50"/>
      <c r="J142" s="2">
        <v>1</v>
      </c>
    </row>
    <row r="143" spans="1:10">
      <c r="A143" s="1" t="s">
        <v>14</v>
      </c>
      <c r="B143" s="1" t="s">
        <v>2</v>
      </c>
      <c r="C143" s="1" t="s">
        <v>17105</v>
      </c>
      <c r="D143" s="2" t="s">
        <v>17106</v>
      </c>
      <c r="E143" s="55">
        <v>1</v>
      </c>
      <c r="F143" s="55">
        <v>123</v>
      </c>
      <c r="G143" s="55">
        <v>511</v>
      </c>
      <c r="H143" s="55">
        <v>97</v>
      </c>
      <c r="I143" s="50">
        <v>97</v>
      </c>
      <c r="J143" s="2">
        <v>1</v>
      </c>
    </row>
    <row r="144" spans="1:10">
      <c r="A144" s="1" t="s">
        <v>14</v>
      </c>
      <c r="B144" s="1" t="s">
        <v>2</v>
      </c>
      <c r="C144" s="1" t="s">
        <v>17107</v>
      </c>
      <c r="D144" s="2" t="s">
        <v>17108</v>
      </c>
      <c r="E144" s="55"/>
      <c r="F144" s="55"/>
      <c r="G144" s="55"/>
      <c r="H144" s="55"/>
      <c r="I144" s="50"/>
      <c r="J144" s="2">
        <v>1</v>
      </c>
    </row>
    <row r="145" spans="1:10">
      <c r="A145" s="1" t="s">
        <v>14</v>
      </c>
      <c r="B145" s="1" t="s">
        <v>2</v>
      </c>
      <c r="C145" s="1" t="s">
        <v>17109</v>
      </c>
      <c r="D145" s="2" t="s">
        <v>17110</v>
      </c>
      <c r="E145" s="55"/>
      <c r="F145" s="55"/>
      <c r="G145" s="55"/>
      <c r="H145" s="55"/>
      <c r="I145" s="50"/>
      <c r="J145" s="2">
        <v>0</v>
      </c>
    </row>
    <row r="146" spans="1:10">
      <c r="A146" s="1" t="s">
        <v>14</v>
      </c>
      <c r="B146" s="1" t="s">
        <v>2</v>
      </c>
      <c r="C146" s="1" t="s">
        <v>17111</v>
      </c>
      <c r="D146" s="2" t="s">
        <v>17112</v>
      </c>
      <c r="E146" s="55"/>
      <c r="F146" s="55"/>
      <c r="G146" s="55"/>
      <c r="H146" s="55"/>
      <c r="I146" s="50"/>
      <c r="J146" s="2">
        <v>1</v>
      </c>
    </row>
    <row r="147" spans="1:10">
      <c r="A147" s="1" t="s">
        <v>14</v>
      </c>
      <c r="B147" s="1" t="s">
        <v>2</v>
      </c>
      <c r="C147" s="1" t="s">
        <v>17113</v>
      </c>
      <c r="D147" s="2" t="s">
        <v>17114</v>
      </c>
      <c r="E147" s="55"/>
      <c r="F147" s="55"/>
      <c r="G147" s="55"/>
      <c r="H147" s="55"/>
      <c r="I147" s="50"/>
      <c r="J147" s="2">
        <v>1</v>
      </c>
    </row>
    <row r="148" spans="1:10">
      <c r="A148" s="1" t="s">
        <v>14</v>
      </c>
      <c r="B148" s="1" t="s">
        <v>2</v>
      </c>
      <c r="C148" s="1" t="s">
        <v>17115</v>
      </c>
      <c r="D148" s="2" t="s">
        <v>17116</v>
      </c>
      <c r="E148" s="55"/>
      <c r="F148" s="55"/>
      <c r="G148" s="55"/>
      <c r="H148" s="55"/>
      <c r="I148" s="50"/>
      <c r="J148" s="2">
        <v>1</v>
      </c>
    </row>
    <row r="149" spans="1:10">
      <c r="A149" s="1" t="s">
        <v>14</v>
      </c>
      <c r="B149" s="1" t="s">
        <v>2</v>
      </c>
      <c r="C149" s="1" t="s">
        <v>17117</v>
      </c>
      <c r="D149" s="2" t="s">
        <v>17118</v>
      </c>
      <c r="E149" s="55"/>
      <c r="F149" s="55"/>
      <c r="G149" s="55"/>
      <c r="H149" s="55">
        <v>2</v>
      </c>
      <c r="I149" s="50">
        <v>2</v>
      </c>
      <c r="J149" s="2">
        <v>1</v>
      </c>
    </row>
    <row r="150" spans="1:10">
      <c r="A150" s="1" t="s">
        <v>14</v>
      </c>
      <c r="B150" s="1" t="s">
        <v>2</v>
      </c>
      <c r="C150" s="1" t="s">
        <v>17119</v>
      </c>
      <c r="D150" s="2" t="s">
        <v>17120</v>
      </c>
      <c r="E150" s="55">
        <v>1</v>
      </c>
      <c r="F150" s="55"/>
      <c r="G150" s="55"/>
      <c r="H150" s="55">
        <v>10</v>
      </c>
      <c r="I150" s="50">
        <v>10</v>
      </c>
      <c r="J150" s="2">
        <v>1</v>
      </c>
    </row>
    <row r="151" spans="1:10">
      <c r="A151" s="1" t="s">
        <v>14</v>
      </c>
      <c r="B151" s="1" t="s">
        <v>2</v>
      </c>
      <c r="C151" s="1" t="s">
        <v>17121</v>
      </c>
      <c r="D151" s="2" t="s">
        <v>17122</v>
      </c>
      <c r="E151" s="55"/>
      <c r="F151" s="55"/>
      <c r="G151" s="55"/>
      <c r="H151" s="55"/>
      <c r="I151" s="50"/>
      <c r="J151" s="2">
        <v>1</v>
      </c>
    </row>
    <row r="152" spans="1:10">
      <c r="A152" s="1" t="s">
        <v>14</v>
      </c>
      <c r="B152" s="1" t="s">
        <v>2</v>
      </c>
      <c r="C152" s="1" t="s">
        <v>17123</v>
      </c>
      <c r="D152" s="2" t="s">
        <v>17124</v>
      </c>
      <c r="E152" s="55"/>
      <c r="F152" s="55"/>
      <c r="G152" s="55"/>
      <c r="H152" s="55"/>
      <c r="I152" s="50"/>
      <c r="J152" s="2">
        <v>1</v>
      </c>
    </row>
    <row r="153" spans="1:10">
      <c r="A153" s="1" t="s">
        <v>14</v>
      </c>
      <c r="B153" s="1" t="s">
        <v>2</v>
      </c>
      <c r="C153" s="1" t="s">
        <v>17125</v>
      </c>
      <c r="D153" s="2" t="s">
        <v>17126</v>
      </c>
      <c r="E153" s="55"/>
      <c r="F153" s="55"/>
      <c r="G153" s="55"/>
      <c r="H153" s="55"/>
      <c r="I153" s="50"/>
      <c r="J153" s="2">
        <v>1</v>
      </c>
    </row>
    <row r="154" spans="1:10">
      <c r="A154" s="1" t="s">
        <v>14</v>
      </c>
      <c r="B154" s="1" t="s">
        <v>2</v>
      </c>
      <c r="C154" s="1" t="s">
        <v>17127</v>
      </c>
      <c r="D154" s="2" t="s">
        <v>17128</v>
      </c>
      <c r="E154" s="55"/>
      <c r="F154" s="55"/>
      <c r="G154" s="55"/>
      <c r="H154" s="55"/>
      <c r="I154" s="50"/>
      <c r="J154" s="2">
        <v>1</v>
      </c>
    </row>
    <row r="155" spans="1:10">
      <c r="A155" s="1" t="s">
        <v>14</v>
      </c>
      <c r="B155" s="1" t="s">
        <v>2</v>
      </c>
      <c r="C155" s="1" t="s">
        <v>17129</v>
      </c>
      <c r="D155" s="2" t="s">
        <v>17130</v>
      </c>
      <c r="E155" s="55"/>
      <c r="F155" s="55"/>
      <c r="G155" s="55"/>
      <c r="H155" s="55"/>
      <c r="I155" s="50"/>
      <c r="J155" s="2">
        <v>1</v>
      </c>
    </row>
    <row r="156" spans="1:10">
      <c r="A156" s="1" t="s">
        <v>14</v>
      </c>
      <c r="B156" s="1" t="s">
        <v>2</v>
      </c>
      <c r="C156" s="1" t="s">
        <v>17131</v>
      </c>
      <c r="D156" s="2" t="s">
        <v>17132</v>
      </c>
      <c r="E156" s="55"/>
      <c r="F156" s="55"/>
      <c r="G156" s="55"/>
      <c r="H156" s="55"/>
      <c r="I156" s="50"/>
      <c r="J156" s="2">
        <v>1</v>
      </c>
    </row>
    <row r="157" spans="1:10">
      <c r="A157" s="1" t="s">
        <v>14</v>
      </c>
      <c r="B157" s="1" t="s">
        <v>2</v>
      </c>
      <c r="C157" s="1" t="s">
        <v>17133</v>
      </c>
      <c r="D157" s="2" t="s">
        <v>17134</v>
      </c>
      <c r="E157" s="55"/>
      <c r="F157" s="55"/>
      <c r="G157" s="55"/>
      <c r="H157" s="55"/>
      <c r="I157" s="50"/>
      <c r="J157" s="2">
        <v>1</v>
      </c>
    </row>
    <row r="158" spans="1:10">
      <c r="A158" s="1" t="s">
        <v>14</v>
      </c>
      <c r="B158" s="1" t="s">
        <v>2</v>
      </c>
      <c r="C158" s="1" t="s">
        <v>17135</v>
      </c>
      <c r="D158" s="2" t="s">
        <v>17136</v>
      </c>
      <c r="E158" s="55"/>
      <c r="F158" s="55"/>
      <c r="G158" s="55"/>
      <c r="H158" s="55"/>
      <c r="I158" s="50"/>
      <c r="J158" s="2">
        <v>1</v>
      </c>
    </row>
    <row r="159" spans="1:10">
      <c r="A159" s="1" t="s">
        <v>14</v>
      </c>
      <c r="B159" s="1" t="s">
        <v>2</v>
      </c>
      <c r="C159" s="1" t="s">
        <v>17137</v>
      </c>
      <c r="D159" s="2" t="s">
        <v>17138</v>
      </c>
      <c r="E159" s="55"/>
      <c r="F159" s="55"/>
      <c r="G159" s="55"/>
      <c r="H159" s="55"/>
      <c r="I159" s="50"/>
      <c r="J159" s="2">
        <v>1</v>
      </c>
    </row>
    <row r="160" spans="1:10">
      <c r="A160" s="1" t="s">
        <v>14</v>
      </c>
      <c r="B160" s="1" t="s">
        <v>2</v>
      </c>
      <c r="C160" s="1" t="s">
        <v>17139</v>
      </c>
      <c r="D160" s="2" t="s">
        <v>17140</v>
      </c>
      <c r="E160" s="55"/>
      <c r="F160" s="55"/>
      <c r="G160" s="55"/>
      <c r="H160" s="55"/>
      <c r="I160" s="50"/>
      <c r="J160" s="2">
        <v>1</v>
      </c>
    </row>
    <row r="161" spans="1:10">
      <c r="A161" s="1" t="s">
        <v>14</v>
      </c>
      <c r="B161" s="1" t="s">
        <v>2</v>
      </c>
      <c r="C161" s="1" t="s">
        <v>17141</v>
      </c>
      <c r="D161" s="2" t="s">
        <v>17142</v>
      </c>
      <c r="E161" s="55">
        <v>30</v>
      </c>
      <c r="F161" s="55"/>
      <c r="G161" s="55"/>
      <c r="H161" s="55">
        <v>136</v>
      </c>
      <c r="I161" s="50">
        <v>136</v>
      </c>
      <c r="J161" s="2">
        <v>1</v>
      </c>
    </row>
    <row r="162" spans="1:10">
      <c r="A162" s="1" t="s">
        <v>14</v>
      </c>
      <c r="B162" s="1" t="s">
        <v>2</v>
      </c>
      <c r="C162" s="1" t="s">
        <v>17143</v>
      </c>
      <c r="D162" s="2" t="s">
        <v>17144</v>
      </c>
      <c r="E162" s="55"/>
      <c r="F162" s="55"/>
      <c r="G162" s="55"/>
      <c r="H162" s="55"/>
      <c r="I162" s="50"/>
      <c r="J162" s="2">
        <v>1</v>
      </c>
    </row>
    <row r="163" spans="1:10">
      <c r="A163" s="1" t="s">
        <v>14</v>
      </c>
      <c r="B163" s="1" t="s">
        <v>2</v>
      </c>
      <c r="C163" s="1" t="s">
        <v>17145</v>
      </c>
      <c r="D163" s="2" t="s">
        <v>17146</v>
      </c>
      <c r="E163" s="55"/>
      <c r="F163" s="55"/>
      <c r="G163" s="55"/>
      <c r="H163" s="55"/>
      <c r="I163" s="50"/>
      <c r="J163" s="2">
        <v>1</v>
      </c>
    </row>
    <row r="164" spans="1:10">
      <c r="A164" s="1" t="s">
        <v>14</v>
      </c>
      <c r="B164" s="1" t="s">
        <v>2</v>
      </c>
      <c r="C164" s="1" t="s">
        <v>17147</v>
      </c>
      <c r="D164" s="2" t="s">
        <v>17148</v>
      </c>
      <c r="E164" s="55"/>
      <c r="F164" s="55"/>
      <c r="G164" s="55"/>
      <c r="H164" s="55"/>
      <c r="I164" s="50"/>
      <c r="J164" s="2">
        <v>1</v>
      </c>
    </row>
    <row r="165" spans="1:10">
      <c r="A165" s="1" t="s">
        <v>14</v>
      </c>
      <c r="B165" s="1" t="s">
        <v>2</v>
      </c>
      <c r="C165" s="1" t="s">
        <v>17149</v>
      </c>
      <c r="D165" s="2" t="s">
        <v>17150</v>
      </c>
      <c r="E165" s="55"/>
      <c r="F165" s="55"/>
      <c r="G165" s="55"/>
      <c r="H165" s="55"/>
      <c r="I165" s="50"/>
      <c r="J165" s="2">
        <v>1</v>
      </c>
    </row>
    <row r="166" spans="1:10">
      <c r="A166" s="1" t="s">
        <v>14</v>
      </c>
      <c r="B166" s="1" t="s">
        <v>2</v>
      </c>
      <c r="C166" s="1" t="s">
        <v>17151</v>
      </c>
      <c r="D166" s="2" t="s">
        <v>17152</v>
      </c>
      <c r="E166" s="55"/>
      <c r="F166" s="55"/>
      <c r="G166" s="55"/>
      <c r="H166" s="55"/>
      <c r="I166" s="50"/>
      <c r="J166" s="2">
        <v>1</v>
      </c>
    </row>
    <row r="167" spans="1:10">
      <c r="A167" s="1" t="s">
        <v>14</v>
      </c>
      <c r="B167" s="1" t="s">
        <v>2</v>
      </c>
      <c r="C167" s="1" t="s">
        <v>17153</v>
      </c>
      <c r="D167" s="2" t="s">
        <v>17154</v>
      </c>
      <c r="E167" s="55"/>
      <c r="F167" s="55"/>
      <c r="G167" s="55"/>
      <c r="H167" s="55"/>
      <c r="I167" s="50"/>
      <c r="J167" s="2">
        <v>1</v>
      </c>
    </row>
    <row r="168" spans="1:10">
      <c r="A168" s="1" t="s">
        <v>14</v>
      </c>
      <c r="B168" s="1" t="s">
        <v>2</v>
      </c>
      <c r="C168" s="1" t="s">
        <v>17155</v>
      </c>
      <c r="D168" s="2" t="s">
        <v>17156</v>
      </c>
      <c r="E168" s="55"/>
      <c r="F168" s="55"/>
      <c r="G168" s="55"/>
      <c r="H168" s="55"/>
      <c r="I168" s="50"/>
      <c r="J168" s="2">
        <v>1</v>
      </c>
    </row>
    <row r="169" spans="1:10">
      <c r="A169" s="1" t="s">
        <v>14</v>
      </c>
      <c r="B169" s="1" t="s">
        <v>2</v>
      </c>
      <c r="C169" s="1" t="s">
        <v>17157</v>
      </c>
      <c r="D169" s="2" t="s">
        <v>17158</v>
      </c>
      <c r="E169" s="55"/>
      <c r="F169" s="55"/>
      <c r="G169" s="55"/>
      <c r="H169" s="55"/>
      <c r="I169" s="50"/>
      <c r="J169" s="2">
        <v>1</v>
      </c>
    </row>
    <row r="170" spans="1:10">
      <c r="A170" s="1" t="s">
        <v>14</v>
      </c>
      <c r="B170" s="1" t="s">
        <v>2</v>
      </c>
      <c r="C170" s="1" t="s">
        <v>17159</v>
      </c>
      <c r="D170" s="2" t="s">
        <v>17160</v>
      </c>
      <c r="E170" s="55"/>
      <c r="F170" s="55"/>
      <c r="G170" s="55"/>
      <c r="H170" s="55"/>
      <c r="I170" s="50"/>
      <c r="J170" s="2">
        <v>1</v>
      </c>
    </row>
    <row r="171" spans="1:10">
      <c r="A171" s="1" t="s">
        <v>14</v>
      </c>
      <c r="B171" s="1" t="s">
        <v>2</v>
      </c>
      <c r="C171" s="1" t="s">
        <v>17161</v>
      </c>
      <c r="D171" s="2" t="s">
        <v>17162</v>
      </c>
      <c r="E171" s="55"/>
      <c r="F171" s="55"/>
      <c r="G171" s="55"/>
      <c r="H171" s="55"/>
      <c r="I171" s="50"/>
      <c r="J171" s="2">
        <v>1</v>
      </c>
    </row>
    <row r="172" spans="1:10">
      <c r="A172" s="1" t="s">
        <v>14</v>
      </c>
      <c r="B172" s="1" t="s">
        <v>2</v>
      </c>
      <c r="C172" s="1" t="s">
        <v>17163</v>
      </c>
      <c r="D172" s="2" t="s">
        <v>17164</v>
      </c>
      <c r="E172" s="55"/>
      <c r="F172" s="55"/>
      <c r="G172" s="55"/>
      <c r="H172" s="55"/>
      <c r="I172" s="50"/>
      <c r="J172" s="2">
        <v>1</v>
      </c>
    </row>
    <row r="173" spans="1:10">
      <c r="A173" s="1" t="s">
        <v>14</v>
      </c>
      <c r="B173" s="1" t="s">
        <v>2</v>
      </c>
      <c r="C173" s="1" t="s">
        <v>17165</v>
      </c>
      <c r="D173" s="2" t="s">
        <v>17166</v>
      </c>
      <c r="E173" s="55"/>
      <c r="F173" s="55"/>
      <c r="G173" s="55"/>
      <c r="H173" s="55"/>
      <c r="I173" s="50"/>
      <c r="J173" s="2">
        <v>1</v>
      </c>
    </row>
    <row r="174" spans="1:10">
      <c r="A174" s="1" t="s">
        <v>14</v>
      </c>
      <c r="B174" s="1" t="s">
        <v>2</v>
      </c>
      <c r="C174" s="1" t="s">
        <v>17167</v>
      </c>
      <c r="D174" s="2" t="s">
        <v>17168</v>
      </c>
      <c r="E174" s="55"/>
      <c r="F174" s="55"/>
      <c r="G174" s="55"/>
      <c r="H174" s="55"/>
      <c r="I174" s="50"/>
      <c r="J174" s="2">
        <v>1</v>
      </c>
    </row>
    <row r="175" spans="1:10">
      <c r="A175" s="1" t="s">
        <v>14</v>
      </c>
      <c r="B175" s="1" t="s">
        <v>2</v>
      </c>
      <c r="C175" s="1" t="s">
        <v>17169</v>
      </c>
      <c r="D175" s="2" t="s">
        <v>17170</v>
      </c>
      <c r="E175" s="55"/>
      <c r="F175" s="55"/>
      <c r="G175" s="55"/>
      <c r="H175" s="55"/>
      <c r="I175" s="50"/>
      <c r="J175" s="2">
        <v>1</v>
      </c>
    </row>
    <row r="176" spans="1:10">
      <c r="A176" s="1" t="s">
        <v>14</v>
      </c>
      <c r="B176" s="1" t="s">
        <v>2</v>
      </c>
      <c r="C176" s="1" t="s">
        <v>17171</v>
      </c>
      <c r="D176" s="2" t="s">
        <v>17172</v>
      </c>
      <c r="E176" s="55">
        <v>14</v>
      </c>
      <c r="F176" s="55">
        <v>11</v>
      </c>
      <c r="G176" s="55">
        <v>404</v>
      </c>
      <c r="H176" s="55">
        <v>174</v>
      </c>
      <c r="I176" s="50">
        <v>174</v>
      </c>
      <c r="J176" s="2">
        <v>0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F24:H24 F19:G19 F20:H20 F21:H21 F22:H22 F23:H23 F18:G18 J17 E18 H18:J18 J35:N36 J16 I27 I30 I37 N47:S50 D51 D52:D53 Q53:S53 Q52:S52 E51:I51 K51:S51" unlockedFormula="1"/>
    <ignoredError sqref="F43:P44 P53 P52" evalError="1" unlocked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C00000"/>
  </sheetPr>
  <dimension ref="A1:T74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E32" sqref="E3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19" width="9.625" style="2" customWidth="1"/>
    <col min="20" max="16384" width="9" style="2"/>
  </cols>
  <sheetData>
    <row r="1" spans="1:15">
      <c r="A1" s="367">
        <f>ROW(C41)-ROW(C1)</f>
        <v>40</v>
      </c>
      <c r="B1" s="1"/>
      <c r="C1" s="1" t="s">
        <v>17173</v>
      </c>
      <c r="D1" s="1" t="s">
        <v>17174</v>
      </c>
      <c r="E1" s="1" t="s">
        <v>16650</v>
      </c>
      <c r="F1" s="1" t="s">
        <v>16651</v>
      </c>
      <c r="G1" s="1" t="s">
        <v>16652</v>
      </c>
      <c r="H1" s="1" t="s">
        <v>16611</v>
      </c>
      <c r="I1" s="1" t="s">
        <v>16653</v>
      </c>
      <c r="J1" s="1" t="s">
        <v>16654</v>
      </c>
      <c r="K1" s="1" t="s">
        <v>16655</v>
      </c>
      <c r="L1" s="1" t="s">
        <v>16656</v>
      </c>
      <c r="M1" s="1" t="s">
        <v>16657</v>
      </c>
      <c r="N1" s="1" t="s">
        <v>16658</v>
      </c>
      <c r="O1" s="1" t="s">
        <v>16659</v>
      </c>
    </row>
    <row r="2" spans="1:15">
      <c r="A2" s="1" t="s">
        <v>14</v>
      </c>
      <c r="B2" s="1" t="s">
        <v>2</v>
      </c>
      <c r="C2" s="1" t="s">
        <v>17175</v>
      </c>
      <c r="D2" s="2" t="s">
        <v>17176</v>
      </c>
      <c r="E2" s="24">
        <f>IS추정!E14</f>
        <v>21340</v>
      </c>
      <c r="F2" s="24">
        <f>IS추정!F14</f>
        <v>24270</v>
      </c>
      <c r="G2" s="24">
        <f>IS추정!G14</f>
        <v>38252</v>
      </c>
      <c r="H2" s="24">
        <f>IS추정!H14</f>
        <v>37634</v>
      </c>
      <c r="I2" s="24">
        <f>IS추정!I14</f>
        <v>37634</v>
      </c>
      <c r="J2" s="24">
        <f>IS추정!J14</f>
        <v>38507</v>
      </c>
      <c r="K2" s="24">
        <f>IS추정!K14</f>
        <v>39406</v>
      </c>
      <c r="L2" s="24">
        <f>IS추정!L14</f>
        <v>40277</v>
      </c>
      <c r="M2" s="24">
        <f>IS추정!M14</f>
        <v>41135</v>
      </c>
      <c r="N2" s="24">
        <f>IS추정!N14</f>
        <v>41992</v>
      </c>
      <c r="O2" s="24">
        <f>IS추정!O14</f>
        <v>42842</v>
      </c>
    </row>
    <row r="3" spans="1:15">
      <c r="A3" s="1" t="s">
        <v>14</v>
      </c>
      <c r="B3" s="1" t="s">
        <v>2</v>
      </c>
      <c r="C3" s="1" t="s">
        <v>17177</v>
      </c>
      <c r="D3" s="2" t="s">
        <v>17178</v>
      </c>
      <c r="E3" s="24">
        <f>IS추정!E15</f>
        <v>9878</v>
      </c>
      <c r="F3" s="24">
        <f>IS추정!F15</f>
        <v>12885</v>
      </c>
      <c r="G3" s="24">
        <f>IS추정!G15</f>
        <v>23322</v>
      </c>
      <c r="H3" s="24">
        <f>IS추정!H15</f>
        <v>23465</v>
      </c>
      <c r="I3" s="24">
        <f>IS추정!I15</f>
        <v>23465</v>
      </c>
      <c r="J3" s="24">
        <f>IS추정!J15</f>
        <v>23237</v>
      </c>
      <c r="K3" s="24">
        <f>IS추정!K15</f>
        <v>23780</v>
      </c>
      <c r="L3" s="24">
        <f>IS추정!L15</f>
        <v>24305</v>
      </c>
      <c r="M3" s="24">
        <f>IS추정!M15</f>
        <v>24823</v>
      </c>
      <c r="N3" s="24">
        <f>IS추정!N15</f>
        <v>25340</v>
      </c>
      <c r="O3" s="24">
        <f>IS추정!O15</f>
        <v>25853</v>
      </c>
    </row>
    <row r="4" spans="1:15">
      <c r="A4" s="1" t="s">
        <v>4</v>
      </c>
      <c r="B4" s="1" t="s">
        <v>3</v>
      </c>
      <c r="C4" s="1" t="s">
        <v>17179</v>
      </c>
      <c r="D4" s="8" t="s">
        <v>17180</v>
      </c>
      <c r="E4" s="38">
        <f>IS추정!E3</f>
        <v>0</v>
      </c>
      <c r="F4" s="38">
        <f>IS추정!F3</f>
        <v>0</v>
      </c>
      <c r="G4" s="38">
        <f>IS추정!G3</f>
        <v>0</v>
      </c>
      <c r="H4" s="38">
        <f>IS추정!H3</f>
        <v>0</v>
      </c>
      <c r="I4" s="38">
        <f>H4</f>
        <v>0</v>
      </c>
      <c r="J4" s="38">
        <f>IS추정!J3</f>
        <v>2.3220000000000001</v>
      </c>
      <c r="K4" s="38">
        <f>IS추정!K3</f>
        <v>2.3370000000000002</v>
      </c>
      <c r="L4" s="38">
        <f>IS추정!L3</f>
        <v>2.2120000000000002</v>
      </c>
      <c r="M4" s="38">
        <f>IS추정!M3</f>
        <v>2.1309999999999998</v>
      </c>
      <c r="N4" s="38">
        <f>IS추정!N3</f>
        <v>2.0840000000000001</v>
      </c>
      <c r="O4" s="38">
        <f>IS추정!O3</f>
        <v>2.0249999999999999</v>
      </c>
    </row>
    <row r="5" spans="1:15">
      <c r="A5" s="1" t="s">
        <v>14</v>
      </c>
      <c r="B5" s="1" t="s">
        <v>3</v>
      </c>
      <c r="C5" s="1" t="s">
        <v>17181</v>
      </c>
      <c r="D5" s="2" t="s">
        <v>17182</v>
      </c>
      <c r="E5" s="27">
        <f t="shared" ref="E5:F7" si="0">E46</f>
        <v>41.276595744680854</v>
      </c>
      <c r="F5" s="27">
        <f t="shared" si="0"/>
        <v>41.031276415891803</v>
      </c>
      <c r="G5" s="27">
        <f t="shared" ref="G5:H5" si="1">G46</f>
        <v>29.978056426332287</v>
      </c>
      <c r="H5" s="27">
        <f t="shared" si="1"/>
        <v>16.441240716470073</v>
      </c>
      <c r="I5" s="27">
        <f t="shared" ref="I5:I11" si="2">H5</f>
        <v>16.441240716470073</v>
      </c>
      <c r="J5" s="27">
        <f>$J$46</f>
        <v>25.051851902994429</v>
      </c>
      <c r="K5" s="27">
        <f t="shared" ref="K5:O5" si="3">$J$46</f>
        <v>25.051851902994429</v>
      </c>
      <c r="L5" s="27">
        <f t="shared" si="3"/>
        <v>25.051851902994429</v>
      </c>
      <c r="M5" s="27">
        <f t="shared" si="3"/>
        <v>25.051851902994429</v>
      </c>
      <c r="N5" s="27">
        <f t="shared" si="3"/>
        <v>25.051851902994429</v>
      </c>
      <c r="O5" s="27">
        <f t="shared" si="3"/>
        <v>25.051851902994429</v>
      </c>
    </row>
    <row r="6" spans="1:15">
      <c r="A6" s="1" t="s">
        <v>14</v>
      </c>
      <c r="B6" s="1" t="s">
        <v>3</v>
      </c>
      <c r="C6" s="1" t="s">
        <v>17183</v>
      </c>
      <c r="D6" s="2" t="s">
        <v>17184</v>
      </c>
      <c r="E6" s="27">
        <f t="shared" si="0"/>
        <v>4.5457892314772206</v>
      </c>
      <c r="F6" s="27">
        <f t="shared" si="0"/>
        <v>4.3968606039924927</v>
      </c>
      <c r="G6" s="27">
        <f t="shared" ref="G6:H6" si="4">G47</f>
        <v>3.3770634231103389</v>
      </c>
      <c r="H6" s="27">
        <f t="shared" si="4"/>
        <v>2.4410923276983096</v>
      </c>
      <c r="I6" s="27">
        <f t="shared" si="2"/>
        <v>2.4410923276983096</v>
      </c>
      <c r="J6" s="27">
        <f>$J$47</f>
        <v>3.0790440722180166</v>
      </c>
      <c r="K6" s="27">
        <f t="shared" ref="K6:O6" si="5">$J$47</f>
        <v>3.0790440722180166</v>
      </c>
      <c r="L6" s="27">
        <f t="shared" si="5"/>
        <v>3.0790440722180166</v>
      </c>
      <c r="M6" s="27">
        <f t="shared" si="5"/>
        <v>3.0790440722180166</v>
      </c>
      <c r="N6" s="27">
        <f t="shared" si="5"/>
        <v>3.0790440722180166</v>
      </c>
      <c r="O6" s="27">
        <f t="shared" si="5"/>
        <v>3.0790440722180166</v>
      </c>
    </row>
    <row r="7" spans="1:15">
      <c r="A7" s="1" t="s">
        <v>14</v>
      </c>
      <c r="B7" s="1" t="s">
        <v>3</v>
      </c>
      <c r="C7" s="1" t="s">
        <v>17185</v>
      </c>
      <c r="D7" s="2" t="s">
        <v>17186</v>
      </c>
      <c r="E7" s="27">
        <f t="shared" si="0"/>
        <v>0</v>
      </c>
      <c r="F7" s="27">
        <f t="shared" si="0"/>
        <v>0</v>
      </c>
      <c r="G7" s="27">
        <f t="shared" ref="G7:H7" si="6">G48</f>
        <v>226.42718446601941</v>
      </c>
      <c r="H7" s="27">
        <f t="shared" si="6"/>
        <v>352.85714285714283</v>
      </c>
      <c r="I7" s="27">
        <f t="shared" si="2"/>
        <v>352.85714285714283</v>
      </c>
      <c r="J7" s="27">
        <f>$J$48</f>
        <v>251.90429958391121</v>
      </c>
      <c r="K7" s="27">
        <f t="shared" ref="K7:O7" si="7">$J$48</f>
        <v>251.90429958391121</v>
      </c>
      <c r="L7" s="27">
        <f t="shared" si="7"/>
        <v>251.90429958391121</v>
      </c>
      <c r="M7" s="27">
        <f t="shared" si="7"/>
        <v>251.90429958391121</v>
      </c>
      <c r="N7" s="27">
        <f t="shared" si="7"/>
        <v>251.90429958391121</v>
      </c>
      <c r="O7" s="27">
        <f t="shared" si="7"/>
        <v>251.90429958391121</v>
      </c>
    </row>
    <row r="8" spans="1:15">
      <c r="A8" s="1" t="s">
        <v>14</v>
      </c>
      <c r="B8" s="1" t="s">
        <v>3</v>
      </c>
      <c r="C8" s="1" t="s">
        <v>17187</v>
      </c>
      <c r="D8" s="2" t="s">
        <v>17188</v>
      </c>
      <c r="E8" s="27">
        <f t="shared" ref="E8" si="8">E49</f>
        <v>4.0817889416449686</v>
      </c>
      <c r="F8" s="27">
        <f t="shared" ref="F8:H8" si="9">F49</f>
        <v>2.9241272703851604</v>
      </c>
      <c r="G8" s="27">
        <f t="shared" si="9"/>
        <v>23.967774420946629</v>
      </c>
      <c r="H8" s="27">
        <f t="shared" si="9"/>
        <v>47.373913043478261</v>
      </c>
      <c r="I8" s="27">
        <f t="shared" ref="I8:I9" si="10">H8</f>
        <v>47.373913043478261</v>
      </c>
      <c r="J8" s="27">
        <f>$J$49</f>
        <v>32.163569207118861</v>
      </c>
      <c r="K8" s="27">
        <f t="shared" ref="K8:O8" si="11">$J$49</f>
        <v>32.163569207118861</v>
      </c>
      <c r="L8" s="27">
        <f t="shared" si="11"/>
        <v>32.163569207118861</v>
      </c>
      <c r="M8" s="27">
        <f t="shared" si="11"/>
        <v>32.163569207118861</v>
      </c>
      <c r="N8" s="27">
        <f t="shared" si="11"/>
        <v>32.163569207118861</v>
      </c>
      <c r="O8" s="27">
        <f t="shared" si="11"/>
        <v>32.163569207118861</v>
      </c>
    </row>
    <row r="9" spans="1:15">
      <c r="A9" s="1" t="s">
        <v>14</v>
      </c>
      <c r="B9" s="1" t="s">
        <v>3</v>
      </c>
      <c r="C9" s="1" t="s">
        <v>17189</v>
      </c>
      <c r="D9" s="2" t="s">
        <v>17190</v>
      </c>
      <c r="E9" s="27">
        <f t="shared" ref="E9" si="12">E50</f>
        <v>0.27391899823909216</v>
      </c>
      <c r="F9" s="27">
        <f t="shared" ref="F9:H9" si="13">F50</f>
        <v>0.10865931126713474</v>
      </c>
      <c r="G9" s="27">
        <f t="shared" si="13"/>
        <v>1.5645037189022826</v>
      </c>
      <c r="H9" s="27">
        <f t="shared" si="13"/>
        <v>1.1027311164438349</v>
      </c>
      <c r="I9" s="27">
        <f t="shared" si="10"/>
        <v>1.1027311164438349</v>
      </c>
      <c r="J9" s="27">
        <f>$J$50</f>
        <v>1.0909766830672007</v>
      </c>
      <c r="K9" s="27">
        <f t="shared" ref="K9:O9" si="14">$J$50</f>
        <v>1.0909766830672007</v>
      </c>
      <c r="L9" s="27">
        <f t="shared" si="14"/>
        <v>1.0909766830672007</v>
      </c>
      <c r="M9" s="27">
        <f t="shared" si="14"/>
        <v>1.0909766830672007</v>
      </c>
      <c r="N9" s="27">
        <f t="shared" si="14"/>
        <v>1.0909766830672007</v>
      </c>
      <c r="O9" s="27">
        <f t="shared" si="14"/>
        <v>1.0909766830672007</v>
      </c>
    </row>
    <row r="10" spans="1:15">
      <c r="A10" s="1" t="s">
        <v>14</v>
      </c>
      <c r="B10" s="1" t="s">
        <v>3</v>
      </c>
      <c r="C10" s="1" t="s">
        <v>17191</v>
      </c>
      <c r="D10" s="2" t="s">
        <v>17192</v>
      </c>
      <c r="E10" s="27">
        <f>E51</f>
        <v>0</v>
      </c>
      <c r="F10" s="27">
        <f>F51</f>
        <v>0</v>
      </c>
      <c r="G10" s="27">
        <f t="shared" ref="G10:H10" si="15">G51</f>
        <v>0</v>
      </c>
      <c r="H10" s="27">
        <f t="shared" si="15"/>
        <v>0</v>
      </c>
      <c r="I10" s="27">
        <f t="shared" si="2"/>
        <v>0</v>
      </c>
      <c r="J10" s="27">
        <f>$J$51</f>
        <v>0</v>
      </c>
      <c r="K10" s="27">
        <f t="shared" ref="K10:O10" si="16">$J$51</f>
        <v>0</v>
      </c>
      <c r="L10" s="27">
        <f t="shared" si="16"/>
        <v>0</v>
      </c>
      <c r="M10" s="27">
        <f t="shared" si="16"/>
        <v>0</v>
      </c>
      <c r="N10" s="27">
        <f t="shared" si="16"/>
        <v>0</v>
      </c>
      <c r="O10" s="27">
        <f t="shared" si="16"/>
        <v>0</v>
      </c>
    </row>
    <row r="11" spans="1:15">
      <c r="A11" s="1" t="s">
        <v>14</v>
      </c>
      <c r="B11" s="1" t="s">
        <v>3</v>
      </c>
      <c r="C11" s="1" t="s">
        <v>17193</v>
      </c>
      <c r="D11" s="2" t="s">
        <v>17194</v>
      </c>
      <c r="E11" s="27">
        <f>E52</f>
        <v>0</v>
      </c>
      <c r="F11" s="27">
        <f>F52</f>
        <v>0</v>
      </c>
      <c r="G11" s="27">
        <f t="shared" ref="G11:H11" si="17">G52</f>
        <v>0</v>
      </c>
      <c r="H11" s="27">
        <f t="shared" si="17"/>
        <v>0</v>
      </c>
      <c r="I11" s="27">
        <f t="shared" si="2"/>
        <v>0</v>
      </c>
      <c r="J11" s="27">
        <f>$J$52</f>
        <v>0</v>
      </c>
      <c r="K11" s="27">
        <f t="shared" ref="K11:O11" si="18">$J$52</f>
        <v>0</v>
      </c>
      <c r="L11" s="27">
        <f t="shared" si="18"/>
        <v>0</v>
      </c>
      <c r="M11" s="27">
        <f t="shared" si="18"/>
        <v>0</v>
      </c>
      <c r="N11" s="27">
        <f t="shared" si="18"/>
        <v>0</v>
      </c>
      <c r="O11" s="27">
        <f t="shared" si="18"/>
        <v>0</v>
      </c>
    </row>
    <row r="12" spans="1:15">
      <c r="A12" s="1" t="s">
        <v>14</v>
      </c>
      <c r="B12" s="1"/>
      <c r="C12" s="1" t="s">
        <v>17195</v>
      </c>
      <c r="D12" s="1" t="s">
        <v>17196</v>
      </c>
      <c r="E12" s="37"/>
      <c r="F12" s="37"/>
      <c r="G12" s="37"/>
      <c r="H12" s="37"/>
      <c r="I12" s="37"/>
      <c r="J12" s="37" t="str">
        <f t="shared" ref="J12:O12" si="19">LEFT(J1,4)</f>
        <v>2024</v>
      </c>
      <c r="K12" s="37" t="str">
        <f t="shared" si="19"/>
        <v>2025</v>
      </c>
      <c r="L12" s="37" t="str">
        <f t="shared" si="19"/>
        <v>2026</v>
      </c>
      <c r="M12" s="37" t="str">
        <f t="shared" si="19"/>
        <v>2027</v>
      </c>
      <c r="N12" s="37" t="str">
        <f t="shared" si="19"/>
        <v>2028</v>
      </c>
      <c r="O12" s="37" t="str">
        <f t="shared" si="19"/>
        <v>2029</v>
      </c>
    </row>
    <row r="13" spans="1:15">
      <c r="A13" s="1" t="s">
        <v>14</v>
      </c>
      <c r="B13" s="1" t="s">
        <v>2</v>
      </c>
      <c r="C13" s="1" t="s">
        <v>17197</v>
      </c>
      <c r="D13" s="3" t="s">
        <v>17198</v>
      </c>
      <c r="E13" s="31">
        <v>517</v>
      </c>
      <c r="F13" s="31">
        <v>666</v>
      </c>
      <c r="G13" s="31">
        <v>1886</v>
      </c>
      <c r="H13" s="31">
        <v>2692</v>
      </c>
      <c r="I13" s="491">
        <f>VALUE(IFERROR(I2/(J46),"0"))</f>
        <v>1502.2442311141731</v>
      </c>
      <c r="J13" s="32">
        <f>IFERROR(INT(J2/J5),0)</f>
        <v>1537</v>
      </c>
      <c r="K13" s="105">
        <f t="shared" ref="K13:O13" si="20">IFERROR(INT(K2/K5),0)</f>
        <v>1572</v>
      </c>
      <c r="L13" s="105">
        <f t="shared" si="20"/>
        <v>1607</v>
      </c>
      <c r="M13" s="105">
        <f t="shared" si="20"/>
        <v>1641</v>
      </c>
      <c r="N13" s="105">
        <f t="shared" si="20"/>
        <v>1676</v>
      </c>
      <c r="O13" s="105">
        <f t="shared" si="20"/>
        <v>1710</v>
      </c>
    </row>
    <row r="14" spans="1:15">
      <c r="A14" s="1" t="s">
        <v>14</v>
      </c>
      <c r="B14" s="1" t="s">
        <v>2</v>
      </c>
      <c r="C14" s="1" t="s">
        <v>17199</v>
      </c>
      <c r="D14" s="2" t="s">
        <v>17200</v>
      </c>
      <c r="E14" s="352">
        <v>16</v>
      </c>
      <c r="F14" s="352">
        <v>15</v>
      </c>
      <c r="G14" s="352">
        <v>18</v>
      </c>
      <c r="H14" s="352">
        <v>32</v>
      </c>
      <c r="I14" s="352">
        <v>32</v>
      </c>
      <c r="J14" s="352">
        <f>IFERROR(INT(I14*(1+J4/100)),0)</f>
        <v>32</v>
      </c>
      <c r="K14" s="352">
        <f t="shared" ref="K14:O14" si="21">IFERROR(INT(J14*(1+K4/100)),0)</f>
        <v>32</v>
      </c>
      <c r="L14" s="352">
        <f t="shared" si="21"/>
        <v>32</v>
      </c>
      <c r="M14" s="352">
        <f t="shared" si="21"/>
        <v>32</v>
      </c>
      <c r="N14" s="352">
        <f t="shared" si="21"/>
        <v>32</v>
      </c>
      <c r="O14" s="352">
        <f t="shared" si="21"/>
        <v>32</v>
      </c>
    </row>
    <row r="15" spans="1:15">
      <c r="A15" s="1" t="s">
        <v>14</v>
      </c>
      <c r="B15" s="1" t="s">
        <v>2</v>
      </c>
      <c r="C15" s="1" t="s">
        <v>17201</v>
      </c>
      <c r="D15" s="2" t="s">
        <v>17202</v>
      </c>
      <c r="E15" s="31">
        <v>2173</v>
      </c>
      <c r="F15" s="31">
        <v>3688</v>
      </c>
      <c r="G15" s="31">
        <v>10124</v>
      </c>
      <c r="H15" s="31">
        <v>9101</v>
      </c>
      <c r="I15" s="491">
        <f>VALUE(IFERROR(I3/(J47),"0"))</f>
        <v>7620.8717542314298</v>
      </c>
      <c r="J15" s="32">
        <f>IFERROR(INT(J3/J6),0)</f>
        <v>7546</v>
      </c>
      <c r="K15" s="105">
        <f t="shared" ref="K15:O15" si="22">IFERROR(INT(K3/K6),0)</f>
        <v>7723</v>
      </c>
      <c r="L15" s="105">
        <f t="shared" si="22"/>
        <v>7893</v>
      </c>
      <c r="M15" s="105">
        <f t="shared" si="22"/>
        <v>8061</v>
      </c>
      <c r="N15" s="105">
        <f t="shared" si="22"/>
        <v>8229</v>
      </c>
      <c r="O15" s="105">
        <f t="shared" si="22"/>
        <v>8396</v>
      </c>
    </row>
    <row r="16" spans="1:15">
      <c r="A16" s="1" t="s">
        <v>14</v>
      </c>
      <c r="B16" s="1" t="s">
        <v>13</v>
      </c>
      <c r="C16" s="1" t="s">
        <v>17203</v>
      </c>
      <c r="D16" s="3" t="s">
        <v>17204</v>
      </c>
      <c r="E16" s="352"/>
      <c r="F16" s="352"/>
      <c r="G16" s="352"/>
      <c r="H16" s="352"/>
      <c r="I16" s="352"/>
      <c r="J16" s="352">
        <f>IFERROR(INT(I16*(1+J4/100)),0)</f>
        <v>0</v>
      </c>
      <c r="K16" s="352">
        <f t="shared" ref="K16:O16" si="23">IFERROR(INT(J16*(1+K4/100)),0)</f>
        <v>0</v>
      </c>
      <c r="L16" s="352">
        <f t="shared" si="23"/>
        <v>0</v>
      </c>
      <c r="M16" s="352">
        <f t="shared" si="23"/>
        <v>0</v>
      </c>
      <c r="N16" s="352">
        <f t="shared" si="23"/>
        <v>0</v>
      </c>
      <c r="O16" s="352">
        <f t="shared" si="23"/>
        <v>0</v>
      </c>
    </row>
    <row r="17" spans="1:15">
      <c r="A17" s="1" t="s">
        <v>4</v>
      </c>
      <c r="B17" s="1" t="s">
        <v>2</v>
      </c>
      <c r="C17" s="1" t="s">
        <v>17205</v>
      </c>
      <c r="D17" s="8" t="s">
        <v>17206</v>
      </c>
      <c r="E17" s="30">
        <f>E13+E15</f>
        <v>2690</v>
      </c>
      <c r="F17" s="104">
        <f t="shared" ref="F17:O17" si="24">F13+F15</f>
        <v>4354</v>
      </c>
      <c r="G17" s="104">
        <f t="shared" si="24"/>
        <v>12010</v>
      </c>
      <c r="H17" s="104">
        <f t="shared" si="24"/>
        <v>11793</v>
      </c>
      <c r="I17" s="104">
        <f t="shared" si="24"/>
        <v>9123.1159853456029</v>
      </c>
      <c r="J17" s="104">
        <f t="shared" si="24"/>
        <v>9083</v>
      </c>
      <c r="K17" s="104">
        <f t="shared" si="24"/>
        <v>9295</v>
      </c>
      <c r="L17" s="104">
        <f t="shared" si="24"/>
        <v>9500</v>
      </c>
      <c r="M17" s="104">
        <f t="shared" si="24"/>
        <v>9702</v>
      </c>
      <c r="N17" s="104">
        <f t="shared" si="24"/>
        <v>9905</v>
      </c>
      <c r="O17" s="104">
        <f t="shared" si="24"/>
        <v>10106</v>
      </c>
    </row>
    <row r="18" spans="1:15">
      <c r="A18" s="1" t="s">
        <v>14</v>
      </c>
      <c r="B18" s="1" t="s">
        <v>2</v>
      </c>
      <c r="C18" s="1" t="s">
        <v>17207</v>
      </c>
      <c r="D18" s="3" t="s">
        <v>17208</v>
      </c>
      <c r="E18" s="31"/>
      <c r="F18" s="31"/>
      <c r="G18" s="31">
        <v>103</v>
      </c>
      <c r="H18" s="31">
        <v>30</v>
      </c>
      <c r="I18" s="491">
        <f>VALUE(IFERROR(I3/(J48),"0"))</f>
        <v>93.150454512919623</v>
      </c>
      <c r="J18" s="32">
        <f>IFERROR(INT(J3/J7),0)</f>
        <v>92</v>
      </c>
      <c r="K18" s="495">
        <f t="shared" ref="K18:O18" si="25">IFERROR(INT(K3/K7),0)</f>
        <v>94</v>
      </c>
      <c r="L18" s="495">
        <f t="shared" si="25"/>
        <v>96</v>
      </c>
      <c r="M18" s="495">
        <f t="shared" si="25"/>
        <v>98</v>
      </c>
      <c r="N18" s="495">
        <f t="shared" si="25"/>
        <v>100</v>
      </c>
      <c r="O18" s="495">
        <f t="shared" si="25"/>
        <v>102</v>
      </c>
    </row>
    <row r="19" spans="1:15">
      <c r="A19" s="1" t="s">
        <v>14</v>
      </c>
      <c r="B19" s="1" t="s">
        <v>2</v>
      </c>
      <c r="C19" s="1" t="s">
        <v>17209</v>
      </c>
      <c r="D19" s="2" t="s">
        <v>17210</v>
      </c>
      <c r="E19" s="352">
        <v>14</v>
      </c>
      <c r="F19" s="352">
        <v>13</v>
      </c>
      <c r="G19" s="352">
        <v>202</v>
      </c>
      <c r="H19" s="352">
        <v>163</v>
      </c>
      <c r="I19" s="352">
        <v>163</v>
      </c>
      <c r="J19" s="352">
        <f>IFERROR(INT(I19*(1+J4/100)),0)</f>
        <v>166</v>
      </c>
      <c r="K19" s="352">
        <f t="shared" ref="K19:O19" si="26">IFERROR(INT(J19*(1+K4/100)),0)</f>
        <v>169</v>
      </c>
      <c r="L19" s="352">
        <f t="shared" si="26"/>
        <v>172</v>
      </c>
      <c r="M19" s="352">
        <f t="shared" si="26"/>
        <v>175</v>
      </c>
      <c r="N19" s="352">
        <f t="shared" si="26"/>
        <v>178</v>
      </c>
      <c r="O19" s="352">
        <f t="shared" si="26"/>
        <v>181</v>
      </c>
    </row>
    <row r="20" spans="1:15">
      <c r="A20" s="1" t="s">
        <v>14</v>
      </c>
      <c r="B20" s="1" t="s">
        <v>13</v>
      </c>
      <c r="C20" s="1" t="s">
        <v>17211</v>
      </c>
      <c r="D20" s="3" t="s">
        <v>17212</v>
      </c>
      <c r="E20" s="352"/>
      <c r="F20" s="352"/>
      <c r="G20" s="352"/>
      <c r="H20" s="352"/>
      <c r="I20" s="352"/>
      <c r="J20" s="352">
        <f>IFERROR(INT(I20*(1+J4/100)),0)</f>
        <v>0</v>
      </c>
      <c r="K20" s="352">
        <f t="shared" ref="K20:O20" si="27">IFERROR(INT(J20*(1+K4/100)),0)</f>
        <v>0</v>
      </c>
      <c r="L20" s="352">
        <f t="shared" si="27"/>
        <v>0</v>
      </c>
      <c r="M20" s="352">
        <f t="shared" si="27"/>
        <v>0</v>
      </c>
      <c r="N20" s="352">
        <f t="shared" si="27"/>
        <v>0</v>
      </c>
      <c r="O20" s="352">
        <f t="shared" si="27"/>
        <v>0</v>
      </c>
    </row>
    <row r="21" spans="1:15">
      <c r="A21" s="1" t="s">
        <v>4</v>
      </c>
      <c r="B21" s="1" t="s">
        <v>2</v>
      </c>
      <c r="C21" s="1" t="s">
        <v>17213</v>
      </c>
      <c r="D21" s="8" t="s">
        <v>17214</v>
      </c>
      <c r="E21" s="30">
        <f>E18</f>
        <v>0</v>
      </c>
      <c r="F21" s="104">
        <f t="shared" ref="F21:O21" si="28">F18</f>
        <v>0</v>
      </c>
      <c r="G21" s="104">
        <f t="shared" si="28"/>
        <v>103</v>
      </c>
      <c r="H21" s="104">
        <f t="shared" si="28"/>
        <v>30</v>
      </c>
      <c r="I21" s="104">
        <f t="shared" si="28"/>
        <v>93.150454512919623</v>
      </c>
      <c r="J21" s="104">
        <f t="shared" si="28"/>
        <v>92</v>
      </c>
      <c r="K21" s="104">
        <f t="shared" si="28"/>
        <v>94</v>
      </c>
      <c r="L21" s="104">
        <f t="shared" si="28"/>
        <v>96</v>
      </c>
      <c r="M21" s="104">
        <f t="shared" si="28"/>
        <v>98</v>
      </c>
      <c r="N21" s="104">
        <f t="shared" si="28"/>
        <v>100</v>
      </c>
      <c r="O21" s="104">
        <f t="shared" si="28"/>
        <v>102</v>
      </c>
    </row>
    <row r="22" spans="1:15">
      <c r="A22" s="1" t="s">
        <v>4</v>
      </c>
      <c r="B22" s="1" t="s">
        <v>2</v>
      </c>
      <c r="C22" s="1" t="s">
        <v>17215</v>
      </c>
      <c r="D22" s="8" t="s">
        <v>17216</v>
      </c>
      <c r="E22" s="30">
        <f>E17-E21</f>
        <v>2690</v>
      </c>
      <c r="F22" s="30">
        <f t="shared" ref="F22:N22" si="29">F17-F21</f>
        <v>4354</v>
      </c>
      <c r="G22" s="30">
        <f t="shared" si="29"/>
        <v>11907</v>
      </c>
      <c r="H22" s="30">
        <f t="shared" si="29"/>
        <v>11763</v>
      </c>
      <c r="I22" s="30">
        <f t="shared" si="29"/>
        <v>9029.9655308326837</v>
      </c>
      <c r="J22" s="30">
        <f t="shared" si="29"/>
        <v>8991</v>
      </c>
      <c r="K22" s="30">
        <f t="shared" si="29"/>
        <v>9201</v>
      </c>
      <c r="L22" s="30">
        <f t="shared" si="29"/>
        <v>9404</v>
      </c>
      <c r="M22" s="30">
        <f t="shared" si="29"/>
        <v>9604</v>
      </c>
      <c r="N22" s="30">
        <f t="shared" si="29"/>
        <v>9805</v>
      </c>
      <c r="O22" s="30">
        <f t="shared" ref="O22" si="30">O17-O21</f>
        <v>10004</v>
      </c>
    </row>
    <row r="23" spans="1:15">
      <c r="A23" s="1" t="s">
        <v>4</v>
      </c>
      <c r="B23" s="1" t="s">
        <v>2</v>
      </c>
      <c r="C23" s="1" t="s">
        <v>17217</v>
      </c>
      <c r="D23" s="8" t="s">
        <v>17218</v>
      </c>
      <c r="E23" s="29"/>
      <c r="F23" s="30">
        <f>F22-E22</f>
        <v>1664</v>
      </c>
      <c r="G23" s="30">
        <f t="shared" ref="G23:O23" si="31">G22-F22</f>
        <v>7553</v>
      </c>
      <c r="H23" s="30">
        <f t="shared" si="31"/>
        <v>-144</v>
      </c>
      <c r="I23" s="30">
        <f>I22-G22</f>
        <v>-2877.0344691673163</v>
      </c>
      <c r="J23" s="30">
        <f t="shared" si="31"/>
        <v>-38.965530832683726</v>
      </c>
      <c r="K23" s="30">
        <f t="shared" si="31"/>
        <v>210</v>
      </c>
      <c r="L23" s="30">
        <f t="shared" si="31"/>
        <v>203</v>
      </c>
      <c r="M23" s="30">
        <f t="shared" si="31"/>
        <v>200</v>
      </c>
      <c r="N23" s="30">
        <f t="shared" si="31"/>
        <v>201</v>
      </c>
      <c r="O23" s="30">
        <f t="shared" si="31"/>
        <v>199</v>
      </c>
    </row>
    <row r="24" spans="1:15">
      <c r="A24" s="1" t="s">
        <v>14</v>
      </c>
      <c r="B24" s="1"/>
      <c r="C24" s="1" t="s">
        <v>17219</v>
      </c>
      <c r="D24" s="1" t="s">
        <v>17220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</row>
    <row r="25" spans="1:15">
      <c r="A25" s="1" t="s">
        <v>14</v>
      </c>
      <c r="B25" s="1" t="s">
        <v>2</v>
      </c>
      <c r="C25" s="1" t="s">
        <v>17221</v>
      </c>
      <c r="D25" s="2" t="s">
        <v>17222</v>
      </c>
      <c r="E25" s="31">
        <v>1529</v>
      </c>
      <c r="F25" s="31">
        <v>3951</v>
      </c>
      <c r="G25" s="31">
        <v>7096</v>
      </c>
      <c r="H25" s="31">
        <v>5184</v>
      </c>
      <c r="I25" s="31">
        <v>5184</v>
      </c>
      <c r="J25" s="32">
        <f>IFERROR($I$25/$I$33*J33,0)</f>
        <v>4397.8351304347825</v>
      </c>
      <c r="K25" s="105">
        <f t="shared" ref="K25:O25" si="32">IFERROR($I$25/$I$33*K33,0)</f>
        <v>4496.1057391304348</v>
      </c>
      <c r="L25" s="105">
        <f t="shared" si="32"/>
        <v>4593.4747826086959</v>
      </c>
      <c r="M25" s="105">
        <f t="shared" si="32"/>
        <v>4689.0406956521738</v>
      </c>
      <c r="N25" s="105">
        <f t="shared" si="32"/>
        <v>4787.3113043478261</v>
      </c>
      <c r="O25" s="105">
        <f t="shared" si="32"/>
        <v>4882.8772173913039</v>
      </c>
    </row>
    <row r="26" spans="1:15">
      <c r="A26" s="1" t="s">
        <v>14</v>
      </c>
      <c r="B26" s="1" t="s">
        <v>2</v>
      </c>
      <c r="C26" s="1" t="s">
        <v>17223</v>
      </c>
      <c r="D26" s="2" t="s">
        <v>17224</v>
      </c>
      <c r="E26" s="31">
        <v>22</v>
      </c>
      <c r="F26" s="31">
        <v>280</v>
      </c>
      <c r="G26" s="31">
        <v>0</v>
      </c>
      <c r="H26" s="31"/>
      <c r="I26" s="31"/>
      <c r="J26" s="105">
        <f>IFERROR($I$26/$I$33*J33,0)</f>
        <v>0</v>
      </c>
      <c r="K26" s="105">
        <f t="shared" ref="K26:O26" si="33">IFERROR($I$26/$I$33*K33,0)</f>
        <v>0</v>
      </c>
      <c r="L26" s="105">
        <f t="shared" si="33"/>
        <v>0</v>
      </c>
      <c r="M26" s="105">
        <f t="shared" si="33"/>
        <v>0</v>
      </c>
      <c r="N26" s="105">
        <f t="shared" si="33"/>
        <v>0</v>
      </c>
      <c r="O26" s="105">
        <f t="shared" si="33"/>
        <v>0</v>
      </c>
    </row>
    <row r="27" spans="1:15">
      <c r="A27" s="1" t="s">
        <v>14</v>
      </c>
      <c r="B27" s="1" t="s">
        <v>13</v>
      </c>
      <c r="C27" s="1" t="s">
        <v>17225</v>
      </c>
      <c r="D27" s="3" t="s">
        <v>17226</v>
      </c>
      <c r="E27" s="18">
        <v>11309</v>
      </c>
      <c r="F27" s="18">
        <v>18692</v>
      </c>
      <c r="G27" s="18">
        <v>503</v>
      </c>
      <c r="H27" s="18">
        <v>516</v>
      </c>
      <c r="I27" s="18">
        <v>516</v>
      </c>
      <c r="J27" s="32">
        <f>IFERROR($I$27/$I$33*J33,0)</f>
        <v>437.74747826086957</v>
      </c>
      <c r="K27" s="105">
        <f t="shared" ref="K27:O27" si="34">IFERROR($I$27/$I$33*K33,0)</f>
        <v>447.52904347826092</v>
      </c>
      <c r="L27" s="105">
        <f t="shared" si="34"/>
        <v>457.22086956521741</v>
      </c>
      <c r="M27" s="105">
        <f t="shared" si="34"/>
        <v>466.73321739130438</v>
      </c>
      <c r="N27" s="105">
        <f t="shared" si="34"/>
        <v>476.51478260869567</v>
      </c>
      <c r="O27" s="105">
        <f t="shared" si="34"/>
        <v>486.02713043478263</v>
      </c>
    </row>
    <row r="28" spans="1:15">
      <c r="A28" s="1" t="s">
        <v>14</v>
      </c>
      <c r="B28" s="1" t="s">
        <v>2</v>
      </c>
      <c r="C28" s="1" t="s">
        <v>17227</v>
      </c>
      <c r="D28" s="2" t="s">
        <v>17228</v>
      </c>
      <c r="E28" s="31">
        <v>50</v>
      </c>
      <c r="F28" s="31">
        <v>50</v>
      </c>
      <c r="G28" s="31">
        <v>50</v>
      </c>
      <c r="H28" s="31">
        <v>50</v>
      </c>
      <c r="I28" s="31">
        <v>50</v>
      </c>
      <c r="J28" s="32">
        <f>IFERROR($I$28/$I$33*J33,0)</f>
        <v>42.417391304347824</v>
      </c>
      <c r="K28" s="105">
        <f t="shared" ref="K28:O28" si="35">IFERROR($I$28/$I$33*K33,0)</f>
        <v>43.365217391304348</v>
      </c>
      <c r="L28" s="105">
        <f t="shared" si="35"/>
        <v>44.304347826086961</v>
      </c>
      <c r="M28" s="105">
        <f t="shared" si="35"/>
        <v>45.22608695652174</v>
      </c>
      <c r="N28" s="105">
        <f t="shared" si="35"/>
        <v>46.173913043478258</v>
      </c>
      <c r="O28" s="105">
        <f t="shared" si="35"/>
        <v>47.095652173913045</v>
      </c>
    </row>
    <row r="29" spans="1:15">
      <c r="A29" s="1" t="s">
        <v>14</v>
      </c>
      <c r="B29" s="1" t="s">
        <v>2</v>
      </c>
      <c r="C29" s="1" t="s">
        <v>17229</v>
      </c>
      <c r="D29" s="2" t="s">
        <v>17230</v>
      </c>
      <c r="E29" s="31">
        <v>148</v>
      </c>
      <c r="F29" s="31">
        <v>316</v>
      </c>
      <c r="G29" s="31">
        <v>295</v>
      </c>
      <c r="H29" s="31"/>
      <c r="I29" s="31"/>
      <c r="J29" s="32">
        <f>IFERROR($I$29/$I$33*J33,0)</f>
        <v>0</v>
      </c>
      <c r="K29" s="105">
        <f t="shared" ref="K29:O29" si="36">IFERROR($I$29/$I$33*K33,0)</f>
        <v>0</v>
      </c>
      <c r="L29" s="105">
        <f t="shared" si="36"/>
        <v>0</v>
      </c>
      <c r="M29" s="105">
        <f t="shared" si="36"/>
        <v>0</v>
      </c>
      <c r="N29" s="105">
        <f t="shared" si="36"/>
        <v>0</v>
      </c>
      <c r="O29" s="105">
        <f t="shared" si="36"/>
        <v>0</v>
      </c>
    </row>
    <row r="30" spans="1:15">
      <c r="A30" s="1" t="s">
        <v>14</v>
      </c>
      <c r="B30" s="1" t="s">
        <v>13</v>
      </c>
      <c r="C30" s="1" t="s">
        <v>17231</v>
      </c>
      <c r="D30" s="3" t="s">
        <v>17232</v>
      </c>
      <c r="E30" s="18"/>
      <c r="F30" s="18"/>
      <c r="G30" s="18"/>
      <c r="H30" s="18"/>
      <c r="I30" s="18"/>
      <c r="J30" s="32">
        <f>IFERROR($I$30/$I$33*J33,0)</f>
        <v>0</v>
      </c>
      <c r="K30" s="105">
        <f t="shared" ref="K30:O30" si="37">IFERROR($I$30/$I$33*K33,0)</f>
        <v>0</v>
      </c>
      <c r="L30" s="105">
        <f t="shared" si="37"/>
        <v>0</v>
      </c>
      <c r="M30" s="105">
        <f t="shared" si="37"/>
        <v>0</v>
      </c>
      <c r="N30" s="105">
        <f t="shared" si="37"/>
        <v>0</v>
      </c>
      <c r="O30" s="105">
        <f t="shared" si="37"/>
        <v>0</v>
      </c>
    </row>
    <row r="31" spans="1:15">
      <c r="A31" s="1" t="s">
        <v>14</v>
      </c>
      <c r="B31" s="1" t="s">
        <v>2</v>
      </c>
      <c r="C31" s="1" t="s">
        <v>17233</v>
      </c>
      <c r="D31" s="2" t="s">
        <v>17234</v>
      </c>
      <c r="E31" s="31"/>
      <c r="F31" s="31"/>
      <c r="G31" s="31"/>
      <c r="H31" s="31"/>
      <c r="I31" s="31"/>
      <c r="J31" s="32">
        <f>IFERROR($I$31/$I$33*J33,0)</f>
        <v>0</v>
      </c>
      <c r="K31" s="105">
        <f t="shared" ref="K31:O31" si="38">IFERROR($I$31/$I$33*K33,0)</f>
        <v>0</v>
      </c>
      <c r="L31" s="105">
        <f t="shared" si="38"/>
        <v>0</v>
      </c>
      <c r="M31" s="105">
        <f t="shared" si="38"/>
        <v>0</v>
      </c>
      <c r="N31" s="105">
        <f t="shared" si="38"/>
        <v>0</v>
      </c>
      <c r="O31" s="105">
        <f t="shared" si="38"/>
        <v>0</v>
      </c>
    </row>
    <row r="32" spans="1:15">
      <c r="A32" s="1" t="s">
        <v>14</v>
      </c>
      <c r="B32" s="1" t="s">
        <v>13</v>
      </c>
      <c r="C32" s="1" t="s">
        <v>17235</v>
      </c>
      <c r="D32" s="3" t="s">
        <v>17236</v>
      </c>
      <c r="E32" s="18"/>
      <c r="F32" s="18"/>
      <c r="G32" s="18"/>
      <c r="H32" s="18"/>
      <c r="I32" s="18"/>
      <c r="J32" s="32">
        <f>IFERROR($I$32/$I$33*J33,0)</f>
        <v>0</v>
      </c>
      <c r="K32" s="105">
        <f t="shared" ref="K32:O32" si="39">IFERROR($I$32/$I$33*K33,0)</f>
        <v>0</v>
      </c>
      <c r="L32" s="105">
        <f t="shared" si="39"/>
        <v>0</v>
      </c>
      <c r="M32" s="105">
        <f t="shared" si="39"/>
        <v>0</v>
      </c>
      <c r="N32" s="105">
        <f t="shared" si="39"/>
        <v>0</v>
      </c>
      <c r="O32" s="105">
        <f t="shared" si="39"/>
        <v>0</v>
      </c>
    </row>
    <row r="33" spans="1:20">
      <c r="A33" s="1" t="s">
        <v>4</v>
      </c>
      <c r="B33" s="1" t="s">
        <v>2</v>
      </c>
      <c r="C33" s="1" t="s">
        <v>17237</v>
      </c>
      <c r="D33" s="8" t="s">
        <v>17238</v>
      </c>
      <c r="E33" s="30">
        <f>SUM(E25:E32)</f>
        <v>13058</v>
      </c>
      <c r="F33" s="30">
        <f t="shared" ref="F33:I33" si="40">SUM(F25:F32)</f>
        <v>23289</v>
      </c>
      <c r="G33" s="30">
        <f t="shared" si="40"/>
        <v>7944</v>
      </c>
      <c r="H33" s="30">
        <f t="shared" si="40"/>
        <v>5750</v>
      </c>
      <c r="I33" s="30">
        <f t="shared" si="40"/>
        <v>5750</v>
      </c>
      <c r="J33" s="30">
        <f>IFERROR(INT((J13+J14)/(J8/100)),0)</f>
        <v>4878</v>
      </c>
      <c r="K33" s="104">
        <f t="shared" ref="K33:O33" si="41">IFERROR(INT((K13+K14)/(K8/100)),0)</f>
        <v>4987</v>
      </c>
      <c r="L33" s="104">
        <f t="shared" si="41"/>
        <v>5095</v>
      </c>
      <c r="M33" s="104">
        <f t="shared" si="41"/>
        <v>5201</v>
      </c>
      <c r="N33" s="104">
        <f t="shared" si="41"/>
        <v>5310</v>
      </c>
      <c r="O33" s="104">
        <f t="shared" si="41"/>
        <v>5416</v>
      </c>
    </row>
    <row r="34" spans="1:20">
      <c r="A34" s="1" t="s">
        <v>14</v>
      </c>
      <c r="B34" s="1" t="s">
        <v>2</v>
      </c>
      <c r="C34" s="1" t="s">
        <v>17239</v>
      </c>
      <c r="D34" s="2" t="s">
        <v>17240</v>
      </c>
      <c r="E34" s="31">
        <v>300</v>
      </c>
      <c r="F34" s="31">
        <v>11369</v>
      </c>
      <c r="G34" s="31">
        <v>19067</v>
      </c>
      <c r="H34" s="31">
        <v>17502</v>
      </c>
      <c r="I34" s="31">
        <v>17502</v>
      </c>
      <c r="J34" s="32">
        <f t="shared" ref="J34:O34" si="42">IFERROR($I$34/$I$41*J41,0)</f>
        <v>23648</v>
      </c>
      <c r="K34" s="105">
        <f t="shared" si="42"/>
        <v>24106</v>
      </c>
      <c r="L34" s="105">
        <f t="shared" si="42"/>
        <v>24565</v>
      </c>
      <c r="M34" s="105">
        <f t="shared" si="42"/>
        <v>25023</v>
      </c>
      <c r="N34" s="105">
        <f t="shared" si="42"/>
        <v>25481</v>
      </c>
      <c r="O34" s="105">
        <f t="shared" si="42"/>
        <v>25940</v>
      </c>
    </row>
    <row r="35" spans="1:20">
      <c r="A35" s="1" t="s">
        <v>14</v>
      </c>
      <c r="B35" s="1" t="s">
        <v>2</v>
      </c>
      <c r="C35" s="1" t="s">
        <v>17241</v>
      </c>
      <c r="D35" s="2" t="s">
        <v>17242</v>
      </c>
      <c r="E35" s="31">
        <v>4217</v>
      </c>
      <c r="F35" s="31">
        <v>567</v>
      </c>
      <c r="G35" s="31">
        <v>428</v>
      </c>
      <c r="H35" s="31"/>
      <c r="I35" s="31"/>
      <c r="J35" s="32">
        <f>IFERROR($I$35/$I$41*J41,0)</f>
        <v>0</v>
      </c>
      <c r="K35" s="105">
        <f t="shared" ref="K35:O35" si="43">IFERROR($I$35/$I$41*K41,0)</f>
        <v>0</v>
      </c>
      <c r="L35" s="105">
        <f t="shared" si="43"/>
        <v>0</v>
      </c>
      <c r="M35" s="105">
        <f t="shared" si="43"/>
        <v>0</v>
      </c>
      <c r="N35" s="105">
        <f t="shared" si="43"/>
        <v>0</v>
      </c>
      <c r="O35" s="105">
        <f t="shared" si="43"/>
        <v>0</v>
      </c>
    </row>
    <row r="36" spans="1:20">
      <c r="A36" s="1" t="s">
        <v>14</v>
      </c>
      <c r="B36" s="1" t="s">
        <v>2</v>
      </c>
      <c r="C36" s="1" t="s">
        <v>17243</v>
      </c>
      <c r="D36" s="2" t="s">
        <v>17244</v>
      </c>
      <c r="E36" s="31"/>
      <c r="F36" s="31"/>
      <c r="G36" s="31"/>
      <c r="H36" s="31"/>
      <c r="I36" s="31"/>
      <c r="J36" s="32">
        <f>IFERROR($I$36/$I$41*J41,0)</f>
        <v>0</v>
      </c>
      <c r="K36" s="105">
        <f t="shared" ref="K36:O36" si="44">IFERROR($I$36/$I$41*K41,0)</f>
        <v>0</v>
      </c>
      <c r="L36" s="105">
        <f t="shared" si="44"/>
        <v>0</v>
      </c>
      <c r="M36" s="105">
        <f t="shared" si="44"/>
        <v>0</v>
      </c>
      <c r="N36" s="105">
        <f t="shared" si="44"/>
        <v>0</v>
      </c>
      <c r="O36" s="105">
        <f t="shared" si="44"/>
        <v>0</v>
      </c>
    </row>
    <row r="37" spans="1:20">
      <c r="A37" s="1" t="s">
        <v>14</v>
      </c>
      <c r="B37" s="1" t="s">
        <v>2</v>
      </c>
      <c r="C37" s="1" t="s">
        <v>17245</v>
      </c>
      <c r="D37" s="2" t="s">
        <v>17246</v>
      </c>
      <c r="E37" s="31">
        <v>594</v>
      </c>
      <c r="F37" s="31">
        <v>28</v>
      </c>
      <c r="G37" s="31"/>
      <c r="H37" s="31"/>
      <c r="I37" s="31"/>
      <c r="J37" s="32">
        <f>IFERROR($I$37/$I$41*J41,0)</f>
        <v>0</v>
      </c>
      <c r="K37" s="105">
        <f t="shared" ref="K37:O37" si="45">IFERROR($I$37/$I$41*K41,0)</f>
        <v>0</v>
      </c>
      <c r="L37" s="105">
        <f t="shared" si="45"/>
        <v>0</v>
      </c>
      <c r="M37" s="105">
        <f t="shared" si="45"/>
        <v>0</v>
      </c>
      <c r="N37" s="105">
        <f t="shared" si="45"/>
        <v>0</v>
      </c>
      <c r="O37" s="105">
        <f t="shared" si="45"/>
        <v>0</v>
      </c>
    </row>
    <row r="38" spans="1:20">
      <c r="A38" s="1" t="s">
        <v>14</v>
      </c>
      <c r="B38" s="1" t="s">
        <v>13</v>
      </c>
      <c r="C38" s="1" t="s">
        <v>17247</v>
      </c>
      <c r="D38" s="3" t="s">
        <v>17248</v>
      </c>
      <c r="E38" s="18"/>
      <c r="F38" s="18"/>
      <c r="G38" s="18"/>
      <c r="H38" s="18"/>
      <c r="I38" s="18"/>
      <c r="J38" s="32">
        <f>IFERROR($I$38/$I$41*J41,0)</f>
        <v>0</v>
      </c>
      <c r="K38" s="105">
        <f t="shared" ref="K38:O38" si="46">IFERROR($I$38/$I$41*K41,0)</f>
        <v>0</v>
      </c>
      <c r="L38" s="105">
        <f t="shared" si="46"/>
        <v>0</v>
      </c>
      <c r="M38" s="105">
        <f t="shared" si="46"/>
        <v>0</v>
      </c>
      <c r="N38" s="105">
        <f t="shared" si="46"/>
        <v>0</v>
      </c>
      <c r="O38" s="105">
        <f t="shared" si="46"/>
        <v>0</v>
      </c>
    </row>
    <row r="39" spans="1:20">
      <c r="A39" s="1" t="s">
        <v>14</v>
      </c>
      <c r="B39" s="1" t="s">
        <v>13</v>
      </c>
      <c r="C39" s="1" t="s">
        <v>17249</v>
      </c>
      <c r="D39" s="3" t="s">
        <v>17250</v>
      </c>
      <c r="E39" s="18"/>
      <c r="F39" s="18"/>
      <c r="G39" s="18"/>
      <c r="H39" s="18"/>
      <c r="I39" s="18"/>
      <c r="J39" s="32">
        <f>IFERROR($I$39/$I$41*J41,0)</f>
        <v>0</v>
      </c>
      <c r="K39" s="105">
        <f t="shared" ref="K39:O39" si="47">IFERROR($I$39/$I$41*K41,0)</f>
        <v>0</v>
      </c>
      <c r="L39" s="105">
        <f t="shared" si="47"/>
        <v>0</v>
      </c>
      <c r="M39" s="105">
        <f t="shared" si="47"/>
        <v>0</v>
      </c>
      <c r="N39" s="105">
        <f t="shared" si="47"/>
        <v>0</v>
      </c>
      <c r="O39" s="105">
        <f t="shared" si="47"/>
        <v>0</v>
      </c>
    </row>
    <row r="40" spans="1:20">
      <c r="A40" s="1" t="s">
        <v>14</v>
      </c>
      <c r="B40" s="1" t="s">
        <v>13</v>
      </c>
      <c r="C40" s="1" t="s">
        <v>17251</v>
      </c>
      <c r="D40" s="3" t="s">
        <v>17252</v>
      </c>
      <c r="E40" s="18"/>
      <c r="F40" s="18"/>
      <c r="G40" s="18"/>
      <c r="H40" s="18"/>
      <c r="I40" s="18"/>
      <c r="J40" s="32">
        <f>IFERROR($I$40/$I$41*J41,0)</f>
        <v>0</v>
      </c>
      <c r="K40" s="105">
        <f t="shared" ref="K40:O40" si="48">IFERROR($I$40/$I$41*K41,0)</f>
        <v>0</v>
      </c>
      <c r="L40" s="105">
        <f t="shared" si="48"/>
        <v>0</v>
      </c>
      <c r="M40" s="105">
        <f t="shared" si="48"/>
        <v>0</v>
      </c>
      <c r="N40" s="105">
        <f t="shared" si="48"/>
        <v>0</v>
      </c>
      <c r="O40" s="105">
        <f t="shared" si="48"/>
        <v>0</v>
      </c>
    </row>
    <row r="41" spans="1:20" ht="17.25" thickBot="1">
      <c r="A41" s="1" t="s">
        <v>4</v>
      </c>
      <c r="B41" s="1" t="s">
        <v>2</v>
      </c>
      <c r="C41" s="1" t="s">
        <v>17253</v>
      </c>
      <c r="D41" s="8" t="s">
        <v>17254</v>
      </c>
      <c r="E41" s="30">
        <f>SUM(E34:E40)</f>
        <v>5111</v>
      </c>
      <c r="F41" s="30">
        <f>SUM(F34:F40)</f>
        <v>11964</v>
      </c>
      <c r="G41" s="30">
        <f>SUM(G34:G40)</f>
        <v>19495</v>
      </c>
      <c r="H41" s="30">
        <f>SUM(H34:H40)</f>
        <v>17502</v>
      </c>
      <c r="I41" s="30">
        <f>SUM(I34:I40)</f>
        <v>17502</v>
      </c>
      <c r="J41" s="30">
        <f t="shared" ref="J41:O41" si="49">IFERROR(INT((J18+J19)/(J9/100)),0)</f>
        <v>23648</v>
      </c>
      <c r="K41" s="104">
        <f t="shared" si="49"/>
        <v>24106</v>
      </c>
      <c r="L41" s="104">
        <f t="shared" si="49"/>
        <v>24565</v>
      </c>
      <c r="M41" s="104">
        <f t="shared" si="49"/>
        <v>25023</v>
      </c>
      <c r="N41" s="104">
        <f t="shared" si="49"/>
        <v>25481</v>
      </c>
      <c r="O41" s="104">
        <f t="shared" si="49"/>
        <v>25940</v>
      </c>
    </row>
    <row r="42" spans="1:20">
      <c r="D42" s="161" t="s">
        <v>73</v>
      </c>
      <c r="E42" s="195">
        <f>100*(IS추정!E28/E33)</f>
        <v>2.6497166487976722</v>
      </c>
      <c r="F42" s="195">
        <f>100*(IS추정!F28/F33)</f>
        <v>4.2938726437373863E-2</v>
      </c>
      <c r="G42" s="195">
        <f>100*(IS추정!G28/G33)</f>
        <v>1.5609264853977844</v>
      </c>
      <c r="H42" s="195">
        <f>100*(IS추정!H28/H33)</f>
        <v>1.8434782608695652</v>
      </c>
      <c r="I42" s="195">
        <f>100*(IS추정!I28/I33)</f>
        <v>1.8434782608695652</v>
      </c>
      <c r="J42" s="195">
        <f>100*(IS추정!J28/J33)</f>
        <v>0</v>
      </c>
      <c r="K42" s="195">
        <f>100*(IS추정!K28/K33)</f>
        <v>0</v>
      </c>
      <c r="L42" s="195">
        <f>100*(IS추정!L28/L33)</f>
        <v>0</v>
      </c>
      <c r="M42" s="195">
        <f>100*(IS추정!M28/M33)</f>
        <v>0</v>
      </c>
      <c r="N42" s="195">
        <f>100*(IS추정!N28/N33)</f>
        <v>0</v>
      </c>
      <c r="O42" s="196">
        <f>100*(IS추정!O28/O33)</f>
        <v>0</v>
      </c>
      <c r="Q42" s="56" t="s">
        <v>0</v>
      </c>
    </row>
    <row r="43" spans="1:20" ht="17.25" thickBot="1">
      <c r="D43" s="164" t="s">
        <v>74</v>
      </c>
      <c r="E43" s="199">
        <f>100*(IS추정!E31/E41)</f>
        <v>2.4848366268831934</v>
      </c>
      <c r="F43" s="199">
        <f>100*(IS추정!F31/F41)</f>
        <v>1.2788365095285856</v>
      </c>
      <c r="G43" s="199">
        <f>100*(IS추정!G31/G41)</f>
        <v>3.3752244165170557</v>
      </c>
      <c r="H43" s="199">
        <f>100*(IS추정!H31/H41)</f>
        <v>6.4049822877385445</v>
      </c>
      <c r="I43" s="199">
        <f>100*(IS추정!I31/I41)</f>
        <v>6.4049822877385445</v>
      </c>
      <c r="J43" s="199">
        <f>100*(IS추정!J31/J41)</f>
        <v>0</v>
      </c>
      <c r="K43" s="199">
        <f>100*(IS추정!K31/K41)</f>
        <v>0</v>
      </c>
      <c r="L43" s="199">
        <f>100*(IS추정!L31/L41)</f>
        <v>0</v>
      </c>
      <c r="M43" s="199">
        <f>100*(IS추정!M31/M41)</f>
        <v>0</v>
      </c>
      <c r="N43" s="199">
        <f>100*(IS추정!N31/N41)</f>
        <v>0</v>
      </c>
      <c r="O43" s="202">
        <f>100*(IS추정!O31/O41)</f>
        <v>0</v>
      </c>
      <c r="Q43" s="57">
        <f ca="1">+민감도!B7</f>
        <v>15427948.43692149</v>
      </c>
    </row>
    <row r="44" spans="1:20" ht="17.25" thickBot="1">
      <c r="E44" s="245">
        <f t="shared" ref="E44:O44" si="50">E22/E2</f>
        <v>0.1260543580131209</v>
      </c>
      <c r="F44" s="245">
        <f t="shared" si="50"/>
        <v>0.17939843428100535</v>
      </c>
      <c r="G44" s="245">
        <f t="shared" si="50"/>
        <v>0.3112778416814807</v>
      </c>
      <c r="H44" s="245">
        <f t="shared" si="50"/>
        <v>0.31256310782802782</v>
      </c>
      <c r="I44" s="245">
        <f t="shared" si="50"/>
        <v>0.23994168918617961</v>
      </c>
      <c r="J44" s="245">
        <f t="shared" si="50"/>
        <v>0.23349001480250345</v>
      </c>
      <c r="K44" s="245">
        <f t="shared" si="50"/>
        <v>0.23349236156930417</v>
      </c>
      <c r="L44" s="245">
        <f t="shared" si="50"/>
        <v>0.23348312932939394</v>
      </c>
      <c r="M44" s="245">
        <f t="shared" si="50"/>
        <v>0.23347514282241399</v>
      </c>
      <c r="N44" s="245">
        <f t="shared" si="50"/>
        <v>0.23349685654410363</v>
      </c>
      <c r="O44" s="245">
        <f t="shared" si="50"/>
        <v>0.2335091732412119</v>
      </c>
    </row>
    <row r="45" spans="1:20">
      <c r="A45" s="367">
        <f>ROW(C52)-ROW(C45)</f>
        <v>7</v>
      </c>
      <c r="B45" s="1"/>
      <c r="C45" s="1" t="s">
        <v>17255</v>
      </c>
      <c r="D45" s="1" t="s">
        <v>17256</v>
      </c>
      <c r="E45" s="1" t="s">
        <v>16376</v>
      </c>
      <c r="F45" s="1" t="s">
        <v>16378</v>
      </c>
      <c r="G45" s="1" t="s">
        <v>16380</v>
      </c>
      <c r="H45" s="1" t="s">
        <v>16382</v>
      </c>
      <c r="I45" s="1" t="s">
        <v>16674</v>
      </c>
      <c r="J45" s="360" t="s">
        <v>206</v>
      </c>
      <c r="K45" s="120"/>
      <c r="L45" s="116" t="s">
        <v>25</v>
      </c>
      <c r="M45" s="14"/>
      <c r="N45" s="354" t="s">
        <v>32</v>
      </c>
      <c r="O45" s="354" t="s">
        <v>33</v>
      </c>
      <c r="P45" s="354" t="s">
        <v>208</v>
      </c>
      <c r="Q45" s="354" t="s">
        <v>209</v>
      </c>
      <c r="R45" s="354" t="s">
        <v>35</v>
      </c>
      <c r="S45" s="354" t="s">
        <v>207</v>
      </c>
      <c r="T45" s="354" t="s">
        <v>36</v>
      </c>
    </row>
    <row r="46" spans="1:20">
      <c r="A46" s="1" t="s">
        <v>14</v>
      </c>
      <c r="B46" s="1" t="s">
        <v>3</v>
      </c>
      <c r="C46" s="1" t="s">
        <v>17257</v>
      </c>
      <c r="D46" s="2" t="s">
        <v>17258</v>
      </c>
      <c r="E46" s="28">
        <f>IF(E13=0,0,E2/E13)</f>
        <v>41.276595744680854</v>
      </c>
      <c r="F46" s="28">
        <f>IF(F13=0,0,F2/AVERAGE(E13:F13))</f>
        <v>41.031276415891803</v>
      </c>
      <c r="G46" s="87">
        <f>IF(G13=0,0,G2/AVERAGE(F13:G13))</f>
        <v>29.978056426332287</v>
      </c>
      <c r="H46" s="87">
        <f>IF(H13=0,0,I2/AVERAGE(G13:H13))</f>
        <v>16.441240716470073</v>
      </c>
      <c r="I46" s="28">
        <f>(F46+G46*2+H46*3)/6</f>
        <v>25.051851902994429</v>
      </c>
      <c r="J46" s="357">
        <f>HLOOKUP($J$45,$N$45:$T$50,$M46,0)</f>
        <v>25.051851902994429</v>
      </c>
      <c r="K46" s="92">
        <f>(E46+F46*2+G46*3)/6</f>
        <v>35.545552975910219</v>
      </c>
      <c r="L46" s="159"/>
      <c r="M46" s="359">
        <v>2</v>
      </c>
      <c r="N46" s="353">
        <f>AVERAGE(E46:H46)</f>
        <v>32.181792325843752</v>
      </c>
      <c r="O46" s="353">
        <f>AVERAGE(F46:H46)</f>
        <v>29.150191186231392</v>
      </c>
      <c r="P46" s="353">
        <f>AVERAGE(G46:H46)</f>
        <v>23.209648571401182</v>
      </c>
      <c r="Q46" s="353">
        <f>AVERAGE(E46:G46)</f>
        <v>37.42864286230165</v>
      </c>
      <c r="R46" s="353">
        <f>(4*H46+3*G46+2*F46+E46)/10</f>
        <v>27.903828072134161</v>
      </c>
      <c r="S46" s="353">
        <f>(F46+G46*2+H46*3)/6</f>
        <v>25.051851902994429</v>
      </c>
      <c r="T46" s="353">
        <f>(2*H46+G46)/3</f>
        <v>20.953512619757479</v>
      </c>
    </row>
    <row r="47" spans="1:20">
      <c r="A47" s="1" t="s">
        <v>14</v>
      </c>
      <c r="B47" s="1" t="s">
        <v>3</v>
      </c>
      <c r="C47" s="1" t="s">
        <v>17259</v>
      </c>
      <c r="D47" s="2" t="s">
        <v>17260</v>
      </c>
      <c r="E47" s="28">
        <f>IF(E15=0,0,E3/E15)</f>
        <v>4.5457892314772206</v>
      </c>
      <c r="F47" s="28">
        <f>IF(F15=0,0,F3/AVERAGE(E15:F15))</f>
        <v>4.3968606039924927</v>
      </c>
      <c r="G47" s="87">
        <f>IF(G15=0,0,G3/AVERAGE(F15:G15))</f>
        <v>3.3770634231103389</v>
      </c>
      <c r="H47" s="87">
        <f>IF(H15=0,0,I3/AVERAGE(G15:H15))</f>
        <v>2.4410923276983096</v>
      </c>
      <c r="I47" s="28">
        <f t="shared" ref="I47:I50" si="51">(F47+G47*2+H47*3)/6</f>
        <v>3.0790440722180166</v>
      </c>
      <c r="J47" s="357">
        <f>HLOOKUP($J$45,$N$45:$T$50,$M47,0)</f>
        <v>3.0790440722180166</v>
      </c>
      <c r="K47" s="92">
        <f t="shared" ref="K47:K50" si="52">(E47+F47*2+G47*3)/6</f>
        <v>3.9117834514655372</v>
      </c>
      <c r="L47" s="159"/>
      <c r="M47" s="359">
        <v>3</v>
      </c>
      <c r="N47" s="353">
        <f>AVERAGE(E47:H47)</f>
        <v>3.6902013965695906</v>
      </c>
      <c r="O47" s="353">
        <f>AVERAGE(F47:H47)</f>
        <v>3.4050054516003798</v>
      </c>
      <c r="P47" s="353">
        <f>AVERAGE(G47:H47)</f>
        <v>2.9090778754043241</v>
      </c>
      <c r="Q47" s="353">
        <f>AVERAGE(E47:G47)</f>
        <v>4.1065710861933509</v>
      </c>
      <c r="R47" s="353">
        <f>(4*H47+3*G47+2*F47+E47)/10</f>
        <v>3.3235070019586468</v>
      </c>
      <c r="S47" s="353">
        <f t="shared" ref="S47:S50" si="53">(F47+G47*2+H47*3)/6</f>
        <v>3.0790440722180166</v>
      </c>
      <c r="T47" s="353">
        <f>(2*H47+G47)/3</f>
        <v>2.7530826928356529</v>
      </c>
    </row>
    <row r="48" spans="1:20">
      <c r="A48" s="1" t="s">
        <v>14</v>
      </c>
      <c r="B48" s="1" t="s">
        <v>3</v>
      </c>
      <c r="C48" s="1" t="s">
        <v>17261</v>
      </c>
      <c r="D48" s="2" t="s">
        <v>17262</v>
      </c>
      <c r="E48" s="28">
        <f>IF(E18=0,0,E3/E18)</f>
        <v>0</v>
      </c>
      <c r="F48" s="87">
        <f>IF(F18=0,0,F3/AVERAGE(E18:F18))</f>
        <v>0</v>
      </c>
      <c r="G48" s="87">
        <f>IF(G18=0,0,G3/AVERAGE(F18:G18))</f>
        <v>226.42718446601941</v>
      </c>
      <c r="H48" s="87">
        <f>IF(H18=0,0,I3/AVERAGE(G18:H18))</f>
        <v>352.85714285714283</v>
      </c>
      <c r="I48" s="28">
        <f t="shared" si="51"/>
        <v>251.90429958391121</v>
      </c>
      <c r="J48" s="357">
        <f>HLOOKUP($J$45,$N$45:$T$50,$M48,0)</f>
        <v>251.90429958391121</v>
      </c>
      <c r="K48" s="92">
        <f t="shared" si="52"/>
        <v>113.21359223300971</v>
      </c>
      <c r="L48" s="159"/>
      <c r="M48" s="359">
        <v>4</v>
      </c>
      <c r="N48" s="353">
        <f>AVERAGE(E48:H48)</f>
        <v>144.82108183079055</v>
      </c>
      <c r="O48" s="353">
        <f>AVERAGE(F48:H48)</f>
        <v>193.09477577438739</v>
      </c>
      <c r="P48" s="353">
        <f>AVERAGE(G48:H48)</f>
        <v>289.64216366158109</v>
      </c>
      <c r="Q48" s="353">
        <f>AVERAGE(E48:G48)</f>
        <v>75.475728155339809</v>
      </c>
      <c r="R48" s="353">
        <f>(4*H48+3*G48+2*F48+E48)/10</f>
        <v>209.07101248266295</v>
      </c>
      <c r="S48" s="353">
        <f t="shared" si="53"/>
        <v>251.90429958391121</v>
      </c>
      <c r="T48" s="353">
        <f>(2*H48+G48)/3</f>
        <v>310.71382339343501</v>
      </c>
    </row>
    <row r="49" spans="1:20">
      <c r="A49" s="1" t="s">
        <v>14</v>
      </c>
      <c r="B49" s="1" t="s">
        <v>3</v>
      </c>
      <c r="C49" s="1" t="s">
        <v>17263</v>
      </c>
      <c r="D49" s="2" t="s">
        <v>17264</v>
      </c>
      <c r="E49" s="28">
        <f>IF(E33=0,0,(E13+E14)/E33*100)</f>
        <v>4.0817889416449686</v>
      </c>
      <c r="F49" s="28">
        <f>IF(F33=0,0,(F13+F14)/F33*100)</f>
        <v>2.9241272703851604</v>
      </c>
      <c r="G49" s="28">
        <f>IF(G33=0,0,(G13+G14)/G33*100)</f>
        <v>23.967774420946629</v>
      </c>
      <c r="H49" s="28">
        <f>IF(H33=0,0,(H13+H14)/H33*100)</f>
        <v>47.373913043478261</v>
      </c>
      <c r="I49" s="28">
        <f t="shared" si="51"/>
        <v>32.163569207118861</v>
      </c>
      <c r="J49" s="361">
        <f t="shared" ref="J49:J50" si="54">HLOOKUP($J$45,$N$45:$T$50,$M49,0)</f>
        <v>32.163569207118861</v>
      </c>
      <c r="K49" s="92">
        <f t="shared" si="52"/>
        <v>13.638894457542529</v>
      </c>
      <c r="L49" s="159"/>
      <c r="M49" s="359">
        <v>5</v>
      </c>
      <c r="N49" s="353">
        <f>AVERAGE(E49:H49)</f>
        <v>19.586900919113756</v>
      </c>
      <c r="O49" s="353">
        <f>AVERAGE(F49:H49)</f>
        <v>24.755271578270015</v>
      </c>
      <c r="P49" s="353">
        <f>AVERAGE(G49:H49)</f>
        <v>35.670843732212447</v>
      </c>
      <c r="Q49" s="353">
        <f>AVERAGE(E49:G49)</f>
        <v>10.324563544325587</v>
      </c>
      <c r="R49" s="353">
        <f>(4*H49+3*G49+2*F49+E49)/10</f>
        <v>27.132901891916823</v>
      </c>
      <c r="S49" s="353">
        <f t="shared" si="53"/>
        <v>32.163569207118861</v>
      </c>
      <c r="T49" s="353">
        <f>(2*H49+G49)/3</f>
        <v>39.571866835967718</v>
      </c>
    </row>
    <row r="50" spans="1:20" ht="17.25" thickBot="1">
      <c r="A50" s="1" t="s">
        <v>14</v>
      </c>
      <c r="B50" s="1" t="s">
        <v>3</v>
      </c>
      <c r="C50" s="1" t="s">
        <v>17265</v>
      </c>
      <c r="D50" s="2" t="s">
        <v>17266</v>
      </c>
      <c r="E50" s="28">
        <f>IF(E41=0,0,(E18+E19)/E41*100)</f>
        <v>0.27391899823909216</v>
      </c>
      <c r="F50" s="28">
        <f>IF(F41=0,0,(F18+F19)/F41*100)</f>
        <v>0.10865931126713474</v>
      </c>
      <c r="G50" s="28">
        <f>IF(G41=0,0,(G18+G19)/G41*100)</f>
        <v>1.5645037189022826</v>
      </c>
      <c r="H50" s="28">
        <f>IF(H41=0,0,(H18+H19)/H41*100)</f>
        <v>1.1027311164438349</v>
      </c>
      <c r="I50" s="28">
        <f t="shared" si="51"/>
        <v>1.0909766830672007</v>
      </c>
      <c r="J50" s="362">
        <f t="shared" si="54"/>
        <v>1.0909766830672007</v>
      </c>
      <c r="K50" s="92">
        <f t="shared" si="52"/>
        <v>0.86412479624670147</v>
      </c>
      <c r="L50" s="159"/>
      <c r="M50" s="359">
        <v>6</v>
      </c>
      <c r="N50" s="353">
        <f>AVERAGE(E50:H50)</f>
        <v>0.76245328621308617</v>
      </c>
      <c r="O50" s="353">
        <f>AVERAGE(F50:H50)</f>
        <v>0.92529804887108413</v>
      </c>
      <c r="P50" s="353">
        <f>AVERAGE(G50:H50)</f>
        <v>1.3336174176730586</v>
      </c>
      <c r="Q50" s="353">
        <f>AVERAGE(E50:G50)</f>
        <v>0.64902734280283647</v>
      </c>
      <c r="R50" s="353">
        <f>(4*H50+3*G50+2*F50+E50)/10</f>
        <v>0.95956732432555492</v>
      </c>
      <c r="S50" s="353">
        <f t="shared" si="53"/>
        <v>1.0909766830672007</v>
      </c>
      <c r="T50" s="353">
        <f>(2*H50+G50)/3</f>
        <v>1.2566553172633175</v>
      </c>
    </row>
    <row r="51" spans="1:20">
      <c r="A51" s="1" t="s">
        <v>14</v>
      </c>
      <c r="B51" s="1" t="s">
        <v>3</v>
      </c>
      <c r="C51" s="1" t="s">
        <v>17267</v>
      </c>
      <c r="D51" s="2" t="s">
        <v>17268</v>
      </c>
      <c r="E51" s="99"/>
      <c r="F51" s="99"/>
      <c r="G51" s="99"/>
      <c r="H51" s="99"/>
      <c r="I51" s="99"/>
      <c r="J51" s="99"/>
      <c r="K51" s="99"/>
    </row>
    <row r="52" spans="1:20">
      <c r="A52" s="1" t="s">
        <v>14</v>
      </c>
      <c r="B52" s="1" t="s">
        <v>3</v>
      </c>
      <c r="C52" s="1" t="s">
        <v>17269</v>
      </c>
      <c r="D52" s="2" t="s">
        <v>17270</v>
      </c>
      <c r="E52" s="99"/>
      <c r="F52" s="99"/>
      <c r="G52" s="99"/>
      <c r="H52" s="99"/>
      <c r="I52" s="99"/>
      <c r="J52" s="99"/>
      <c r="K52" s="99"/>
    </row>
    <row r="53" spans="1:20">
      <c r="D53" s="96" t="s">
        <v>451</v>
      </c>
      <c r="E53" s="433">
        <f t="shared" ref="E53:I53" si="55">IFERROR(E22/E2,"")</f>
        <v>0.1260543580131209</v>
      </c>
      <c r="F53" s="433">
        <f t="shared" si="55"/>
        <v>0.17939843428100535</v>
      </c>
      <c r="G53" s="433">
        <f t="shared" si="55"/>
        <v>0.3112778416814807</v>
      </c>
      <c r="H53" s="433">
        <f t="shared" si="55"/>
        <v>0.31256310782802782</v>
      </c>
      <c r="I53" s="433">
        <f t="shared" si="55"/>
        <v>0.23994168918617961</v>
      </c>
      <c r="K53" s="99"/>
    </row>
    <row r="54" spans="1:20">
      <c r="K54" s="99"/>
    </row>
    <row r="55" spans="1:20" customFormat="1">
      <c r="E55" s="351" t="str">
        <f t="shared" ref="E55:G55" si="56">LEFT(E1,4)&amp;"년"</f>
        <v>2020년</v>
      </c>
      <c r="F55" s="351" t="str">
        <f t="shared" si="56"/>
        <v>2021년</v>
      </c>
      <c r="G55" s="351" t="str">
        <f t="shared" si="56"/>
        <v>2022년</v>
      </c>
      <c r="H55" s="351" t="str">
        <f>LEFT(H1,4)&amp;"년"</f>
        <v>2023년</v>
      </c>
    </row>
    <row r="56" spans="1:20" customFormat="1">
      <c r="E56" s="326">
        <f>IF(E13=0,0,E2/E13)</f>
        <v>41.276595744680854</v>
      </c>
      <c r="F56" s="326">
        <f>IF(F13=0,0,F2/F13)</f>
        <v>36.441441441441441</v>
      </c>
      <c r="G56" s="326">
        <f>IF(G13=0,0,G2/G13)</f>
        <v>20.282078472958641</v>
      </c>
      <c r="H56" s="327">
        <f>IF(H13=0,0,I2/H13)</f>
        <v>13.979940564635958</v>
      </c>
    </row>
    <row r="57" spans="1:20" customFormat="1">
      <c r="E57" s="326">
        <f>IF(E15=0,0,E3/E15)</f>
        <v>4.5457892314772206</v>
      </c>
      <c r="F57" s="326">
        <f>IF(F15=0,0,F3/F15)</f>
        <v>3.4937635574837311</v>
      </c>
      <c r="G57" s="326">
        <f>IF(G15=0,0,G3/G15)</f>
        <v>2.3036349269063612</v>
      </c>
      <c r="H57" s="327">
        <f>IF(H15=0,0,I3/H15)</f>
        <v>2.5782881002087681</v>
      </c>
    </row>
    <row r="58" spans="1:20" customFormat="1">
      <c r="E58" s="326">
        <f>IF(E18=0,0,E2/E18)</f>
        <v>0</v>
      </c>
      <c r="F58" s="326">
        <f>IF(F18=0,0,F2/F18)</f>
        <v>0</v>
      </c>
      <c r="G58" s="326">
        <f>IF(G18=0,0,G2/G18)</f>
        <v>371.378640776699</v>
      </c>
      <c r="H58" s="327">
        <f>IF(H18=0,0,I2/H18)</f>
        <v>1254.4666666666667</v>
      </c>
    </row>
    <row r="59" spans="1:20" customFormat="1"/>
    <row r="60" spans="1:20" customFormat="1"/>
    <row r="61" spans="1:20" customFormat="1"/>
    <row r="62" spans="1:20" customFormat="1"/>
    <row r="63" spans="1:20" customFormat="1"/>
    <row r="64" spans="1:20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</sheetData>
  <sheetProtection selectLockedCells="1"/>
  <phoneticPr fontId="3" type="noConversion"/>
  <conditionalFormatting sqref="E55:H55">
    <cfRule type="duplicateValues" dxfId="9" priority="2"/>
  </conditionalFormatting>
  <conditionalFormatting sqref="J45 N45:T45">
    <cfRule type="duplicateValues" dxfId="8" priority="1"/>
  </conditionalFormatting>
  <dataValidations disablePrompts="1" count="1">
    <dataValidation type="list" allowBlank="1" showInputMessage="1" sqref="J45">
      <formula1>$N$45:$T$45</formula1>
    </dataValidation>
  </dataValidations>
  <pageMargins left="0.7" right="0.7" top="0.75" bottom="0.75" header="0.3" footer="0.3"/>
  <pageSetup paperSize="9" orientation="portrait" r:id="rId1"/>
  <ignoredErrors>
    <ignoredError sqref="J53:J54 N46:R50 F75:J75 S46:T50" unlockedFormula="1"/>
    <ignoredError sqref="J22:O23" evalError="1"/>
    <ignoredError sqref="E42:O43 D44 E44:O44" evalError="1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S64"/>
  <sheetViews>
    <sheetView showGridLines="0" zoomScale="85" zoomScaleNormal="85" workbookViewId="0">
      <pane ySplit="1" topLeftCell="A14" activePane="bottomLeft" state="frozen"/>
      <selection activeCell="C1" sqref="C1"/>
      <selection pane="bottomLeft" activeCell="I34" sqref="I34:I35"/>
    </sheetView>
  </sheetViews>
  <sheetFormatPr defaultColWidth="9" defaultRowHeight="16.5"/>
  <cols>
    <col min="1" max="2" width="9" style="2" hidden="1" customWidth="1"/>
    <col min="3" max="3" width="9" style="2"/>
    <col min="4" max="4" width="29.5" style="2" customWidth="1"/>
    <col min="5" max="19" width="9.625" style="2" customWidth="1"/>
    <col min="20" max="16384" width="9" style="2"/>
  </cols>
  <sheetData>
    <row r="1" spans="1:15">
      <c r="A1" s="367">
        <f>ROW(C37)-ROW(C1)</f>
        <v>36</v>
      </c>
      <c r="B1" s="1"/>
      <c r="C1" s="1" t="s">
        <v>17271</v>
      </c>
      <c r="D1" s="1" t="s">
        <v>17272</v>
      </c>
      <c r="E1" s="1" t="s">
        <v>16650</v>
      </c>
      <c r="F1" s="1" t="s">
        <v>16651</v>
      </c>
      <c r="G1" s="1" t="s">
        <v>16652</v>
      </c>
      <c r="H1" s="1" t="s">
        <v>16611</v>
      </c>
      <c r="I1" s="1" t="s">
        <v>16653</v>
      </c>
      <c r="J1" s="1" t="s">
        <v>16654</v>
      </c>
      <c r="K1" s="1" t="s">
        <v>16655</v>
      </c>
      <c r="L1" s="1" t="s">
        <v>16656</v>
      </c>
      <c r="M1" s="1" t="s">
        <v>16657</v>
      </c>
      <c r="N1" s="1" t="s">
        <v>16658</v>
      </c>
      <c r="O1" s="1" t="s">
        <v>16659</v>
      </c>
    </row>
    <row r="2" spans="1:15">
      <c r="A2" s="1" t="s">
        <v>14</v>
      </c>
      <c r="B2" s="1" t="s">
        <v>2</v>
      </c>
      <c r="C2" s="1" t="s">
        <v>17273</v>
      </c>
      <c r="D2" s="2" t="s">
        <v>17274</v>
      </c>
      <c r="E2" s="24">
        <f>NWC추정!E13</f>
        <v>517</v>
      </c>
      <c r="F2" s="24">
        <f>NWC추정!F13</f>
        <v>666</v>
      </c>
      <c r="G2" s="24">
        <f>NWC추정!G13</f>
        <v>1886</v>
      </c>
      <c r="H2" s="24">
        <f>NWC추정!H13</f>
        <v>2692</v>
      </c>
      <c r="I2" s="24">
        <f>NWC추정!I13</f>
        <v>1502.2442311141731</v>
      </c>
      <c r="J2" s="24">
        <f>NWC추정!J13</f>
        <v>1537</v>
      </c>
      <c r="K2" s="24">
        <f>NWC추정!K13</f>
        <v>1572</v>
      </c>
      <c r="L2" s="24">
        <f>NWC추정!L13</f>
        <v>1607</v>
      </c>
      <c r="M2" s="24">
        <f>NWC추정!M13</f>
        <v>1641</v>
      </c>
      <c r="N2" s="24">
        <f>NWC추정!N13</f>
        <v>1676</v>
      </c>
      <c r="O2" s="24">
        <f>NWC추정!O13</f>
        <v>1710</v>
      </c>
    </row>
    <row r="3" spans="1:15">
      <c r="A3" s="1" t="s">
        <v>14</v>
      </c>
      <c r="B3" s="1" t="s">
        <v>2</v>
      </c>
      <c r="C3" s="1" t="s">
        <v>17275</v>
      </c>
      <c r="D3" s="2" t="s">
        <v>17276</v>
      </c>
      <c r="E3" s="24">
        <f>NWC추정!E14</f>
        <v>16</v>
      </c>
      <c r="F3" s="24">
        <f>NWC추정!F14</f>
        <v>15</v>
      </c>
      <c r="G3" s="24">
        <f>NWC추정!G14</f>
        <v>18</v>
      </c>
      <c r="H3" s="24">
        <f>NWC추정!H14</f>
        <v>32</v>
      </c>
      <c r="I3" s="24">
        <f>NWC추정!I14</f>
        <v>32</v>
      </c>
      <c r="J3" s="24">
        <f>NWC추정!J14</f>
        <v>32</v>
      </c>
      <c r="K3" s="24">
        <f>NWC추정!K14</f>
        <v>32</v>
      </c>
      <c r="L3" s="24">
        <f>NWC추정!L14</f>
        <v>32</v>
      </c>
      <c r="M3" s="24">
        <f>NWC추정!M14</f>
        <v>32</v>
      </c>
      <c r="N3" s="24">
        <f>NWC추정!N14</f>
        <v>32</v>
      </c>
      <c r="O3" s="24">
        <f>NWC추정!O14</f>
        <v>32</v>
      </c>
    </row>
    <row r="4" spans="1:15">
      <c r="A4" s="1" t="s">
        <v>14</v>
      </c>
      <c r="B4" s="1" t="s">
        <v>2</v>
      </c>
      <c r="C4" s="1" t="s">
        <v>17277</v>
      </c>
      <c r="D4" s="2" t="s">
        <v>17278</v>
      </c>
      <c r="E4" s="24">
        <f>NWC추정!E15</f>
        <v>2173</v>
      </c>
      <c r="F4" s="24">
        <f>NWC추정!F15</f>
        <v>3688</v>
      </c>
      <c r="G4" s="24">
        <f>NWC추정!G15</f>
        <v>10124</v>
      </c>
      <c r="H4" s="24">
        <f>NWC추정!H15</f>
        <v>9101</v>
      </c>
      <c r="I4" s="24">
        <f>NWC추정!I15</f>
        <v>7620.8717542314298</v>
      </c>
      <c r="J4" s="24">
        <f>NWC추정!J15</f>
        <v>7546</v>
      </c>
      <c r="K4" s="24">
        <f>NWC추정!K15</f>
        <v>7723</v>
      </c>
      <c r="L4" s="24">
        <f>NWC추정!L15</f>
        <v>7893</v>
      </c>
      <c r="M4" s="24">
        <f>NWC추정!M15</f>
        <v>8061</v>
      </c>
      <c r="N4" s="24">
        <f>NWC추정!N15</f>
        <v>8229</v>
      </c>
      <c r="O4" s="24">
        <f>NWC추정!O15</f>
        <v>8396</v>
      </c>
    </row>
    <row r="5" spans="1:15">
      <c r="A5" s="1" t="s">
        <v>14</v>
      </c>
      <c r="B5" s="1" t="s">
        <v>13</v>
      </c>
      <c r="C5" s="1" t="s">
        <v>17279</v>
      </c>
      <c r="D5" s="18" t="s">
        <v>17280</v>
      </c>
      <c r="E5" s="24">
        <f>NWC추정!E16</f>
        <v>0</v>
      </c>
      <c r="F5" s="24">
        <f>NWC추정!F16</f>
        <v>0</v>
      </c>
      <c r="G5" s="24">
        <f>NWC추정!G16</f>
        <v>0</v>
      </c>
      <c r="H5" s="24">
        <f>NWC추정!H16</f>
        <v>0</v>
      </c>
      <c r="I5" s="24">
        <f>NWC추정!I16</f>
        <v>0</v>
      </c>
      <c r="J5" s="24">
        <f>NWC추정!J16</f>
        <v>0</v>
      </c>
      <c r="K5" s="24">
        <f>NWC추정!K16</f>
        <v>0</v>
      </c>
      <c r="L5" s="24">
        <f>NWC추정!L16</f>
        <v>0</v>
      </c>
      <c r="M5" s="24">
        <f>NWC추정!M16</f>
        <v>0</v>
      </c>
      <c r="N5" s="24">
        <f>NWC추정!N16</f>
        <v>0</v>
      </c>
      <c r="O5" s="24">
        <f>NWC추정!O16</f>
        <v>0</v>
      </c>
    </row>
    <row r="6" spans="1:15">
      <c r="A6" s="1" t="s">
        <v>14</v>
      </c>
      <c r="B6" s="1" t="s">
        <v>2</v>
      </c>
      <c r="C6" s="1" t="s">
        <v>17281</v>
      </c>
      <c r="D6" s="2" t="s">
        <v>17282</v>
      </c>
      <c r="E6" s="24">
        <f>NWC추정!E18</f>
        <v>0</v>
      </c>
      <c r="F6" s="24">
        <f>NWC추정!F18</f>
        <v>0</v>
      </c>
      <c r="G6" s="24">
        <f>NWC추정!G18</f>
        <v>103</v>
      </c>
      <c r="H6" s="24">
        <f>NWC추정!H18</f>
        <v>30</v>
      </c>
      <c r="I6" s="24">
        <f>NWC추정!I18</f>
        <v>93.150454512919623</v>
      </c>
      <c r="J6" s="24">
        <f>NWC추정!J18</f>
        <v>92</v>
      </c>
      <c r="K6" s="24">
        <f>NWC추정!K18</f>
        <v>94</v>
      </c>
      <c r="L6" s="24">
        <f>NWC추정!L18</f>
        <v>96</v>
      </c>
      <c r="M6" s="24">
        <f>NWC추정!M18</f>
        <v>98</v>
      </c>
      <c r="N6" s="24">
        <f>NWC추정!N18</f>
        <v>100</v>
      </c>
      <c r="O6" s="24">
        <f>NWC추정!O18</f>
        <v>102</v>
      </c>
    </row>
    <row r="7" spans="1:15">
      <c r="A7" s="1" t="s">
        <v>14</v>
      </c>
      <c r="B7" s="1" t="s">
        <v>2</v>
      </c>
      <c r="C7" s="1" t="s">
        <v>17283</v>
      </c>
      <c r="D7" s="2" t="s">
        <v>17284</v>
      </c>
      <c r="E7" s="24">
        <f>NWC추정!E19</f>
        <v>14</v>
      </c>
      <c r="F7" s="24">
        <f>NWC추정!F19</f>
        <v>13</v>
      </c>
      <c r="G7" s="24">
        <f>NWC추정!G19</f>
        <v>202</v>
      </c>
      <c r="H7" s="24">
        <f>NWC추정!H19</f>
        <v>163</v>
      </c>
      <c r="I7" s="24">
        <f>NWC추정!I19</f>
        <v>163</v>
      </c>
      <c r="J7" s="24">
        <f>NWC추정!J19</f>
        <v>166</v>
      </c>
      <c r="K7" s="24">
        <f>NWC추정!K19</f>
        <v>169</v>
      </c>
      <c r="L7" s="24">
        <f>NWC추정!L19</f>
        <v>172</v>
      </c>
      <c r="M7" s="24">
        <f>NWC추정!M19</f>
        <v>175</v>
      </c>
      <c r="N7" s="24">
        <f>NWC추정!N19</f>
        <v>178</v>
      </c>
      <c r="O7" s="24">
        <f>NWC추정!O19</f>
        <v>181</v>
      </c>
    </row>
    <row r="8" spans="1:15">
      <c r="A8" s="1" t="s">
        <v>14</v>
      </c>
      <c r="B8" s="1" t="s">
        <v>13</v>
      </c>
      <c r="C8" s="1" t="s">
        <v>17285</v>
      </c>
      <c r="D8" s="18" t="s">
        <v>17286</v>
      </c>
      <c r="E8" s="24">
        <f>NWC추정!E20</f>
        <v>0</v>
      </c>
      <c r="F8" s="24">
        <f>NWC추정!F20</f>
        <v>0</v>
      </c>
      <c r="G8" s="24">
        <f>NWC추정!G20</f>
        <v>0</v>
      </c>
      <c r="H8" s="24">
        <f>NWC추정!H20</f>
        <v>0</v>
      </c>
      <c r="I8" s="24">
        <f>NWC추정!I20</f>
        <v>0</v>
      </c>
      <c r="J8" s="24">
        <f>NWC추정!J20</f>
        <v>0</v>
      </c>
      <c r="K8" s="24">
        <f>NWC추정!K20</f>
        <v>0</v>
      </c>
      <c r="L8" s="24">
        <f>NWC추정!L20</f>
        <v>0</v>
      </c>
      <c r="M8" s="24">
        <f>NWC추정!M20</f>
        <v>0</v>
      </c>
      <c r="N8" s="24">
        <f>NWC추정!N20</f>
        <v>0</v>
      </c>
      <c r="O8" s="24">
        <f>NWC추정!O20</f>
        <v>0</v>
      </c>
    </row>
    <row r="9" spans="1:15">
      <c r="A9" s="1" t="s">
        <v>14</v>
      </c>
      <c r="B9" s="1" t="s">
        <v>2</v>
      </c>
      <c r="C9" s="1" t="s">
        <v>17287</v>
      </c>
      <c r="D9" s="2" t="s">
        <v>17288</v>
      </c>
      <c r="E9" s="24">
        <f>IS추정!E36</f>
        <v>10172</v>
      </c>
      <c r="F9" s="24">
        <f>IS추정!F36</f>
        <v>7085</v>
      </c>
      <c r="G9" s="24">
        <f>IS추정!G36</f>
        <v>3516</v>
      </c>
      <c r="H9" s="24">
        <f>IS추정!H36</f>
        <v>2284</v>
      </c>
      <c r="I9" s="24">
        <f>IS추정!I36</f>
        <v>1955.204</v>
      </c>
      <c r="J9" s="24">
        <f>IS추정!J36</f>
        <v>4410.4679999999998</v>
      </c>
      <c r="K9" s="24">
        <f>IS추정!K36</f>
        <v>4426.2879999999996</v>
      </c>
      <c r="L9" s="24">
        <f>IS추정!L36</f>
        <v>4425.4969999999994</v>
      </c>
      <c r="M9" s="24">
        <f>IS추정!M36</f>
        <v>4402.558</v>
      </c>
      <c r="N9" s="24">
        <f>IS추정!N36</f>
        <v>4359.0529999999999</v>
      </c>
      <c r="O9" s="24">
        <f>IS추정!O36</f>
        <v>4287.0720000000001</v>
      </c>
    </row>
    <row r="10" spans="1:15">
      <c r="A10" s="1" t="s">
        <v>14</v>
      </c>
      <c r="B10" s="1" t="s">
        <v>3</v>
      </c>
      <c r="C10" s="1" t="s">
        <v>17289</v>
      </c>
      <c r="D10" s="2" t="s">
        <v>17290</v>
      </c>
      <c r="E10" s="27">
        <f>E42</f>
        <v>3.3714972484028083</v>
      </c>
      <c r="F10" s="27">
        <f>F42</f>
        <v>2.4529933001945103</v>
      </c>
      <c r="G10" s="27">
        <f t="shared" ref="G10:H10" si="0">G42</f>
        <v>12.787964268923366</v>
      </c>
      <c r="H10" s="27">
        <f t="shared" si="0"/>
        <v>22.403158154453493</v>
      </c>
      <c r="I10" s="27">
        <f t="shared" ref="I10" si="1">H10</f>
        <v>22.403158154453493</v>
      </c>
      <c r="J10" s="27">
        <f>$J$42</f>
        <v>15.87306605023362</v>
      </c>
      <c r="K10" s="27">
        <f t="shared" ref="K10:O10" si="2">$J$42</f>
        <v>15.87306605023362</v>
      </c>
      <c r="L10" s="27">
        <f t="shared" si="2"/>
        <v>15.87306605023362</v>
      </c>
      <c r="M10" s="27">
        <f t="shared" si="2"/>
        <v>15.87306605023362</v>
      </c>
      <c r="N10" s="27">
        <f t="shared" si="2"/>
        <v>15.87306605023362</v>
      </c>
      <c r="O10" s="27">
        <f t="shared" si="2"/>
        <v>15.87306605023362</v>
      </c>
    </row>
    <row r="11" spans="1:15">
      <c r="A11" s="1" t="s">
        <v>14</v>
      </c>
      <c r="B11" s="1" t="s">
        <v>3</v>
      </c>
      <c r="C11" s="1" t="s">
        <v>17291</v>
      </c>
      <c r="D11" s="2" t="s">
        <v>17292</v>
      </c>
      <c r="E11" s="27">
        <f>E45</f>
        <v>17.532044318922441</v>
      </c>
      <c r="F11" s="27">
        <f>F45</f>
        <v>14.986115931968067</v>
      </c>
      <c r="G11" s="27">
        <f t="shared" ref="G11:H11" si="3">G45</f>
        <v>16.831451926819774</v>
      </c>
      <c r="H11" s="27">
        <f t="shared" si="3"/>
        <v>11.159959418329388</v>
      </c>
      <c r="I11" s="27">
        <f>H11</f>
        <v>11.159959418329388</v>
      </c>
      <c r="J11" s="27">
        <f>$J$45</f>
        <v>13.688149673432628</v>
      </c>
      <c r="K11" s="27">
        <f t="shared" ref="K11:O11" si="4">$J$45</f>
        <v>13.688149673432628</v>
      </c>
      <c r="L11" s="27">
        <f t="shared" si="4"/>
        <v>13.688149673432628</v>
      </c>
      <c r="M11" s="27">
        <f t="shared" si="4"/>
        <v>13.688149673432628</v>
      </c>
      <c r="N11" s="27">
        <f t="shared" si="4"/>
        <v>13.688149673432628</v>
      </c>
      <c r="O11" s="27">
        <f t="shared" si="4"/>
        <v>13.688149673432628</v>
      </c>
    </row>
    <row r="12" spans="1:15">
      <c r="A12" s="1" t="s">
        <v>14</v>
      </c>
      <c r="B12" s="1" t="s">
        <v>3</v>
      </c>
      <c r="C12" s="1" t="s">
        <v>17293</v>
      </c>
      <c r="D12" s="2" t="s">
        <v>17294</v>
      </c>
      <c r="E12" s="27">
        <f>E43</f>
        <v>0.24778761061946902</v>
      </c>
      <c r="F12" s="27">
        <f>F43</f>
        <v>8.7154733172432289E-2</v>
      </c>
      <c r="G12" s="27">
        <f t="shared" ref="G12:H12" si="5">G43</f>
        <v>1.5048352082099863</v>
      </c>
      <c r="H12" s="27">
        <f t="shared" si="5"/>
        <v>1.0462973002276916</v>
      </c>
      <c r="I12" s="27">
        <f>H12</f>
        <v>1.0462973002276916</v>
      </c>
      <c r="J12" s="27">
        <f>$J$43</f>
        <v>1.0392861750459133</v>
      </c>
      <c r="K12" s="27">
        <f t="shared" ref="K12:O12" si="6">$J$43</f>
        <v>1.0392861750459133</v>
      </c>
      <c r="L12" s="27">
        <f t="shared" si="6"/>
        <v>1.0392861750459133</v>
      </c>
      <c r="M12" s="27">
        <f t="shared" si="6"/>
        <v>1.0392861750459133</v>
      </c>
      <c r="N12" s="27">
        <f t="shared" si="6"/>
        <v>1.0392861750459133</v>
      </c>
      <c r="O12" s="27">
        <f t="shared" si="6"/>
        <v>1.0392861750459133</v>
      </c>
    </row>
    <row r="13" spans="1:15">
      <c r="A13" s="1" t="s">
        <v>14</v>
      </c>
      <c r="B13" s="1" t="s">
        <v>3</v>
      </c>
      <c r="C13" s="1" t="s">
        <v>17295</v>
      </c>
      <c r="D13" s="2" t="s">
        <v>17296</v>
      </c>
      <c r="E13" s="27">
        <f>E44</f>
        <v>0.22172949002217296</v>
      </c>
      <c r="F13" s="27">
        <f>F44</f>
        <v>8.6585853203676566E-2</v>
      </c>
      <c r="G13" s="27">
        <f t="shared" ref="G13:H13" si="7">G44</f>
        <v>1.4963449933768338</v>
      </c>
      <c r="H13" s="27">
        <f t="shared" si="7"/>
        <v>1.0462973002276916</v>
      </c>
      <c r="I13" s="27">
        <f>H13</f>
        <v>1.0462973002276916</v>
      </c>
      <c r="J13" s="27">
        <f>$J$44</f>
        <v>1.0363612901067365</v>
      </c>
      <c r="K13" s="27">
        <f t="shared" ref="K13:O13" si="8">$J$44</f>
        <v>1.0363612901067365</v>
      </c>
      <c r="L13" s="27">
        <f t="shared" si="8"/>
        <v>1.0363612901067365</v>
      </c>
      <c r="M13" s="27">
        <f t="shared" si="8"/>
        <v>1.0363612901067365</v>
      </c>
      <c r="N13" s="27">
        <f t="shared" si="8"/>
        <v>1.0363612901067365</v>
      </c>
      <c r="O13" s="27">
        <f t="shared" si="8"/>
        <v>1.0363612901067365</v>
      </c>
    </row>
    <row r="14" spans="1:15">
      <c r="A14" s="1" t="s">
        <v>14</v>
      </c>
      <c r="B14" s="1"/>
      <c r="C14" s="1" t="s">
        <v>17297</v>
      </c>
      <c r="D14" s="1" t="s">
        <v>17298</v>
      </c>
      <c r="E14" s="1"/>
      <c r="F14" s="1"/>
      <c r="G14" s="1"/>
      <c r="H14" s="1"/>
      <c r="I14" s="1"/>
      <c r="J14" s="1" t="str">
        <f t="shared" ref="J14:O14" si="9">LEFT(J1,4)</f>
        <v>2024</v>
      </c>
      <c r="K14" s="1" t="str">
        <f t="shared" si="9"/>
        <v>2025</v>
      </c>
      <c r="L14" s="1" t="str">
        <f t="shared" si="9"/>
        <v>2026</v>
      </c>
      <c r="M14" s="1" t="str">
        <f t="shared" si="9"/>
        <v>2027</v>
      </c>
      <c r="N14" s="1" t="str">
        <f t="shared" si="9"/>
        <v>2028</v>
      </c>
      <c r="O14" s="1" t="str">
        <f t="shared" si="9"/>
        <v>2029</v>
      </c>
    </row>
    <row r="15" spans="1:15">
      <c r="A15" s="1" t="s">
        <v>14</v>
      </c>
      <c r="B15" s="1" t="s">
        <v>2</v>
      </c>
      <c r="C15" s="1" t="s">
        <v>17299</v>
      </c>
      <c r="D15" s="2" t="s">
        <v>17300</v>
      </c>
      <c r="E15" s="31">
        <v>15809</v>
      </c>
      <c r="F15" s="31">
        <v>27762</v>
      </c>
      <c r="G15" s="31">
        <v>14889</v>
      </c>
      <c r="H15" s="31">
        <v>12159</v>
      </c>
      <c r="I15" s="31">
        <v>12159</v>
      </c>
      <c r="J15" s="32">
        <f>INT((J2+J3+J5)/(J10/100))</f>
        <v>9884</v>
      </c>
      <c r="K15" s="32">
        <f t="shared" ref="K15:N15" si="10">INT((K2+K3+K5)/(K10/100))</f>
        <v>10105</v>
      </c>
      <c r="L15" s="32">
        <f t="shared" si="10"/>
        <v>10325</v>
      </c>
      <c r="M15" s="32">
        <f t="shared" si="10"/>
        <v>10539</v>
      </c>
      <c r="N15" s="32">
        <f t="shared" si="10"/>
        <v>10760</v>
      </c>
      <c r="O15" s="32">
        <f t="shared" ref="O15" si="11">INT((O2+O3+O5)/(O10/100))</f>
        <v>10974</v>
      </c>
    </row>
    <row r="16" spans="1:15">
      <c r="A16" s="1" t="s">
        <v>14</v>
      </c>
      <c r="B16" s="1" t="s">
        <v>2</v>
      </c>
      <c r="C16" s="1" t="s">
        <v>17301</v>
      </c>
      <c r="D16" s="2" t="s">
        <v>17302</v>
      </c>
      <c r="E16" s="31">
        <v>2173</v>
      </c>
      <c r="F16" s="31">
        <v>3688</v>
      </c>
      <c r="G16" s="31">
        <v>10124</v>
      </c>
      <c r="H16" s="31">
        <v>9101</v>
      </c>
      <c r="I16" s="31">
        <v>9101</v>
      </c>
      <c r="J16" s="24">
        <f>J4</f>
        <v>7546</v>
      </c>
      <c r="K16" s="24">
        <f t="shared" ref="K16:N16" si="12">K4</f>
        <v>7723</v>
      </c>
      <c r="L16" s="24">
        <f t="shared" si="12"/>
        <v>7893</v>
      </c>
      <c r="M16" s="24">
        <f t="shared" si="12"/>
        <v>8061</v>
      </c>
      <c r="N16" s="24">
        <f t="shared" si="12"/>
        <v>8229</v>
      </c>
      <c r="O16" s="24">
        <f t="shared" ref="O16" si="13">O4</f>
        <v>8396</v>
      </c>
    </row>
    <row r="17" spans="1:16">
      <c r="A17" s="1" t="s">
        <v>4</v>
      </c>
      <c r="B17" s="1" t="s">
        <v>2</v>
      </c>
      <c r="C17" s="1" t="s">
        <v>17303</v>
      </c>
      <c r="D17" s="8" t="s">
        <v>17304</v>
      </c>
      <c r="E17" s="29">
        <v>17983</v>
      </c>
      <c r="F17" s="29">
        <v>31449</v>
      </c>
      <c r="G17" s="29">
        <v>25013</v>
      </c>
      <c r="H17" s="29">
        <v>21260</v>
      </c>
      <c r="I17" s="29">
        <v>21260</v>
      </c>
      <c r="J17" s="30">
        <f>J15+J16</f>
        <v>17430</v>
      </c>
      <c r="K17" s="30">
        <f t="shared" ref="K17:N17" si="14">K15+K16</f>
        <v>17828</v>
      </c>
      <c r="L17" s="30">
        <f t="shared" si="14"/>
        <v>18218</v>
      </c>
      <c r="M17" s="30">
        <f t="shared" si="14"/>
        <v>18600</v>
      </c>
      <c r="N17" s="30">
        <f t="shared" si="14"/>
        <v>18989</v>
      </c>
      <c r="O17" s="30">
        <f t="shared" ref="O17" si="15">O15+O16</f>
        <v>19370</v>
      </c>
    </row>
    <row r="18" spans="1:16">
      <c r="A18" s="1" t="s">
        <v>14</v>
      </c>
      <c r="B18" s="1" t="s">
        <v>2</v>
      </c>
      <c r="C18" s="1" t="s">
        <v>17305</v>
      </c>
      <c r="D18" s="2" t="s">
        <v>17306</v>
      </c>
      <c r="E18" s="31">
        <v>148</v>
      </c>
      <c r="F18" s="31">
        <v>316</v>
      </c>
      <c r="G18" s="31">
        <v>295</v>
      </c>
      <c r="H18" s="31"/>
      <c r="I18" s="31"/>
      <c r="J18" s="32">
        <f>J26-J19-J23-J25</f>
        <v>11548.854172052133</v>
      </c>
      <c r="K18" s="32">
        <f t="shared" ref="K18:N18" si="16">K26-K19-K23-K25</f>
        <v>14430.630318412528</v>
      </c>
      <c r="L18" s="32">
        <f t="shared" si="16"/>
        <v>17095.765567559698</v>
      </c>
      <c r="M18" s="32">
        <f t="shared" si="16"/>
        <v>19478.869807889852</v>
      </c>
      <c r="N18" s="32">
        <f t="shared" si="16"/>
        <v>21484.519129709304</v>
      </c>
      <c r="O18" s="32">
        <f t="shared" ref="O18" si="17">O26-O19-O23-O25</f>
        <v>23029.808385074579</v>
      </c>
      <c r="P18" s="221" t="str">
        <f>IF(AND(J18&gt;=0,K18&gt;=0,L18&gt;=0,M18&gt;=0,N18&gt;=0,O18&gt;=0),"문제없음","문제")</f>
        <v>문제없음</v>
      </c>
    </row>
    <row r="19" spans="1:16">
      <c r="A19" s="1" t="s">
        <v>14</v>
      </c>
      <c r="B19" s="1" t="s">
        <v>2</v>
      </c>
      <c r="C19" s="1" t="s">
        <v>17307</v>
      </c>
      <c r="D19" s="2" t="s">
        <v>17308</v>
      </c>
      <c r="E19" s="31">
        <v>7444</v>
      </c>
      <c r="F19" s="31">
        <v>8361</v>
      </c>
      <c r="G19" s="31">
        <v>9000</v>
      </c>
      <c r="H19" s="31">
        <v>8684</v>
      </c>
      <c r="I19" s="32">
        <f>I20+I21</f>
        <v>8684</v>
      </c>
      <c r="J19" s="32">
        <f>J20+J21</f>
        <v>9188</v>
      </c>
      <c r="K19" s="32">
        <f t="shared" ref="K19:N19" si="18">K20+K21</f>
        <v>9815</v>
      </c>
      <c r="L19" s="32">
        <f t="shared" si="18"/>
        <v>10595</v>
      </c>
      <c r="M19" s="32">
        <f t="shared" si="18"/>
        <v>11564</v>
      </c>
      <c r="N19" s="32">
        <f t="shared" si="18"/>
        <v>12769</v>
      </c>
      <c r="O19" s="32">
        <f t="shared" ref="O19" si="19">O20+O21</f>
        <v>14267</v>
      </c>
    </row>
    <row r="20" spans="1:16">
      <c r="A20" s="1" t="s">
        <v>14</v>
      </c>
      <c r="B20" s="1" t="s">
        <v>2</v>
      </c>
      <c r="C20" s="1" t="s">
        <v>17309</v>
      </c>
      <c r="D20" s="2" t="s">
        <v>17310</v>
      </c>
      <c r="E20" s="31">
        <v>4235</v>
      </c>
      <c r="F20" s="31">
        <v>4235</v>
      </c>
      <c r="G20" s="31">
        <v>4273</v>
      </c>
      <c r="H20" s="31">
        <v>4273</v>
      </c>
      <c r="I20" s="31">
        <v>4273</v>
      </c>
      <c r="J20" s="24">
        <f>I20</f>
        <v>4273</v>
      </c>
      <c r="K20" s="24">
        <f t="shared" ref="K20:O20" si="20">J20</f>
        <v>4273</v>
      </c>
      <c r="L20" s="24">
        <f t="shared" si="20"/>
        <v>4273</v>
      </c>
      <c r="M20" s="24">
        <f t="shared" si="20"/>
        <v>4273</v>
      </c>
      <c r="N20" s="24">
        <f t="shared" si="20"/>
        <v>4273</v>
      </c>
      <c r="O20" s="24">
        <f t="shared" si="20"/>
        <v>4273</v>
      </c>
    </row>
    <row r="21" spans="1:16">
      <c r="A21" s="1" t="s">
        <v>14</v>
      </c>
      <c r="B21" s="1" t="s">
        <v>2</v>
      </c>
      <c r="C21" s="1" t="s">
        <v>17311</v>
      </c>
      <c r="D21" s="2" t="s">
        <v>17312</v>
      </c>
      <c r="E21" s="24">
        <f>감가상각추정!E10</f>
        <v>3209</v>
      </c>
      <c r="F21" s="24">
        <f>감가상각추정!F10</f>
        <v>4126</v>
      </c>
      <c r="G21" s="24">
        <f>감가상각추정!G10</f>
        <v>4727</v>
      </c>
      <c r="H21" s="24">
        <f>감가상각추정!H10</f>
        <v>4411</v>
      </c>
      <c r="I21" s="24">
        <f>감가상각추정!I10</f>
        <v>4411</v>
      </c>
      <c r="J21" s="24">
        <f>감가상각추정!J10</f>
        <v>4915</v>
      </c>
      <c r="K21" s="24">
        <f>감가상각추정!K10</f>
        <v>5542</v>
      </c>
      <c r="L21" s="24">
        <f>감가상각추정!L10</f>
        <v>6322</v>
      </c>
      <c r="M21" s="24">
        <f>감가상각추정!M10</f>
        <v>7291</v>
      </c>
      <c r="N21" s="24">
        <f>감가상각추정!N10</f>
        <v>8496</v>
      </c>
      <c r="O21" s="24">
        <f>감가상각추정!O10</f>
        <v>9994</v>
      </c>
    </row>
    <row r="22" spans="1:16">
      <c r="A22" s="1" t="s">
        <v>14</v>
      </c>
      <c r="B22" s="1" t="s">
        <v>2</v>
      </c>
      <c r="C22" s="1" t="s">
        <v>17313</v>
      </c>
      <c r="D22" s="2" t="s">
        <v>17314</v>
      </c>
      <c r="E22" s="24">
        <f>감가상각추정!E8</f>
        <v>152</v>
      </c>
      <c r="F22" s="24">
        <f>감가상각추정!F8</f>
        <v>501</v>
      </c>
      <c r="G22" s="24">
        <f>감가상각추정!G8</f>
        <v>899</v>
      </c>
      <c r="H22" s="24">
        <f>감가상각추정!H8</f>
        <v>1189</v>
      </c>
      <c r="I22" s="24">
        <f>감가상각추정!I8</f>
        <v>1189</v>
      </c>
      <c r="J22" s="24">
        <f>감가상각추정!J8</f>
        <v>1278</v>
      </c>
      <c r="K22" s="24">
        <f>감가상각추정!K8</f>
        <v>1589</v>
      </c>
      <c r="L22" s="24">
        <f>감가상각추정!L8</f>
        <v>1975</v>
      </c>
      <c r="M22" s="24">
        <f>감가상각추정!M8</f>
        <v>2455</v>
      </c>
      <c r="N22" s="24">
        <f>감가상각추정!N8</f>
        <v>3052</v>
      </c>
      <c r="O22" s="24">
        <f>감가상각추정!O8</f>
        <v>3793</v>
      </c>
    </row>
    <row r="23" spans="1:16">
      <c r="A23" s="1" t="s">
        <v>14</v>
      </c>
      <c r="B23" s="1" t="s">
        <v>2</v>
      </c>
      <c r="C23" s="1" t="s">
        <v>17315</v>
      </c>
      <c r="D23" s="2" t="s">
        <v>17316</v>
      </c>
      <c r="E23" s="24">
        <f>감가상각추정!E16</f>
        <v>0</v>
      </c>
      <c r="F23" s="24">
        <f>감가상각추정!F16</f>
        <v>1121</v>
      </c>
      <c r="G23" s="24">
        <f>감가상각추정!G16</f>
        <v>1388</v>
      </c>
      <c r="H23" s="24">
        <f>감가상각추정!H16</f>
        <v>1824</v>
      </c>
      <c r="I23" s="24">
        <f>감가상각추정!I16</f>
        <v>1824</v>
      </c>
      <c r="J23" s="24">
        <f>감가상각추정!J16</f>
        <v>2150</v>
      </c>
      <c r="K23" s="24">
        <f>감가상각추정!K16</f>
        <v>2535</v>
      </c>
      <c r="L23" s="24">
        <f>감가상각추정!L16</f>
        <v>2989</v>
      </c>
      <c r="M23" s="24">
        <f>감가상각추정!M16</f>
        <v>3524</v>
      </c>
      <c r="N23" s="24">
        <f>감가상각추정!N16</f>
        <v>4156</v>
      </c>
      <c r="O23" s="24">
        <f>감가상각추정!O16</f>
        <v>4901</v>
      </c>
    </row>
    <row r="24" spans="1:16">
      <c r="A24" s="1" t="s">
        <v>14</v>
      </c>
      <c r="B24" s="1" t="s">
        <v>2</v>
      </c>
      <c r="C24" s="1" t="s">
        <v>17317</v>
      </c>
      <c r="D24" s="2" t="s">
        <v>17318</v>
      </c>
      <c r="E24" s="24">
        <f>감가상각추정!E14</f>
        <v>0</v>
      </c>
      <c r="F24" s="24">
        <f>감가상각추정!F14</f>
        <v>0</v>
      </c>
      <c r="G24" s="24">
        <f>감가상각추정!G14</f>
        <v>120</v>
      </c>
      <c r="H24" s="24">
        <f>감가상각추정!H14</f>
        <v>209</v>
      </c>
      <c r="I24" s="24">
        <f>감가상각추정!I14</f>
        <v>209</v>
      </c>
      <c r="J24" s="24">
        <f>감가상각추정!J14</f>
        <v>202</v>
      </c>
      <c r="K24" s="24">
        <f>감가상각추정!K14</f>
        <v>238</v>
      </c>
      <c r="L24" s="24">
        <f>감가상각추정!L14</f>
        <v>281</v>
      </c>
      <c r="M24" s="24">
        <f>감가상각추정!M14</f>
        <v>331</v>
      </c>
      <c r="N24" s="24">
        <f>감가상각추정!N14</f>
        <v>391</v>
      </c>
      <c r="O24" s="24">
        <f>감가상각추정!O14</f>
        <v>461</v>
      </c>
    </row>
    <row r="25" spans="1:16">
      <c r="A25" s="1" t="s">
        <v>14</v>
      </c>
      <c r="B25" s="1" t="s">
        <v>2</v>
      </c>
      <c r="C25" s="1" t="s">
        <v>17319</v>
      </c>
      <c r="D25" s="2" t="s">
        <v>17320</v>
      </c>
      <c r="E25" s="31">
        <v>1614</v>
      </c>
      <c r="F25" s="31">
        <v>1727</v>
      </c>
      <c r="G25" s="31">
        <v>2162</v>
      </c>
      <c r="H25" s="31">
        <v>1320</v>
      </c>
      <c r="I25" s="31">
        <v>1320</v>
      </c>
      <c r="J25" s="32">
        <f>J26*(J11/100)</f>
        <v>3629.6138279478678</v>
      </c>
      <c r="K25" s="32">
        <f t="shared" ref="K25:N25" si="21">K26*(K11/100)</f>
        <v>4247.1256815874731</v>
      </c>
      <c r="L25" s="32">
        <f t="shared" si="21"/>
        <v>4865.4874324403008</v>
      </c>
      <c r="M25" s="32">
        <f t="shared" si="21"/>
        <v>5481.941192110151</v>
      </c>
      <c r="N25" s="32">
        <f t="shared" si="21"/>
        <v>6091.3448702906981</v>
      </c>
      <c r="O25" s="32">
        <f t="shared" ref="O25" si="22">O26*(O11/100)</f>
        <v>6692.1276149254218</v>
      </c>
    </row>
    <row r="26" spans="1:16">
      <c r="A26" s="1" t="s">
        <v>4</v>
      </c>
      <c r="B26" s="1" t="s">
        <v>2</v>
      </c>
      <c r="C26" s="1" t="s">
        <v>17321</v>
      </c>
      <c r="D26" s="8" t="s">
        <v>17322</v>
      </c>
      <c r="E26" s="29">
        <v>9206</v>
      </c>
      <c r="F26" s="29">
        <v>11524</v>
      </c>
      <c r="G26" s="29">
        <v>12845</v>
      </c>
      <c r="H26" s="29">
        <v>11828</v>
      </c>
      <c r="I26" s="29">
        <v>11828</v>
      </c>
      <c r="J26" s="30">
        <f>J27-J17</f>
        <v>26516.468000000001</v>
      </c>
      <c r="K26" s="30">
        <f t="shared" ref="K26:N26" si="23">K27-K17</f>
        <v>31027.756000000001</v>
      </c>
      <c r="L26" s="30">
        <f t="shared" si="23"/>
        <v>35545.252999999997</v>
      </c>
      <c r="M26" s="30">
        <f t="shared" si="23"/>
        <v>40048.811000000002</v>
      </c>
      <c r="N26" s="30">
        <f t="shared" si="23"/>
        <v>44500.864000000001</v>
      </c>
      <c r="O26" s="30">
        <f t="shared" ref="O26" si="24">O27-O17</f>
        <v>48889.936000000002</v>
      </c>
    </row>
    <row r="27" spans="1:16">
      <c r="A27" s="1" t="s">
        <v>4</v>
      </c>
      <c r="B27" s="1" t="s">
        <v>2</v>
      </c>
      <c r="C27" s="1" t="s">
        <v>17323</v>
      </c>
      <c r="D27" s="8" t="s">
        <v>17324</v>
      </c>
      <c r="E27" s="29">
        <v>27189</v>
      </c>
      <c r="F27" s="29">
        <v>42973</v>
      </c>
      <c r="G27" s="29">
        <v>37858</v>
      </c>
      <c r="H27" s="29">
        <v>33088</v>
      </c>
      <c r="I27" s="29">
        <v>33088</v>
      </c>
      <c r="J27" s="36">
        <f>J37</f>
        <v>43946.468000000001</v>
      </c>
      <c r="K27" s="36">
        <f t="shared" ref="K27:N27" si="25">K37</f>
        <v>48855.756000000001</v>
      </c>
      <c r="L27" s="36">
        <f t="shared" si="25"/>
        <v>53763.252999999997</v>
      </c>
      <c r="M27" s="36">
        <f t="shared" si="25"/>
        <v>58648.811000000002</v>
      </c>
      <c r="N27" s="36">
        <f t="shared" si="25"/>
        <v>63489.864000000001</v>
      </c>
      <c r="O27" s="36">
        <f t="shared" ref="O27" si="26">O37</f>
        <v>68259.936000000002</v>
      </c>
    </row>
    <row r="28" spans="1:16">
      <c r="A28" s="1" t="s">
        <v>14</v>
      </c>
      <c r="B28" s="1" t="s">
        <v>2</v>
      </c>
      <c r="C28" s="1" t="s">
        <v>17325</v>
      </c>
      <c r="D28" s="2" t="s">
        <v>17326</v>
      </c>
      <c r="E28" s="31">
        <v>5650</v>
      </c>
      <c r="F28" s="31">
        <v>14916</v>
      </c>
      <c r="G28" s="31">
        <v>20268</v>
      </c>
      <c r="H28" s="31">
        <v>18446</v>
      </c>
      <c r="I28" s="31">
        <v>18446</v>
      </c>
      <c r="J28" s="32">
        <f>INT((J6+J7+J8)/(J12/100))</f>
        <v>24824</v>
      </c>
      <c r="K28" s="32">
        <f t="shared" ref="K28:N28" si="27">INT((K6+K7+K8)/(K12/100))</f>
        <v>25305</v>
      </c>
      <c r="L28" s="32">
        <f t="shared" si="27"/>
        <v>25786</v>
      </c>
      <c r="M28" s="32">
        <f t="shared" si="27"/>
        <v>26268</v>
      </c>
      <c r="N28" s="32">
        <f t="shared" si="27"/>
        <v>26749</v>
      </c>
      <c r="O28" s="32">
        <f t="shared" ref="O28" si="28">INT((O6+O7+O8)/(O12/100))</f>
        <v>27230</v>
      </c>
    </row>
    <row r="29" spans="1:16">
      <c r="A29" s="1" t="s">
        <v>14</v>
      </c>
      <c r="B29" s="1" t="s">
        <v>2</v>
      </c>
      <c r="C29" s="1" t="s">
        <v>17327</v>
      </c>
      <c r="D29" s="2" t="s">
        <v>17328</v>
      </c>
      <c r="E29" s="31">
        <v>664</v>
      </c>
      <c r="F29" s="31">
        <v>98</v>
      </c>
      <c r="G29" s="31">
        <v>115</v>
      </c>
      <c r="H29" s="31"/>
      <c r="I29" s="31"/>
      <c r="J29" s="32">
        <f>J30-J28</f>
        <v>70</v>
      </c>
      <c r="K29" s="32">
        <f t="shared" ref="K29:N29" si="29">K30-K28</f>
        <v>72</v>
      </c>
      <c r="L29" s="32">
        <f t="shared" si="29"/>
        <v>73</v>
      </c>
      <c r="M29" s="32">
        <f t="shared" si="29"/>
        <v>74</v>
      </c>
      <c r="N29" s="32">
        <f t="shared" si="29"/>
        <v>75</v>
      </c>
      <c r="O29" s="32">
        <f t="shared" ref="O29" si="30">O30-O28</f>
        <v>77</v>
      </c>
    </row>
    <row r="30" spans="1:16">
      <c r="A30" s="1" t="s">
        <v>4</v>
      </c>
      <c r="B30" s="1" t="s">
        <v>2</v>
      </c>
      <c r="C30" s="1" t="s">
        <v>17329</v>
      </c>
      <c r="D30" s="8" t="s">
        <v>17330</v>
      </c>
      <c r="E30" s="29">
        <v>6314</v>
      </c>
      <c r="F30" s="29">
        <v>15014</v>
      </c>
      <c r="G30" s="29">
        <v>20383</v>
      </c>
      <c r="H30" s="29">
        <v>18446</v>
      </c>
      <c r="I30" s="29">
        <v>18446</v>
      </c>
      <c r="J30" s="30">
        <f>INT((J6+J7+J8)/(J13/100))</f>
        <v>24894</v>
      </c>
      <c r="K30" s="30">
        <f t="shared" ref="K30:N30" si="31">INT((K6+K7+K8)/(K13/100))</f>
        <v>25377</v>
      </c>
      <c r="L30" s="30">
        <f t="shared" si="31"/>
        <v>25859</v>
      </c>
      <c r="M30" s="30">
        <f t="shared" si="31"/>
        <v>26342</v>
      </c>
      <c r="N30" s="30">
        <f t="shared" si="31"/>
        <v>26824</v>
      </c>
      <c r="O30" s="30">
        <f t="shared" ref="O30" si="32">INT((O6+O7+O8)/(O13/100))</f>
        <v>27307</v>
      </c>
    </row>
    <row r="31" spans="1:16">
      <c r="A31" s="1" t="s">
        <v>14</v>
      </c>
      <c r="B31" s="1" t="s">
        <v>2</v>
      </c>
      <c r="C31" s="1" t="s">
        <v>17331</v>
      </c>
      <c r="D31" s="2" t="s">
        <v>17332</v>
      </c>
      <c r="E31" s="31">
        <v>110</v>
      </c>
      <c r="F31" s="31">
        <v>110</v>
      </c>
      <c r="G31" s="31">
        <v>110</v>
      </c>
      <c r="H31" s="31">
        <v>110</v>
      </c>
      <c r="I31" s="31">
        <v>110</v>
      </c>
      <c r="J31" s="24">
        <f>I31</f>
        <v>110</v>
      </c>
      <c r="K31" s="24">
        <f t="shared" ref="K31:O31" si="33">J31</f>
        <v>110</v>
      </c>
      <c r="L31" s="24">
        <f t="shared" si="33"/>
        <v>110</v>
      </c>
      <c r="M31" s="24">
        <f t="shared" si="33"/>
        <v>110</v>
      </c>
      <c r="N31" s="24">
        <f t="shared" si="33"/>
        <v>110</v>
      </c>
      <c r="O31" s="24">
        <f t="shared" si="33"/>
        <v>110</v>
      </c>
    </row>
    <row r="32" spans="1:16">
      <c r="A32" s="1" t="s">
        <v>14</v>
      </c>
      <c r="B32" s="1" t="s">
        <v>2</v>
      </c>
      <c r="C32" s="1" t="s">
        <v>17333</v>
      </c>
      <c r="D32" s="2" t="s">
        <v>17334</v>
      </c>
      <c r="E32" s="31"/>
      <c r="F32" s="31"/>
      <c r="G32" s="31"/>
      <c r="H32" s="31"/>
      <c r="I32" s="31"/>
      <c r="J32" s="24">
        <f>I32</f>
        <v>0</v>
      </c>
      <c r="K32" s="24">
        <f>J32</f>
        <v>0</v>
      </c>
      <c r="L32" s="24">
        <f t="shared" ref="L32:O32" si="34">K32</f>
        <v>0</v>
      </c>
      <c r="M32" s="24">
        <f t="shared" si="34"/>
        <v>0</v>
      </c>
      <c r="N32" s="24">
        <f t="shared" si="34"/>
        <v>0</v>
      </c>
      <c r="O32" s="24">
        <f t="shared" si="34"/>
        <v>0</v>
      </c>
    </row>
    <row r="33" spans="1:19">
      <c r="A33" s="1" t="s">
        <v>14</v>
      </c>
      <c r="B33" s="1" t="s">
        <v>2</v>
      </c>
      <c r="C33" s="1" t="s">
        <v>17335</v>
      </c>
      <c r="D33" s="2" t="s">
        <v>17336</v>
      </c>
      <c r="E33" s="31"/>
      <c r="F33" s="31"/>
      <c r="G33" s="31"/>
      <c r="H33" s="31"/>
      <c r="I33" s="31"/>
      <c r="J33" s="24">
        <f>I33</f>
        <v>0</v>
      </c>
      <c r="K33" s="24">
        <f t="shared" ref="K33:O33" si="35">J33</f>
        <v>0</v>
      </c>
      <c r="L33" s="24">
        <f t="shared" si="35"/>
        <v>0</v>
      </c>
      <c r="M33" s="24">
        <f t="shared" si="35"/>
        <v>0</v>
      </c>
      <c r="N33" s="24">
        <f t="shared" si="35"/>
        <v>0</v>
      </c>
      <c r="O33" s="24">
        <f t="shared" si="35"/>
        <v>0</v>
      </c>
    </row>
    <row r="34" spans="1:19">
      <c r="A34" s="1" t="s">
        <v>14</v>
      </c>
      <c r="B34" s="1" t="s">
        <v>2</v>
      </c>
      <c r="C34" s="1" t="s">
        <v>17337</v>
      </c>
      <c r="D34" s="2" t="s">
        <v>17338</v>
      </c>
      <c r="E34" s="31"/>
      <c r="F34" s="31"/>
      <c r="G34" s="42"/>
      <c r="H34" s="42"/>
      <c r="I34" s="42"/>
      <c r="J34" s="33">
        <f>I34</f>
        <v>0</v>
      </c>
      <c r="K34" s="33">
        <f t="shared" ref="K34:O34" si="36">J34</f>
        <v>0</v>
      </c>
      <c r="L34" s="33">
        <f t="shared" si="36"/>
        <v>0</v>
      </c>
      <c r="M34" s="33">
        <f t="shared" si="36"/>
        <v>0</v>
      </c>
      <c r="N34" s="33">
        <f t="shared" si="36"/>
        <v>0</v>
      </c>
      <c r="O34" s="33">
        <f t="shared" si="36"/>
        <v>0</v>
      </c>
    </row>
    <row r="35" spans="1:19">
      <c r="A35" s="1" t="s">
        <v>14</v>
      </c>
      <c r="B35" s="1" t="s">
        <v>2</v>
      </c>
      <c r="C35" s="1" t="s">
        <v>17339</v>
      </c>
      <c r="D35" s="2" t="s">
        <v>17340</v>
      </c>
      <c r="E35" s="31">
        <v>20765</v>
      </c>
      <c r="F35" s="31">
        <v>27849</v>
      </c>
      <c r="G35" s="31">
        <v>17365</v>
      </c>
      <c r="H35" s="31">
        <v>14532</v>
      </c>
      <c r="I35" s="31">
        <v>14532</v>
      </c>
      <c r="J35" s="32">
        <f>I35+J9</f>
        <v>18942.468000000001</v>
      </c>
      <c r="K35" s="32">
        <f>J35+K9</f>
        <v>23368.756000000001</v>
      </c>
      <c r="L35" s="32">
        <f t="shared" ref="L35:O35" si="37">K35+L9</f>
        <v>27794.253000000001</v>
      </c>
      <c r="M35" s="32">
        <f t="shared" si="37"/>
        <v>32196.811000000002</v>
      </c>
      <c r="N35" s="32">
        <f t="shared" si="37"/>
        <v>36555.864000000001</v>
      </c>
      <c r="O35" s="32">
        <f t="shared" si="37"/>
        <v>40842.936000000002</v>
      </c>
    </row>
    <row r="36" spans="1:19">
      <c r="A36" s="1" t="s">
        <v>4</v>
      </c>
      <c r="B36" s="1" t="s">
        <v>2</v>
      </c>
      <c r="C36" s="1" t="s">
        <v>17341</v>
      </c>
      <c r="D36" s="8" t="s">
        <v>17342</v>
      </c>
      <c r="E36" s="29">
        <v>20875</v>
      </c>
      <c r="F36" s="29">
        <v>27959</v>
      </c>
      <c r="G36" s="29">
        <v>17475</v>
      </c>
      <c r="H36" s="29">
        <v>14642</v>
      </c>
      <c r="I36" s="29">
        <v>14642</v>
      </c>
      <c r="J36" s="30">
        <f>SUM(J31:J35)</f>
        <v>19052.468000000001</v>
      </c>
      <c r="K36" s="30">
        <f t="shared" ref="K36:N36" si="38">SUM(K31:K35)</f>
        <v>23478.756000000001</v>
      </c>
      <c r="L36" s="30">
        <f t="shared" si="38"/>
        <v>27904.253000000001</v>
      </c>
      <c r="M36" s="30">
        <f t="shared" si="38"/>
        <v>32306.811000000002</v>
      </c>
      <c r="N36" s="30">
        <f t="shared" si="38"/>
        <v>36665.864000000001</v>
      </c>
      <c r="O36" s="30">
        <f t="shared" ref="O36" si="39">SUM(O31:O35)</f>
        <v>40952.936000000002</v>
      </c>
    </row>
    <row r="37" spans="1:19" ht="17.25" thickBot="1">
      <c r="A37" s="1" t="s">
        <v>4</v>
      </c>
      <c r="B37" s="1" t="s">
        <v>2</v>
      </c>
      <c r="C37" s="1" t="s">
        <v>17343</v>
      </c>
      <c r="D37" s="8" t="s">
        <v>17344</v>
      </c>
      <c r="E37" s="29">
        <v>27189</v>
      </c>
      <c r="F37" s="29">
        <v>42973</v>
      </c>
      <c r="G37" s="29">
        <v>37858</v>
      </c>
      <c r="H37" s="29">
        <v>33088</v>
      </c>
      <c r="I37" s="29">
        <v>33088</v>
      </c>
      <c r="J37" s="30">
        <f>J30+J36</f>
        <v>43946.468000000001</v>
      </c>
      <c r="K37" s="30">
        <f t="shared" ref="K37:N37" si="40">K30+K36</f>
        <v>48855.756000000001</v>
      </c>
      <c r="L37" s="30">
        <f t="shared" si="40"/>
        <v>53763.252999999997</v>
      </c>
      <c r="M37" s="30">
        <f t="shared" si="40"/>
        <v>58648.811000000002</v>
      </c>
      <c r="N37" s="30">
        <f t="shared" si="40"/>
        <v>63489.864000000001</v>
      </c>
      <c r="O37" s="30">
        <f t="shared" ref="O37" si="41">O30+O36</f>
        <v>68259.936000000002</v>
      </c>
    </row>
    <row r="38" spans="1:19">
      <c r="D38" s="184" t="s">
        <v>76</v>
      </c>
      <c r="E38" s="195">
        <f>100*(E30/E36)</f>
        <v>30.246706586826349</v>
      </c>
      <c r="F38" s="195">
        <f t="shared" ref="F38:O38" si="42">100*(F30/F36)</f>
        <v>53.700060803319147</v>
      </c>
      <c r="G38" s="195">
        <f t="shared" si="42"/>
        <v>116.64091559370529</v>
      </c>
      <c r="H38" s="195">
        <f t="shared" si="42"/>
        <v>125.98005736921185</v>
      </c>
      <c r="I38" s="195">
        <f t="shared" si="42"/>
        <v>125.98005736921185</v>
      </c>
      <c r="J38" s="195">
        <f t="shared" si="42"/>
        <v>130.66023782325732</v>
      </c>
      <c r="K38" s="195">
        <f t="shared" si="42"/>
        <v>108.08494283087229</v>
      </c>
      <c r="L38" s="195">
        <f t="shared" si="42"/>
        <v>92.670461380922831</v>
      </c>
      <c r="M38" s="195">
        <f t="shared" si="42"/>
        <v>81.536986117261762</v>
      </c>
      <c r="N38" s="195">
        <f t="shared" si="42"/>
        <v>73.15796513072759</v>
      </c>
      <c r="O38" s="196">
        <f t="shared" si="42"/>
        <v>66.678979988150303</v>
      </c>
      <c r="Q38" s="56" t="s">
        <v>0</v>
      </c>
    </row>
    <row r="39" spans="1:19">
      <c r="D39" s="185" t="s">
        <v>77</v>
      </c>
      <c r="E39" s="197">
        <f>100*(E17/E28)</f>
        <v>318.28318584070797</v>
      </c>
      <c r="F39" s="197">
        <f t="shared" ref="F39:O39" si="43">100*(F17/F28)</f>
        <v>210.84070796460173</v>
      </c>
      <c r="G39" s="197">
        <f t="shared" si="43"/>
        <v>123.41128873100453</v>
      </c>
      <c r="H39" s="197">
        <f t="shared" si="43"/>
        <v>115.25533991109182</v>
      </c>
      <c r="I39" s="197">
        <f t="shared" si="43"/>
        <v>115.25533991109182</v>
      </c>
      <c r="J39" s="197">
        <f t="shared" si="43"/>
        <v>70.214308733483719</v>
      </c>
      <c r="K39" s="197">
        <f t="shared" si="43"/>
        <v>70.452479747085562</v>
      </c>
      <c r="L39" s="197">
        <f t="shared" si="43"/>
        <v>70.650740712014269</v>
      </c>
      <c r="M39" s="197">
        <f t="shared" si="43"/>
        <v>70.808588396528094</v>
      </c>
      <c r="N39" s="197">
        <f t="shared" si="43"/>
        <v>70.989569703540326</v>
      </c>
      <c r="O39" s="198">
        <f t="shared" si="43"/>
        <v>71.13477781858245</v>
      </c>
      <c r="Q39" s="57">
        <f ca="1">+민감도!B7</f>
        <v>15427948.43692149</v>
      </c>
    </row>
    <row r="40" spans="1:19" ht="17.25" thickBot="1">
      <c r="D40" s="186" t="s">
        <v>78</v>
      </c>
      <c r="E40" s="199">
        <f>100*((E36-(E31+E32))/(E31+E32))</f>
        <v>18877.272727272728</v>
      </c>
      <c r="F40" s="199">
        <f t="shared" ref="F40:O40" si="44">100*((F36-(F31+F32))/(F31+F32))</f>
        <v>25317.272727272728</v>
      </c>
      <c r="G40" s="199">
        <f t="shared" si="44"/>
        <v>15786.363636363638</v>
      </c>
      <c r="H40" s="199">
        <f t="shared" si="44"/>
        <v>13210.90909090909</v>
      </c>
      <c r="I40" s="199">
        <f t="shared" si="44"/>
        <v>13210.90909090909</v>
      </c>
      <c r="J40" s="199">
        <f t="shared" si="44"/>
        <v>17220.425454545453</v>
      </c>
      <c r="K40" s="199">
        <f t="shared" si="44"/>
        <v>21244.323636363639</v>
      </c>
      <c r="L40" s="199">
        <f t="shared" si="44"/>
        <v>25267.502727272727</v>
      </c>
      <c r="M40" s="199">
        <f t="shared" si="44"/>
        <v>29269.828181818186</v>
      </c>
      <c r="N40" s="197">
        <f t="shared" si="44"/>
        <v>33232.603636363638</v>
      </c>
      <c r="O40" s="198">
        <f t="shared" si="44"/>
        <v>37129.941818181818</v>
      </c>
    </row>
    <row r="41" spans="1:19">
      <c r="A41" s="367">
        <f>ROW(C45)-ROW(C41)</f>
        <v>4</v>
      </c>
      <c r="B41" s="1"/>
      <c r="C41" s="1" t="s">
        <v>17345</v>
      </c>
      <c r="D41" s="1" t="s">
        <v>17346</v>
      </c>
      <c r="E41" s="1" t="s">
        <v>16376</v>
      </c>
      <c r="F41" s="1" t="s">
        <v>16378</v>
      </c>
      <c r="G41" s="1" t="s">
        <v>16380</v>
      </c>
      <c r="H41" s="1" t="s">
        <v>16382</v>
      </c>
      <c r="I41" s="1" t="s">
        <v>16674</v>
      </c>
      <c r="J41" s="367"/>
      <c r="K41" s="120"/>
      <c r="L41" s="116" t="s">
        <v>25</v>
      </c>
      <c r="N41" s="126" t="s">
        <v>32</v>
      </c>
      <c r="O41" s="126" t="s">
        <v>33</v>
      </c>
      <c r="P41" s="126" t="s">
        <v>34</v>
      </c>
      <c r="Q41" s="126" t="s">
        <v>33</v>
      </c>
      <c r="R41" s="126" t="s">
        <v>35</v>
      </c>
      <c r="S41" s="126" t="s">
        <v>36</v>
      </c>
    </row>
    <row r="42" spans="1:19">
      <c r="A42" s="1" t="s">
        <v>14</v>
      </c>
      <c r="B42" s="1" t="s">
        <v>3</v>
      </c>
      <c r="C42" s="1" t="s">
        <v>17347</v>
      </c>
      <c r="D42" s="2" t="s">
        <v>17348</v>
      </c>
      <c r="E42" s="28">
        <f>IF((E2+E3+E5)=0,0,(E2+E3+E5)/E15*100)</f>
        <v>3.3714972484028083</v>
      </c>
      <c r="F42" s="28">
        <f>IF((F2+F3+F5)=0,0,(F2+F3+F5)/F15*100)</f>
        <v>2.4529933001945103</v>
      </c>
      <c r="G42" s="28">
        <f>IF((G2+G3+G5)=0,0,(G2+G3+G5)/G15*100)</f>
        <v>12.787964268923366</v>
      </c>
      <c r="H42" s="28">
        <f>IF((H2+H3+H5)=0,0,(H2+H3+H5)/H15*100)</f>
        <v>22.403158154453493</v>
      </c>
      <c r="I42" s="28">
        <f>(F42+G42*2+H42*3)/6</f>
        <v>15.87306605023362</v>
      </c>
      <c r="J42" s="368">
        <f>I42</f>
        <v>15.87306605023362</v>
      </c>
      <c r="K42" s="92">
        <f>(E42+F42*2+G42*3)/6</f>
        <v>7.7735627759269876</v>
      </c>
      <c r="L42" s="159"/>
      <c r="N42" s="117">
        <f>AVERAGE(E42:H42)</f>
        <v>10.253903242993545</v>
      </c>
      <c r="O42" s="117">
        <f>AVERAGE(F42:H42)</f>
        <v>12.548038574523789</v>
      </c>
      <c r="P42" s="117">
        <f>AVERAGE(G42:H42)</f>
        <v>17.59556121168843</v>
      </c>
      <c r="Q42" s="117">
        <f>AVERAGE(E42:G42)</f>
        <v>6.2041516058402282</v>
      </c>
      <c r="R42" s="117">
        <f>(4*H42+3*G42+2*F42+E42)/10</f>
        <v>13.625400927337591</v>
      </c>
      <c r="S42" s="158">
        <f>(2*H42+G42)/3</f>
        <v>19.198093525943452</v>
      </c>
    </row>
    <row r="43" spans="1:19">
      <c r="A43" s="1" t="s">
        <v>14</v>
      </c>
      <c r="B43" s="1" t="s">
        <v>3</v>
      </c>
      <c r="C43" s="1" t="s">
        <v>17349</v>
      </c>
      <c r="D43" s="2" t="s">
        <v>17350</v>
      </c>
      <c r="E43" s="28">
        <f>IF((E6+E7+E8)=0,0,(E6+E7+E8)/E28*100)</f>
        <v>0.24778761061946902</v>
      </c>
      <c r="F43" s="28">
        <f>IF((F6+F7+F8)=0,0,(F6+F7+F8)/F28*100)</f>
        <v>8.7154733172432289E-2</v>
      </c>
      <c r="G43" s="28">
        <f>IF((G6+G7+G8)=0,0,(G6+G7+G8)/G28*100)</f>
        <v>1.5048352082099863</v>
      </c>
      <c r="H43" s="28">
        <f>IF((H6+H7+H8)=0,0,(H6+H7+H8)/H28*100)</f>
        <v>1.0462973002276916</v>
      </c>
      <c r="I43" s="28">
        <f t="shared" ref="I43:I45" si="45">(F43+G43*2+H43*3)/6</f>
        <v>1.0392861750459133</v>
      </c>
      <c r="J43" s="368">
        <f>I43</f>
        <v>1.0392861750459133</v>
      </c>
      <c r="K43" s="92">
        <f t="shared" ref="K43:K45" si="46">(E43+F43*2+G43*3)/6</f>
        <v>0.82276711693238214</v>
      </c>
      <c r="L43" s="159"/>
      <c r="N43" s="117">
        <f>AVERAGE(E43:H43)</f>
        <v>0.72151871305739479</v>
      </c>
      <c r="O43" s="117">
        <f>AVERAGE(F43:H43)</f>
        <v>0.87942908053670343</v>
      </c>
      <c r="P43" s="117">
        <f>AVERAGE(G43:H43)</f>
        <v>1.2755662542188388</v>
      </c>
      <c r="Q43" s="117">
        <f>AVERAGE(E43:G43)</f>
        <v>0.61325918400062918</v>
      </c>
      <c r="R43" s="117">
        <f>(4*H43+3*G43+2*F43+E43)/10</f>
        <v>0.91217919025050576</v>
      </c>
      <c r="S43" s="158">
        <f>(2*H43+G43)/3</f>
        <v>1.1991432695551232</v>
      </c>
    </row>
    <row r="44" spans="1:19">
      <c r="A44" s="1" t="s">
        <v>14</v>
      </c>
      <c r="B44" s="1" t="s">
        <v>3</v>
      </c>
      <c r="C44" s="1" t="s">
        <v>17351</v>
      </c>
      <c r="D44" s="2" t="s">
        <v>17352</v>
      </c>
      <c r="E44" s="28">
        <f>IF((E6+E7+E8)=0,0,(E6+E7+E8)/E30*100)</f>
        <v>0.22172949002217296</v>
      </c>
      <c r="F44" s="28">
        <f>IF((F6+F7+F8)=0,0,(F6+F7+F8)/F30*100)</f>
        <v>8.6585853203676566E-2</v>
      </c>
      <c r="G44" s="28">
        <f>IF((G6+G7+G8)=0,0,(G6+G7+G8)/G30*100)</f>
        <v>1.4963449933768338</v>
      </c>
      <c r="H44" s="28">
        <f>IF((H6+H7+H8)=0,0,(H6+H7+H8)/H30*100)</f>
        <v>1.0462973002276916</v>
      </c>
      <c r="I44" s="28">
        <f t="shared" si="45"/>
        <v>1.0363612901067365</v>
      </c>
      <c r="J44" s="368">
        <f>I44</f>
        <v>1.0363612901067365</v>
      </c>
      <c r="K44" s="92">
        <f t="shared" si="46"/>
        <v>0.81398936276000455</v>
      </c>
      <c r="L44" s="159"/>
      <c r="N44" s="117">
        <f>AVERAGE(E44:H44)</f>
        <v>0.71273940920759371</v>
      </c>
      <c r="O44" s="117">
        <f>AVERAGE(F44:H44)</f>
        <v>0.87640938226940068</v>
      </c>
      <c r="P44" s="117">
        <f>AVERAGE(G44:H44)</f>
        <v>1.2713211468022627</v>
      </c>
      <c r="Q44" s="117">
        <f>AVERAGE(E44:G44)</f>
        <v>0.60155344553422774</v>
      </c>
      <c r="R44" s="117">
        <f>(4*H44+3*G44+2*F44+E44)/10</f>
        <v>0.90691253774707958</v>
      </c>
      <c r="S44" s="158">
        <f>(2*H44+G44)/3</f>
        <v>1.1963131979440724</v>
      </c>
    </row>
    <row r="45" spans="1:19">
      <c r="A45" s="1" t="s">
        <v>14</v>
      </c>
      <c r="B45" s="1" t="s">
        <v>3</v>
      </c>
      <c r="C45" s="1" t="s">
        <v>17353</v>
      </c>
      <c r="D45" s="2" t="s">
        <v>17354</v>
      </c>
      <c r="E45" s="28">
        <f>IF(E25=0,0,E25/E26*100)</f>
        <v>17.532044318922441</v>
      </c>
      <c r="F45" s="28">
        <f>IF(F25=0,0,F25/F26*100)</f>
        <v>14.986115931968067</v>
      </c>
      <c r="G45" s="28">
        <f>IF(G25=0,0,G25/G26*100)</f>
        <v>16.831451926819774</v>
      </c>
      <c r="H45" s="28">
        <f>IF(H25=0,0,H25/H26*100)</f>
        <v>11.159959418329388</v>
      </c>
      <c r="I45" s="28">
        <f t="shared" si="45"/>
        <v>13.688149673432628</v>
      </c>
      <c r="J45" s="368">
        <f>I45</f>
        <v>13.688149673432628</v>
      </c>
      <c r="K45" s="92">
        <f t="shared" si="46"/>
        <v>16.333105327219652</v>
      </c>
      <c r="L45" s="159"/>
      <c r="N45" s="117">
        <f>AVERAGE(E45:H45)</f>
        <v>15.127392899009918</v>
      </c>
      <c r="O45" s="117">
        <f>AVERAGE(F45:H45)</f>
        <v>14.325842425705742</v>
      </c>
      <c r="P45" s="117">
        <f>AVERAGE(G45:H45)</f>
        <v>13.99570567257458</v>
      </c>
      <c r="Q45" s="117">
        <f>AVERAGE(E45:G45)</f>
        <v>16.449870725903427</v>
      </c>
      <c r="R45" s="117">
        <f>(4*H45+3*G45+2*F45+E45)/10</f>
        <v>14.263846963663545</v>
      </c>
      <c r="S45" s="158">
        <f>(2*H45+G45)/3</f>
        <v>13.050456921159517</v>
      </c>
    </row>
    <row r="47" spans="1:19" ht="17.25" thickBot="1">
      <c r="D47" s="8" t="s">
        <v>56</v>
      </c>
    </row>
    <row r="48" spans="1:19">
      <c r="D48" s="167" t="str">
        <f t="shared" ref="D48" si="47">D23</f>
        <v>[D60220]  무형자산(계)</v>
      </c>
      <c r="E48" s="189">
        <f t="shared" ref="E48:I48" si="48">E23</f>
        <v>0</v>
      </c>
      <c r="F48" s="189">
        <f t="shared" ref="F48" si="49">F23</f>
        <v>1121</v>
      </c>
      <c r="G48" s="189">
        <f t="shared" si="48"/>
        <v>1388</v>
      </c>
      <c r="H48" s="189">
        <f t="shared" si="48"/>
        <v>1824</v>
      </c>
      <c r="I48" s="190">
        <f t="shared" si="48"/>
        <v>1824</v>
      </c>
    </row>
    <row r="49" spans="4:9">
      <c r="D49" s="168" t="str">
        <f t="shared" ref="D49" si="50">D19</f>
        <v>[D60180]  유형자산(계)</v>
      </c>
      <c r="E49" s="191">
        <f t="shared" ref="E49:I49" si="51">E19</f>
        <v>7444</v>
      </c>
      <c r="F49" s="191">
        <f t="shared" ref="F49" si="52">F19</f>
        <v>8361</v>
      </c>
      <c r="G49" s="191">
        <f t="shared" si="51"/>
        <v>9000</v>
      </c>
      <c r="H49" s="191">
        <f t="shared" si="51"/>
        <v>8684</v>
      </c>
      <c r="I49" s="192">
        <f t="shared" si="51"/>
        <v>8684</v>
      </c>
    </row>
    <row r="50" spans="4:9">
      <c r="D50" s="168" t="str">
        <f t="shared" ref="D50" si="53">D18</f>
        <v>[D60170]  투자자산(계)</v>
      </c>
      <c r="E50" s="191">
        <f t="shared" ref="E50:I50" si="54">E18</f>
        <v>148</v>
      </c>
      <c r="F50" s="191">
        <f t="shared" ref="F50" si="55">F18</f>
        <v>316</v>
      </c>
      <c r="G50" s="191">
        <f t="shared" si="54"/>
        <v>295</v>
      </c>
      <c r="H50" s="191">
        <f t="shared" si="54"/>
        <v>0</v>
      </c>
      <c r="I50" s="192">
        <f t="shared" si="54"/>
        <v>0</v>
      </c>
    </row>
    <row r="51" spans="4:9">
      <c r="D51" s="168" t="str">
        <f t="shared" ref="D51" si="56">D16</f>
        <v>[D60150]  재고자산(계)</v>
      </c>
      <c r="E51" s="191">
        <f t="shared" ref="E51:I51" si="57">E16</f>
        <v>2173</v>
      </c>
      <c r="F51" s="191">
        <f t="shared" ref="F51" si="58">F16</f>
        <v>3688</v>
      </c>
      <c r="G51" s="191">
        <f t="shared" si="57"/>
        <v>10124</v>
      </c>
      <c r="H51" s="191">
        <f t="shared" si="57"/>
        <v>9101</v>
      </c>
      <c r="I51" s="192">
        <f t="shared" si="57"/>
        <v>9101</v>
      </c>
    </row>
    <row r="52" spans="4:9" ht="17.25" thickBot="1">
      <c r="D52" s="169" t="str">
        <f t="shared" ref="D52" si="59">D15</f>
        <v>[D60140]  당좌자산(계)</v>
      </c>
      <c r="E52" s="193">
        <f t="shared" ref="E52:I52" si="60">E15</f>
        <v>15809</v>
      </c>
      <c r="F52" s="193">
        <f t="shared" ref="F52" si="61">F15</f>
        <v>27762</v>
      </c>
      <c r="G52" s="193">
        <f t="shared" si="60"/>
        <v>14889</v>
      </c>
      <c r="H52" s="193">
        <f t="shared" si="60"/>
        <v>12159</v>
      </c>
      <c r="I52" s="194">
        <f t="shared" si="60"/>
        <v>12159</v>
      </c>
    </row>
    <row r="53" spans="4:9">
      <c r="D53" s="99"/>
      <c r="E53" s="99"/>
      <c r="F53" s="99"/>
      <c r="G53" s="99"/>
      <c r="H53" s="99"/>
      <c r="I53" s="99"/>
    </row>
    <row r="54" spans="4:9">
      <c r="D54" s="99"/>
      <c r="E54" s="99"/>
      <c r="F54" s="99"/>
      <c r="G54" s="99"/>
      <c r="H54" s="99"/>
      <c r="I54" s="99"/>
    </row>
    <row r="55" spans="4:9">
      <c r="D55" s="99"/>
      <c r="E55" s="99"/>
      <c r="F55" s="99"/>
      <c r="G55" s="99"/>
      <c r="H55" s="99"/>
      <c r="I55" s="99"/>
    </row>
    <row r="56" spans="4:9">
      <c r="D56" s="99"/>
      <c r="E56" s="99"/>
      <c r="F56" s="99"/>
      <c r="G56" s="99"/>
      <c r="H56" s="99"/>
      <c r="I56" s="99"/>
    </row>
    <row r="57" spans="4:9" s="99" customFormat="1"/>
    <row r="58" spans="4:9">
      <c r="D58" s="99"/>
      <c r="E58" s="99"/>
      <c r="F58" s="99"/>
      <c r="G58" s="99"/>
      <c r="H58" s="99"/>
      <c r="I58" s="99"/>
    </row>
    <row r="59" spans="4:9" ht="17.25" thickBot="1">
      <c r="D59" s="8" t="s">
        <v>75</v>
      </c>
      <c r="E59" s="99"/>
      <c r="F59" s="99"/>
      <c r="G59" s="99"/>
      <c r="H59" s="99"/>
      <c r="I59" s="99"/>
    </row>
    <row r="60" spans="4:9">
      <c r="D60" s="167" t="str">
        <f t="shared" ref="D60" si="62">D35</f>
        <v>[D60340]  이익잉여금</v>
      </c>
      <c r="E60" s="189">
        <f t="shared" ref="E60:I60" si="63">E35</f>
        <v>20765</v>
      </c>
      <c r="F60" s="189">
        <f t="shared" ref="F60" si="64">F35</f>
        <v>27849</v>
      </c>
      <c r="G60" s="189">
        <f t="shared" si="63"/>
        <v>17365</v>
      </c>
      <c r="H60" s="189">
        <f t="shared" si="63"/>
        <v>14532</v>
      </c>
      <c r="I60" s="190">
        <f t="shared" si="63"/>
        <v>14532</v>
      </c>
    </row>
    <row r="61" spans="4:9">
      <c r="D61" s="168" t="str">
        <f t="shared" ref="D61" si="65">D32</f>
        <v>[D60310]  자본잉여금</v>
      </c>
      <c r="E61" s="191">
        <f t="shared" ref="E61:I61" si="66">E32</f>
        <v>0</v>
      </c>
      <c r="F61" s="191">
        <f t="shared" ref="F61" si="67">F32</f>
        <v>0</v>
      </c>
      <c r="G61" s="191">
        <f t="shared" si="66"/>
        <v>0</v>
      </c>
      <c r="H61" s="191">
        <f t="shared" si="66"/>
        <v>0</v>
      </c>
      <c r="I61" s="192">
        <f t="shared" si="66"/>
        <v>0</v>
      </c>
    </row>
    <row r="62" spans="4:9">
      <c r="D62" s="168" t="str">
        <f t="shared" ref="D62" si="68">D31</f>
        <v>[D60300]  자본금</v>
      </c>
      <c r="E62" s="191">
        <f t="shared" ref="E62:I62" si="69">E31</f>
        <v>110</v>
      </c>
      <c r="F62" s="191">
        <f t="shared" ref="F62" si="70">F31</f>
        <v>110</v>
      </c>
      <c r="G62" s="191">
        <f t="shared" si="69"/>
        <v>110</v>
      </c>
      <c r="H62" s="191">
        <f t="shared" si="69"/>
        <v>110</v>
      </c>
      <c r="I62" s="192">
        <f t="shared" si="69"/>
        <v>110</v>
      </c>
    </row>
    <row r="63" spans="4:9">
      <c r="D63" s="168" t="str">
        <f t="shared" ref="D63" si="71">D29</f>
        <v>[D60280]  비유동부채(계)</v>
      </c>
      <c r="E63" s="191">
        <f t="shared" ref="E63:I63" si="72">E29</f>
        <v>664</v>
      </c>
      <c r="F63" s="191">
        <f t="shared" ref="F63" si="73">F29</f>
        <v>98</v>
      </c>
      <c r="G63" s="191">
        <f t="shared" si="72"/>
        <v>115</v>
      </c>
      <c r="H63" s="191">
        <f t="shared" si="72"/>
        <v>0</v>
      </c>
      <c r="I63" s="192">
        <f t="shared" si="72"/>
        <v>0</v>
      </c>
    </row>
    <row r="64" spans="4:9" ht="17.25" thickBot="1">
      <c r="D64" s="169" t="str">
        <f t="shared" ref="D64" si="74">D28</f>
        <v>[D60270]  유동부채(계)</v>
      </c>
      <c r="E64" s="193">
        <f t="shared" ref="E64:I64" si="75">E28</f>
        <v>5650</v>
      </c>
      <c r="F64" s="193">
        <f t="shared" ref="F64" si="76">F28</f>
        <v>14916</v>
      </c>
      <c r="G64" s="193">
        <f t="shared" si="75"/>
        <v>20268</v>
      </c>
      <c r="H64" s="193">
        <f t="shared" si="75"/>
        <v>18446</v>
      </c>
      <c r="I64" s="194">
        <f t="shared" si="75"/>
        <v>18446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E38:O40" evalError="1" unlockedFormula="1"/>
    <ignoredError sqref="P38:P40 D48:I68 N42:S45" unlocked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S75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K14" sqref="K14"/>
    </sheetView>
  </sheetViews>
  <sheetFormatPr defaultColWidth="9" defaultRowHeight="16.5"/>
  <cols>
    <col min="1" max="2" width="9" style="2" hidden="1" customWidth="1"/>
    <col min="3" max="3" width="9" style="2"/>
    <col min="4" max="4" width="48.5" style="2" bestFit="1" customWidth="1"/>
    <col min="5" max="13" width="11.625" style="2" customWidth="1"/>
    <col min="14" max="16384" width="9" style="2"/>
  </cols>
  <sheetData>
    <row r="1" spans="1:19">
      <c r="A1" s="14">
        <f>ROW(C24)-ROW(C1)</f>
        <v>23</v>
      </c>
      <c r="C1" s="12" t="s">
        <v>17355</v>
      </c>
      <c r="D1" s="13" t="s">
        <v>17356</v>
      </c>
      <c r="E1" s="13" t="s">
        <v>16653</v>
      </c>
      <c r="F1" s="13" t="s">
        <v>16654</v>
      </c>
      <c r="G1" s="13" t="s">
        <v>16655</v>
      </c>
      <c r="H1" s="13" t="s">
        <v>16656</v>
      </c>
      <c r="I1" s="13" t="s">
        <v>16657</v>
      </c>
      <c r="J1" s="13" t="s">
        <v>16658</v>
      </c>
      <c r="K1" s="13" t="s">
        <v>17428</v>
      </c>
      <c r="M1" s="86" t="s">
        <v>16</v>
      </c>
    </row>
    <row r="2" spans="1:19">
      <c r="A2" s="2" t="s">
        <v>14</v>
      </c>
      <c r="B2" s="2" t="s">
        <v>16579</v>
      </c>
      <c r="C2" s="12" t="s">
        <v>17357</v>
      </c>
      <c r="D2" s="2" t="s">
        <v>7</v>
      </c>
      <c r="F2" s="378" t="str">
        <f>F22</f>
        <v>2024-12-31</v>
      </c>
      <c r="G2" s="378" t="str">
        <f t="shared" ref="G2:J2" si="0">G22</f>
        <v>2025-12-31</v>
      </c>
      <c r="H2" s="378" t="str">
        <f t="shared" si="0"/>
        <v>2026-12-31</v>
      </c>
      <c r="I2" s="378" t="str">
        <f t="shared" si="0"/>
        <v>2027-12-31</v>
      </c>
      <c r="J2" s="378" t="str">
        <f t="shared" si="0"/>
        <v>2028-12-31</v>
      </c>
      <c r="K2" s="31"/>
    </row>
    <row r="3" spans="1:19">
      <c r="A3" s="2" t="s">
        <v>14</v>
      </c>
      <c r="B3" s="2" t="s">
        <v>3</v>
      </c>
      <c r="C3" s="12" t="s">
        <v>17358</v>
      </c>
      <c r="D3" s="2" t="s">
        <v>8</v>
      </c>
      <c r="F3" s="27">
        <f ca="1">WACC!$E$35</f>
        <v>2.3916876559316353</v>
      </c>
      <c r="G3" s="27">
        <f ca="1">WACC!$E$35</f>
        <v>2.3916876559316353</v>
      </c>
      <c r="H3" s="27">
        <f ca="1">WACC!$E$35</f>
        <v>2.3916876559316353</v>
      </c>
      <c r="I3" s="27">
        <f ca="1">WACC!$E$35</f>
        <v>2.3916876559316353</v>
      </c>
      <c r="J3" s="27">
        <f ca="1">WACC!$E$35</f>
        <v>2.3916876559316353</v>
      </c>
      <c r="K3" s="27">
        <f ca="1">J3</f>
        <v>2.3916876559316353</v>
      </c>
    </row>
    <row r="4" spans="1:19">
      <c r="A4" s="2" t="s">
        <v>14</v>
      </c>
      <c r="B4" s="2" t="s">
        <v>3</v>
      </c>
      <c r="C4" s="12" t="s">
        <v>17359</v>
      </c>
      <c r="D4" s="2" t="s">
        <v>17360</v>
      </c>
      <c r="F4" s="44"/>
      <c r="G4" s="44"/>
      <c r="H4" s="44"/>
      <c r="I4" s="44"/>
      <c r="J4" s="44"/>
      <c r="M4" s="44">
        <f>영구g</f>
        <v>0</v>
      </c>
    </row>
    <row r="5" spans="1:19">
      <c r="A5" s="2" t="s">
        <v>14</v>
      </c>
      <c r="B5" s="2" t="s">
        <v>3</v>
      </c>
      <c r="C5" s="12" t="s">
        <v>683</v>
      </c>
      <c r="D5" s="2" t="s">
        <v>9</v>
      </c>
      <c r="F5" s="379">
        <f ca="1">1/(1+F3/100)^F24</f>
        <v>0.99311403013645894</v>
      </c>
      <c r="G5" s="379">
        <f t="shared" ref="G5:J5" ca="1" si="1">1/(1+G3/100)^G24</f>
        <v>0.97468859459915946</v>
      </c>
      <c r="H5" s="379">
        <f t="shared" ca="1" si="1"/>
        <v>0.95192160312311735</v>
      </c>
      <c r="I5" s="379">
        <f t="shared" ca="1" si="1"/>
        <v>0.92968640806260994</v>
      </c>
      <c r="J5" s="379">
        <f t="shared" ca="1" si="1"/>
        <v>0.90797058759950267</v>
      </c>
      <c r="K5" s="28">
        <f ca="1">J5</f>
        <v>0.90797058759950267</v>
      </c>
    </row>
    <row r="6" spans="1:19">
      <c r="A6" s="2" t="s">
        <v>14</v>
      </c>
      <c r="C6" s="12" t="s">
        <v>17361</v>
      </c>
      <c r="D6" s="13" t="s">
        <v>17362</v>
      </c>
      <c r="E6" s="13"/>
      <c r="F6" s="13"/>
      <c r="G6" s="13"/>
      <c r="H6" s="13"/>
      <c r="I6" s="13"/>
      <c r="J6" s="13"/>
      <c r="K6" s="13"/>
      <c r="O6"/>
      <c r="P6"/>
      <c r="Q6"/>
      <c r="R6"/>
      <c r="S6"/>
    </row>
    <row r="7" spans="1:19">
      <c r="A7" s="2" t="s">
        <v>14</v>
      </c>
      <c r="B7" s="2" t="s">
        <v>2</v>
      </c>
      <c r="C7" s="12" t="s">
        <v>17363</v>
      </c>
      <c r="D7" s="2" t="s">
        <v>17364</v>
      </c>
      <c r="E7" s="31"/>
      <c r="F7" s="265">
        <f>IS추정!J25</f>
        <v>5548</v>
      </c>
      <c r="G7" s="265">
        <f>IS추정!K25</f>
        <v>5568</v>
      </c>
      <c r="H7" s="265">
        <f>IS추정!L25</f>
        <v>5567</v>
      </c>
      <c r="I7" s="265">
        <f>IS추정!M25</f>
        <v>5538</v>
      </c>
      <c r="J7" s="265">
        <f>IS추정!N25</f>
        <v>5483</v>
      </c>
      <c r="K7" s="31"/>
      <c r="O7"/>
      <c r="P7"/>
      <c r="Q7"/>
      <c r="R7"/>
      <c r="S7"/>
    </row>
    <row r="8" spans="1:19">
      <c r="A8" s="2" t="s">
        <v>14</v>
      </c>
      <c r="B8" s="2" t="s">
        <v>2</v>
      </c>
      <c r="C8" s="12" t="s">
        <v>17365</v>
      </c>
      <c r="D8" s="2" t="s">
        <v>17366</v>
      </c>
      <c r="E8" s="31"/>
      <c r="F8" s="32"/>
      <c r="G8" s="32"/>
      <c r="H8" s="32"/>
      <c r="I8" s="32"/>
      <c r="J8" s="32"/>
      <c r="K8" s="31"/>
      <c r="O8"/>
      <c r="P8"/>
      <c r="Q8"/>
      <c r="R8"/>
      <c r="S8"/>
    </row>
    <row r="9" spans="1:19">
      <c r="A9" s="2" t="s">
        <v>14</v>
      </c>
      <c r="B9" s="2" t="s">
        <v>2</v>
      </c>
      <c r="C9" s="12" t="s">
        <v>17367</v>
      </c>
      <c r="D9" s="2" t="s">
        <v>17368</v>
      </c>
      <c r="E9" s="31"/>
      <c r="F9" s="32"/>
      <c r="G9" s="32"/>
      <c r="H9" s="32"/>
      <c r="I9" s="32"/>
      <c r="J9" s="32"/>
      <c r="K9" s="31"/>
      <c r="O9"/>
      <c r="P9"/>
      <c r="Q9"/>
      <c r="R9"/>
      <c r="S9"/>
    </row>
    <row r="10" spans="1:19">
      <c r="A10" s="2" t="s">
        <v>4</v>
      </c>
      <c r="B10" s="2" t="s">
        <v>3</v>
      </c>
      <c r="C10" s="12" t="s">
        <v>17369</v>
      </c>
      <c r="D10" s="8" t="s">
        <v>17370</v>
      </c>
      <c r="E10" s="31"/>
      <c r="F10" s="66">
        <f>IS추정!J33</f>
        <v>20.900000000000002</v>
      </c>
      <c r="G10" s="66">
        <f>IS추정!K33</f>
        <v>20.900000000000002</v>
      </c>
      <c r="H10" s="66">
        <f>IS추정!L33</f>
        <v>20.900000000000002</v>
      </c>
      <c r="I10" s="66">
        <f>IS추정!M33</f>
        <v>20.900000000000002</v>
      </c>
      <c r="J10" s="66">
        <f>IS추정!N33</f>
        <v>20.900000000000002</v>
      </c>
      <c r="K10" s="66">
        <f>+J10</f>
        <v>20.900000000000002</v>
      </c>
      <c r="O10"/>
      <c r="P10" s="645" t="str">
        <f>민감도!I11</f>
        <v>과세표준</v>
      </c>
      <c r="Q10" s="645" t="str">
        <f>민감도!J11</f>
        <v>세율(*)</v>
      </c>
      <c r="R10" s="645" t="str">
        <f>민감도!K11</f>
        <v>누진공제</v>
      </c>
      <c r="S10" s="645" t="str">
        <f>민감도!L11</f>
        <v>기준</v>
      </c>
    </row>
    <row r="11" spans="1:19">
      <c r="A11" s="2" t="s">
        <v>4</v>
      </c>
      <c r="B11" s="2" t="s">
        <v>2</v>
      </c>
      <c r="C11" s="12" t="s">
        <v>17371</v>
      </c>
      <c r="D11" s="8" t="s">
        <v>17372</v>
      </c>
      <c r="E11" s="31"/>
      <c r="F11" s="104">
        <f>IF(F7&lt;0,F7,+F7*(1-F10/100)+VLOOKUP(F7,법인세[],3))</f>
        <v>4410.4679999999998</v>
      </c>
      <c r="G11" s="104">
        <f>IF(G7&lt;0,G7,+G7*(1-G10/100)+VLOOKUP(G7,법인세[],3))</f>
        <v>4426.2879999999996</v>
      </c>
      <c r="H11" s="104">
        <f>IF(H7&lt;0,H7,+H7*(1-H10/100)+VLOOKUP(H7,법인세[],3))</f>
        <v>4425.4969999999994</v>
      </c>
      <c r="I11" s="104">
        <f>IF(I7&lt;0,I7,+I7*(1-I10/100)+VLOOKUP(I7,법인세[],3))</f>
        <v>4402.558</v>
      </c>
      <c r="J11" s="104">
        <f>IF(J7&lt;0,J7,+J7*(1-J10/100)+VLOOKUP(J7,법인세[],3))</f>
        <v>4359.0529999999999</v>
      </c>
      <c r="K11" s="104">
        <f>IF(J7&lt;0,J7,+J7*(1+영구g/100)*(1-K10/100)+VLOOKUP(J7,법인세[],3))</f>
        <v>4359.0529999999999</v>
      </c>
      <c r="O11"/>
      <c r="P11" s="646">
        <f>민감도!I12</f>
        <v>0</v>
      </c>
      <c r="Q11" s="647">
        <f>민감도!J12</f>
        <v>9.9</v>
      </c>
      <c r="R11" s="648">
        <f>민감도!K12</f>
        <v>0</v>
      </c>
      <c r="S11" s="649" t="str">
        <f>민감도!L12</f>
        <v>2억미만</v>
      </c>
    </row>
    <row r="12" spans="1:19">
      <c r="A12" s="2" t="s">
        <v>14</v>
      </c>
      <c r="B12" s="2" t="s">
        <v>2</v>
      </c>
      <c r="C12" s="12" t="s">
        <v>17373</v>
      </c>
      <c r="D12" s="2" t="s">
        <v>17374</v>
      </c>
      <c r="E12" s="24">
        <f>BS추정!I19</f>
        <v>8684</v>
      </c>
      <c r="F12" s="24">
        <f>BS추정!J19</f>
        <v>9188</v>
      </c>
      <c r="G12" s="24">
        <f>BS추정!K19</f>
        <v>9815</v>
      </c>
      <c r="H12" s="24">
        <f>BS추정!L19</f>
        <v>10595</v>
      </c>
      <c r="I12" s="24">
        <f>BS추정!M19</f>
        <v>11564</v>
      </c>
      <c r="J12" s="24">
        <f>BS추정!N19</f>
        <v>12769</v>
      </c>
      <c r="K12" s="31"/>
      <c r="P12" s="646">
        <f>민감도!I13</f>
        <v>200</v>
      </c>
      <c r="Q12" s="647">
        <f>민감도!J13</f>
        <v>20.900000000000002</v>
      </c>
      <c r="R12" s="646">
        <f>민감도!K13</f>
        <v>22</v>
      </c>
      <c r="S12" s="649" t="str">
        <f>민감도!L13</f>
        <v>2~200</v>
      </c>
    </row>
    <row r="13" spans="1:19">
      <c r="A13" s="2" t="s">
        <v>14</v>
      </c>
      <c r="B13" s="2" t="s">
        <v>2</v>
      </c>
      <c r="C13" s="12" t="s">
        <v>17375</v>
      </c>
      <c r="D13" s="2" t="s">
        <v>17376</v>
      </c>
      <c r="E13" s="24">
        <f>BS추정!I23</f>
        <v>1824</v>
      </c>
      <c r="F13" s="24">
        <f>BS추정!J23</f>
        <v>2150</v>
      </c>
      <c r="G13" s="24">
        <f>BS추정!K23</f>
        <v>2535</v>
      </c>
      <c r="H13" s="24">
        <f>BS추정!L23</f>
        <v>2989</v>
      </c>
      <c r="I13" s="24">
        <f>BS추정!M23</f>
        <v>3524</v>
      </c>
      <c r="J13" s="24">
        <f>BS추정!N23</f>
        <v>4156</v>
      </c>
      <c r="K13" s="31"/>
      <c r="P13" s="646">
        <f>민감도!I14</f>
        <v>20000</v>
      </c>
      <c r="Q13" s="647">
        <f>민감도!J14</f>
        <v>23.1</v>
      </c>
      <c r="R13" s="646">
        <f>민감도!K14</f>
        <v>462</v>
      </c>
      <c r="S13" s="649" t="str">
        <f>민감도!L14</f>
        <v>200~3000</v>
      </c>
    </row>
    <row r="14" spans="1:19">
      <c r="A14" s="2" t="s">
        <v>14</v>
      </c>
      <c r="B14" s="2" t="s">
        <v>2</v>
      </c>
      <c r="C14" s="12" t="s">
        <v>17377</v>
      </c>
      <c r="D14" s="2" t="s">
        <v>17378</v>
      </c>
      <c r="E14" s="32">
        <f>E12+E13</f>
        <v>10508</v>
      </c>
      <c r="F14" s="32">
        <f t="shared" ref="F14:J14" si="2">F12+F13</f>
        <v>11338</v>
      </c>
      <c r="G14" s="32">
        <f t="shared" si="2"/>
        <v>12350</v>
      </c>
      <c r="H14" s="32">
        <f t="shared" si="2"/>
        <v>13584</v>
      </c>
      <c r="I14" s="32">
        <f t="shared" si="2"/>
        <v>15088</v>
      </c>
      <c r="J14" s="32">
        <f t="shared" si="2"/>
        <v>16925</v>
      </c>
      <c r="K14" s="31"/>
      <c r="P14" s="646">
        <f>민감도!I15</f>
        <v>300000</v>
      </c>
      <c r="Q14" s="647">
        <f>민감도!J15</f>
        <v>26.400000000000002</v>
      </c>
      <c r="R14" s="646">
        <f>민감도!K15</f>
        <v>10362</v>
      </c>
      <c r="S14" s="649" t="str">
        <f>민감도!L15</f>
        <v>3000억초과</v>
      </c>
    </row>
    <row r="15" spans="1:19">
      <c r="A15" s="2" t="s">
        <v>4</v>
      </c>
      <c r="B15" s="2" t="s">
        <v>2</v>
      </c>
      <c r="C15" s="12" t="s">
        <v>17379</v>
      </c>
      <c r="D15" s="8" t="s">
        <v>17380</v>
      </c>
      <c r="E15" s="31"/>
      <c r="F15" s="104">
        <f t="shared" ref="F15:J15" si="3">F14-E14</f>
        <v>830</v>
      </c>
      <c r="G15" s="30">
        <f t="shared" si="3"/>
        <v>1012</v>
      </c>
      <c r="H15" s="30">
        <f t="shared" si="3"/>
        <v>1234</v>
      </c>
      <c r="I15" s="30">
        <f t="shared" si="3"/>
        <v>1504</v>
      </c>
      <c r="J15" s="30">
        <f t="shared" si="3"/>
        <v>1837</v>
      </c>
      <c r="K15" s="98"/>
      <c r="P15" s="204"/>
      <c r="Q15" s="650" t="s">
        <v>710</v>
      </c>
      <c r="R15" s="204"/>
      <c r="S15" s="204"/>
    </row>
    <row r="16" spans="1:19">
      <c r="A16" s="2" t="s">
        <v>14</v>
      </c>
      <c r="B16" s="2" t="s">
        <v>2</v>
      </c>
      <c r="C16" s="12" t="s">
        <v>684</v>
      </c>
      <c r="D16" s="2" t="s">
        <v>421</v>
      </c>
      <c r="E16" s="24">
        <f>NWC추정!I17</f>
        <v>9123.1159853456029</v>
      </c>
      <c r="F16" s="24">
        <f>NWC추정!J17</f>
        <v>9083</v>
      </c>
      <c r="G16" s="24">
        <f>NWC추정!K17</f>
        <v>9295</v>
      </c>
      <c r="H16" s="24">
        <f>NWC추정!L17</f>
        <v>9500</v>
      </c>
      <c r="I16" s="24">
        <f>NWC추정!M17</f>
        <v>9702</v>
      </c>
      <c r="J16" s="24">
        <f>NWC추정!N17</f>
        <v>9905</v>
      </c>
      <c r="K16" s="567">
        <f>IF(영구g=0,0,+J16*(1+영구g/100))</f>
        <v>0</v>
      </c>
    </row>
    <row r="17" spans="1:13">
      <c r="A17" s="2" t="s">
        <v>14</v>
      </c>
      <c r="B17" s="2" t="s">
        <v>2</v>
      </c>
      <c r="C17" s="12" t="s">
        <v>685</v>
      </c>
      <c r="D17" s="2" t="s">
        <v>427</v>
      </c>
      <c r="E17" s="24">
        <f>NWC추정!I21</f>
        <v>93.150454512919623</v>
      </c>
      <c r="F17" s="24">
        <f>NWC추정!J21</f>
        <v>92</v>
      </c>
      <c r="G17" s="24">
        <f>NWC추정!K21</f>
        <v>94</v>
      </c>
      <c r="H17" s="24">
        <f>NWC추정!L21</f>
        <v>96</v>
      </c>
      <c r="I17" s="24">
        <f>NWC추정!M21</f>
        <v>98</v>
      </c>
      <c r="J17" s="24">
        <f>NWC추정!N21</f>
        <v>100</v>
      </c>
      <c r="K17" s="567">
        <f>IF(영구g=0,0,+J17*(1+영구g/100))</f>
        <v>0</v>
      </c>
    </row>
    <row r="18" spans="1:13">
      <c r="A18" s="2" t="s">
        <v>14</v>
      </c>
      <c r="B18" s="2" t="s">
        <v>2</v>
      </c>
      <c r="C18" s="12" t="s">
        <v>686</v>
      </c>
      <c r="D18" s="2" t="s">
        <v>433</v>
      </c>
      <c r="E18" s="32">
        <f>E16-E17</f>
        <v>9029.9655308326837</v>
      </c>
      <c r="F18" s="32">
        <f t="shared" ref="F18:J18" si="4">F16-F17</f>
        <v>8991</v>
      </c>
      <c r="G18" s="32">
        <f t="shared" si="4"/>
        <v>9201</v>
      </c>
      <c r="H18" s="32">
        <f t="shared" si="4"/>
        <v>9404</v>
      </c>
      <c r="I18" s="32">
        <f t="shared" si="4"/>
        <v>9604</v>
      </c>
      <c r="J18" s="32">
        <f t="shared" si="4"/>
        <v>9805</v>
      </c>
      <c r="K18" s="567">
        <f>+K16-K17</f>
        <v>0</v>
      </c>
    </row>
    <row r="19" spans="1:13">
      <c r="A19" s="2" t="s">
        <v>4</v>
      </c>
      <c r="B19" s="2" t="s">
        <v>2</v>
      </c>
      <c r="C19" s="12" t="s">
        <v>687</v>
      </c>
      <c r="D19" s="8" t="s">
        <v>669</v>
      </c>
      <c r="E19" s="31"/>
      <c r="F19" s="104">
        <f t="shared" ref="F19:J19" si="5">F18-E18</f>
        <v>-38.965530832683726</v>
      </c>
      <c r="G19" s="30">
        <f t="shared" si="5"/>
        <v>210</v>
      </c>
      <c r="H19" s="30">
        <f t="shared" si="5"/>
        <v>203</v>
      </c>
      <c r="I19" s="30">
        <f t="shared" si="5"/>
        <v>200</v>
      </c>
      <c r="J19" s="30">
        <f t="shared" si="5"/>
        <v>201</v>
      </c>
      <c r="K19" s="568">
        <f>IF(영구g=0,0,(K18-J18))</f>
        <v>0</v>
      </c>
    </row>
    <row r="20" spans="1:13">
      <c r="A20" s="2" t="s">
        <v>4</v>
      </c>
      <c r="B20" s="2" t="s">
        <v>2</v>
      </c>
      <c r="C20" s="12" t="s">
        <v>17381</v>
      </c>
      <c r="D20" s="8" t="s">
        <v>10</v>
      </c>
      <c r="E20" s="31"/>
      <c r="F20" s="30">
        <f>F11-F15-F19</f>
        <v>3619.4335308326836</v>
      </c>
      <c r="G20" s="30">
        <f t="shared" ref="G20:J20" si="6">G11-G15-G19</f>
        <v>3204.2879999999996</v>
      </c>
      <c r="H20" s="30">
        <f t="shared" si="6"/>
        <v>2988.4969999999994</v>
      </c>
      <c r="I20" s="30">
        <f t="shared" si="6"/>
        <v>2698.558</v>
      </c>
      <c r="J20" s="30">
        <f t="shared" si="6"/>
        <v>2321.0529999999999</v>
      </c>
      <c r="K20" s="30">
        <f ca="1">(K11-K15-K19)/(K3/100-영구g/100)</f>
        <v>182258.45624904626</v>
      </c>
    </row>
    <row r="21" spans="1:13">
      <c r="A21" s="2" t="s">
        <v>4</v>
      </c>
      <c r="B21" s="2" t="s">
        <v>2</v>
      </c>
      <c r="C21" s="12" t="s">
        <v>17382</v>
      </c>
      <c r="D21" s="8" t="s">
        <v>11</v>
      </c>
      <c r="E21" s="31"/>
      <c r="F21" s="267">
        <f ca="1">F20*F5*F23</f>
        <v>2101.7081617811032</v>
      </c>
      <c r="G21" s="267">
        <f t="shared" ref="G21:J21" ca="1" si="7">G20*G5*G23</f>
        <v>3123.1829674109508</v>
      </c>
      <c r="H21" s="267">
        <f t="shared" ca="1" si="7"/>
        <v>2844.8148551686263</v>
      </c>
      <c r="I21" s="267">
        <f t="shared" ca="1" si="7"/>
        <v>2508.8126939686204</v>
      </c>
      <c r="J21" s="267">
        <f t="shared" ca="1" si="7"/>
        <v>2107.4478562595882</v>
      </c>
      <c r="K21" s="30">
        <f ca="1">K20*K5</f>
        <v>165485.31761542478</v>
      </c>
    </row>
    <row r="22" spans="1:13">
      <c r="A22" s="2" t="s">
        <v>14</v>
      </c>
      <c r="B22" s="204" t="s">
        <v>13</v>
      </c>
      <c r="C22" s="107" t="s">
        <v>17383</v>
      </c>
      <c r="E22" s="328" t="str">
        <f>MID(평가기준일,1,10)</f>
        <v>2024-05-31</v>
      </c>
      <c r="F22" s="328" t="str">
        <f>MID(F1,1,4)&amp;"-12-31"</f>
        <v>2024-12-31</v>
      </c>
      <c r="G22" s="328" t="str">
        <f t="shared" ref="G22:J22" si="8">MID(G1,1,4)&amp;"-12-31"</f>
        <v>2025-12-31</v>
      </c>
      <c r="H22" s="328" t="str">
        <f t="shared" si="8"/>
        <v>2026-12-31</v>
      </c>
      <c r="I22" s="328" t="str">
        <f t="shared" si="8"/>
        <v>2027-12-31</v>
      </c>
      <c r="J22" s="328" t="str">
        <f t="shared" si="8"/>
        <v>2028-12-31</v>
      </c>
    </row>
    <row r="23" spans="1:13">
      <c r="A23" s="2" t="s">
        <v>14</v>
      </c>
      <c r="B23" s="204" t="s">
        <v>13</v>
      </c>
      <c r="C23" s="107" t="s">
        <v>17384</v>
      </c>
      <c r="E23" s="204"/>
      <c r="F23" s="266">
        <f>YEARFRAC(E22,F22,1)</f>
        <v>0.58469945355191255</v>
      </c>
      <c r="G23" s="266">
        <f t="shared" ref="G23:J23" si="9">YEARFRAC(F22,G22,1)</f>
        <v>1</v>
      </c>
      <c r="H23" s="266">
        <f t="shared" si="9"/>
        <v>1</v>
      </c>
      <c r="I23" s="266">
        <f t="shared" si="9"/>
        <v>1</v>
      </c>
      <c r="J23" s="266">
        <f t="shared" si="9"/>
        <v>1</v>
      </c>
      <c r="K23" s="204"/>
      <c r="L23" s="204"/>
      <c r="M23" s="204"/>
    </row>
    <row r="24" spans="1:13">
      <c r="A24" s="2" t="s">
        <v>14</v>
      </c>
      <c r="B24" s="204" t="s">
        <v>2</v>
      </c>
      <c r="C24" s="107" t="s">
        <v>17385</v>
      </c>
      <c r="D24" s="2" t="s">
        <v>353</v>
      </c>
      <c r="F24" s="266">
        <f>F23/2</f>
        <v>0.29234972677595628</v>
      </c>
      <c r="G24" s="266">
        <f>F23+G23/2</f>
        <v>1.0846994535519126</v>
      </c>
      <c r="H24" s="266">
        <f>G24+H23</f>
        <v>2.0846994535519126</v>
      </c>
      <c r="I24" s="266">
        <f>H24+I23</f>
        <v>3.0846994535519126</v>
      </c>
      <c r="J24" s="266">
        <f>I24+J23</f>
        <v>4.084699453551913</v>
      </c>
      <c r="K24" s="204"/>
      <c r="L24" s="204"/>
      <c r="M24" s="204"/>
    </row>
    <row r="25" spans="1:13" s="204" customFormat="1">
      <c r="F25" s="266"/>
      <c r="G25" s="266"/>
      <c r="H25" s="266"/>
      <c r="I25" s="266"/>
      <c r="J25" s="266"/>
    </row>
    <row r="26" spans="1:13" s="204" customFormat="1">
      <c r="F26" s="266"/>
      <c r="G26" s="266"/>
      <c r="H26" s="266"/>
      <c r="I26" s="266"/>
      <c r="J26" s="266"/>
    </row>
    <row r="27" spans="1:13" s="204" customFormat="1">
      <c r="F27" s="266"/>
      <c r="G27" s="266"/>
      <c r="H27" s="266"/>
      <c r="I27" s="266"/>
      <c r="J27" s="266"/>
    </row>
    <row r="28" spans="1:13">
      <c r="A28" s="14">
        <f>ROW(C48)-ROW(C28)</f>
        <v>20</v>
      </c>
      <c r="C28" s="12" t="s">
        <v>17386</v>
      </c>
      <c r="D28" s="12" t="s">
        <v>17387</v>
      </c>
      <c r="E28" s="12" t="s">
        <v>16611</v>
      </c>
      <c r="G28" s="114" t="s">
        <v>37</v>
      </c>
      <c r="H28" s="114" t="s">
        <v>38</v>
      </c>
      <c r="K28" s="204"/>
      <c r="L28" s="204"/>
      <c r="M28" s="204"/>
    </row>
    <row r="29" spans="1:13">
      <c r="A29" s="2" t="s">
        <v>14</v>
      </c>
      <c r="B29" s="2" t="s">
        <v>2</v>
      </c>
      <c r="C29" s="12" t="s">
        <v>17388</v>
      </c>
      <c r="D29" s="2" t="s">
        <v>17389</v>
      </c>
      <c r="E29" s="31"/>
      <c r="G29" s="208">
        <f>E29-H29</f>
        <v>0</v>
      </c>
      <c r="H29" s="102"/>
      <c r="K29" s="204"/>
      <c r="L29" s="204"/>
      <c r="M29" s="204"/>
    </row>
    <row r="30" spans="1:13">
      <c r="A30" s="2" t="s">
        <v>14</v>
      </c>
      <c r="B30" s="2" t="s">
        <v>2</v>
      </c>
      <c r="C30" s="12" t="s">
        <v>17390</v>
      </c>
      <c r="D30" s="2" t="s">
        <v>17391</v>
      </c>
      <c r="E30" s="31">
        <v>516</v>
      </c>
      <c r="G30" s="208">
        <f t="shared" ref="G30:G48" si="10">E30-H30</f>
        <v>516</v>
      </c>
      <c r="H30" s="102"/>
      <c r="K30" s="204"/>
      <c r="L30" s="204"/>
      <c r="M30" s="204"/>
    </row>
    <row r="31" spans="1:13">
      <c r="A31" s="2" t="s">
        <v>14</v>
      </c>
      <c r="B31" s="2" t="s">
        <v>2</v>
      </c>
      <c r="C31" s="12" t="s">
        <v>17392</v>
      </c>
      <c r="D31" s="2" t="s">
        <v>17393</v>
      </c>
      <c r="E31" s="31"/>
      <c r="G31" s="208">
        <f t="shared" si="10"/>
        <v>0</v>
      </c>
      <c r="H31" s="102"/>
      <c r="K31" s="204"/>
      <c r="L31" s="204"/>
      <c r="M31" s="204"/>
    </row>
    <row r="32" spans="1:13">
      <c r="A32" s="2" t="s">
        <v>14</v>
      </c>
      <c r="B32" s="2" t="s">
        <v>2</v>
      </c>
      <c r="C32" s="12" t="s">
        <v>17394</v>
      </c>
      <c r="D32" s="2" t="s">
        <v>17395</v>
      </c>
      <c r="E32" s="31"/>
      <c r="G32" s="208">
        <f t="shared" si="10"/>
        <v>0</v>
      </c>
      <c r="H32" s="102"/>
      <c r="K32" s="204"/>
      <c r="L32" s="204"/>
      <c r="M32" s="204"/>
    </row>
    <row r="33" spans="1:13">
      <c r="A33" s="2" t="s">
        <v>14</v>
      </c>
      <c r="B33" s="2" t="s">
        <v>2</v>
      </c>
      <c r="C33" s="12" t="s">
        <v>17396</v>
      </c>
      <c r="D33" s="2" t="s">
        <v>17397</v>
      </c>
      <c r="E33" s="31"/>
      <c r="G33" s="208">
        <f t="shared" si="10"/>
        <v>0</v>
      </c>
      <c r="H33" s="102"/>
      <c r="K33" s="204"/>
      <c r="L33" s="204"/>
      <c r="M33" s="204"/>
    </row>
    <row r="34" spans="1:13">
      <c r="A34" s="2" t="s">
        <v>14</v>
      </c>
      <c r="B34" s="2" t="s">
        <v>2</v>
      </c>
      <c r="C34" s="12" t="s">
        <v>17398</v>
      </c>
      <c r="D34" s="2" t="s">
        <v>17399</v>
      </c>
      <c r="E34" s="31"/>
      <c r="G34" s="208">
        <f t="shared" si="10"/>
        <v>0</v>
      </c>
      <c r="H34" s="102"/>
      <c r="K34" s="204"/>
      <c r="L34" s="204"/>
      <c r="M34" s="204"/>
    </row>
    <row r="35" spans="1:13">
      <c r="A35" s="2" t="s">
        <v>14</v>
      </c>
      <c r="B35" s="2" t="s">
        <v>2</v>
      </c>
      <c r="C35" s="12" t="s">
        <v>17400</v>
      </c>
      <c r="D35" s="2" t="s">
        <v>17401</v>
      </c>
      <c r="E35" s="31"/>
      <c r="G35" s="208">
        <f t="shared" si="10"/>
        <v>0</v>
      </c>
      <c r="H35" s="102"/>
      <c r="K35" s="204"/>
      <c r="L35" s="204"/>
      <c r="M35" s="204"/>
    </row>
    <row r="36" spans="1:13">
      <c r="A36" s="2" t="s">
        <v>14</v>
      </c>
      <c r="B36" s="204" t="s">
        <v>2</v>
      </c>
      <c r="C36" s="12" t="s">
        <v>17402</v>
      </c>
      <c r="D36" s="3" t="s">
        <v>17403</v>
      </c>
      <c r="E36" s="18"/>
      <c r="G36" s="208">
        <f t="shared" si="10"/>
        <v>0</v>
      </c>
      <c r="H36" s="101"/>
      <c r="K36" s="204"/>
      <c r="L36" s="204"/>
      <c r="M36" s="204"/>
    </row>
    <row r="37" spans="1:13">
      <c r="A37" s="2" t="s">
        <v>4</v>
      </c>
      <c r="B37" s="2" t="s">
        <v>2</v>
      </c>
      <c r="C37" s="12" t="s">
        <v>17404</v>
      </c>
      <c r="D37" s="8" t="s">
        <v>17405</v>
      </c>
      <c r="E37" s="30">
        <f>SUM(E29:E36)</f>
        <v>516</v>
      </c>
      <c r="G37" s="208">
        <f t="shared" si="10"/>
        <v>516</v>
      </c>
      <c r="H37" s="89">
        <f>SUM(H29:H36)</f>
        <v>0</v>
      </c>
      <c r="K37" s="204"/>
      <c r="L37" s="204"/>
      <c r="M37" s="204"/>
    </row>
    <row r="38" spans="1:13">
      <c r="A38" s="2" t="s">
        <v>14</v>
      </c>
      <c r="B38" s="2" t="s">
        <v>2</v>
      </c>
      <c r="C38" s="12" t="s">
        <v>17406</v>
      </c>
      <c r="D38" s="2" t="s">
        <v>17407</v>
      </c>
      <c r="E38" s="31">
        <v>17502</v>
      </c>
      <c r="G38" s="208">
        <f t="shared" si="10"/>
        <v>17502</v>
      </c>
      <c r="H38" s="102"/>
      <c r="K38" s="204"/>
      <c r="L38" s="204"/>
      <c r="M38" s="204"/>
    </row>
    <row r="39" spans="1:13">
      <c r="A39" s="2" t="s">
        <v>14</v>
      </c>
      <c r="B39" s="2" t="s">
        <v>2</v>
      </c>
      <c r="C39" s="12" t="s">
        <v>17408</v>
      </c>
      <c r="D39" s="2" t="s">
        <v>17409</v>
      </c>
      <c r="E39" s="31"/>
      <c r="G39" s="208">
        <f t="shared" si="10"/>
        <v>0</v>
      </c>
      <c r="H39" s="102"/>
    </row>
    <row r="40" spans="1:13">
      <c r="A40" s="2" t="s">
        <v>14</v>
      </c>
      <c r="B40" s="2" t="s">
        <v>2</v>
      </c>
      <c r="C40" s="12" t="s">
        <v>17410</v>
      </c>
      <c r="D40" s="2" t="s">
        <v>17411</v>
      </c>
      <c r="E40" s="31"/>
      <c r="G40" s="208">
        <f t="shared" si="10"/>
        <v>0</v>
      </c>
      <c r="H40" s="102"/>
      <c r="K40" s="203"/>
    </row>
    <row r="41" spans="1:13">
      <c r="A41" s="2" t="s">
        <v>14</v>
      </c>
      <c r="B41" s="2" t="s">
        <v>2</v>
      </c>
      <c r="C41" s="12" t="s">
        <v>17412</v>
      </c>
      <c r="D41" s="2" t="s">
        <v>17413</v>
      </c>
      <c r="E41" s="31"/>
      <c r="G41" s="208">
        <f t="shared" si="10"/>
        <v>0</v>
      </c>
      <c r="H41" s="102"/>
    </row>
    <row r="42" spans="1:13">
      <c r="A42" s="2" t="s">
        <v>14</v>
      </c>
      <c r="B42" s="2" t="s">
        <v>3</v>
      </c>
      <c r="C42" s="12" t="s">
        <v>17414</v>
      </c>
      <c r="D42" s="2" t="s">
        <v>17415</v>
      </c>
      <c r="E42" s="31"/>
      <c r="G42" s="208">
        <f t="shared" si="10"/>
        <v>0</v>
      </c>
      <c r="H42" s="102"/>
      <c r="K42" s="205" t="s">
        <v>79</v>
      </c>
      <c r="L42" s="204"/>
    </row>
    <row r="43" spans="1:13">
      <c r="A43" s="2" t="s">
        <v>14</v>
      </c>
      <c r="B43" s="2" t="s">
        <v>13</v>
      </c>
      <c r="C43" s="12" t="s">
        <v>17416</v>
      </c>
      <c r="D43" s="3" t="s">
        <v>17417</v>
      </c>
      <c r="E43" s="18"/>
      <c r="G43" s="208">
        <f t="shared" si="10"/>
        <v>0</v>
      </c>
      <c r="H43" s="101"/>
      <c r="K43" s="207" t="s">
        <v>80</v>
      </c>
      <c r="L43" s="207" t="s">
        <v>81</v>
      </c>
    </row>
    <row r="44" spans="1:13">
      <c r="A44" s="2" t="s">
        <v>14</v>
      </c>
      <c r="B44" s="2" t="s">
        <v>2</v>
      </c>
      <c r="C44" s="12" t="s">
        <v>17418</v>
      </c>
      <c r="D44" s="60" t="s">
        <v>17419</v>
      </c>
      <c r="E44" s="31">
        <v>5184</v>
      </c>
      <c r="G44" s="208">
        <f t="shared" si="10"/>
        <v>5184</v>
      </c>
      <c r="H44" s="102"/>
      <c r="K44" s="222"/>
      <c r="L44" s="206"/>
    </row>
    <row r="45" spans="1:13">
      <c r="A45" s="2" t="s">
        <v>4</v>
      </c>
      <c r="B45" s="2" t="s">
        <v>2</v>
      </c>
      <c r="C45" s="12" t="s">
        <v>17420</v>
      </c>
      <c r="D45" s="8" t="s">
        <v>17421</v>
      </c>
      <c r="E45" s="30">
        <f>E38+E39+E40+E41+E42+E43-E44</f>
        <v>12318</v>
      </c>
      <c r="G45" s="208">
        <f t="shared" si="10"/>
        <v>12318</v>
      </c>
      <c r="H45" s="104">
        <f>H38+H39+H40+H41+H42+H43-H44</f>
        <v>0</v>
      </c>
      <c r="K45" s="222"/>
      <c r="L45" s="206"/>
    </row>
    <row r="46" spans="1:13">
      <c r="A46" s="2" t="s">
        <v>14</v>
      </c>
      <c r="B46" s="2" t="s">
        <v>2</v>
      </c>
      <c r="C46" s="12" t="s">
        <v>17422</v>
      </c>
      <c r="D46" s="2" t="s">
        <v>17423</v>
      </c>
      <c r="E46" s="31">
        <v>56</v>
      </c>
      <c r="G46" s="208">
        <f t="shared" si="10"/>
        <v>56</v>
      </c>
      <c r="H46" s="102"/>
      <c r="K46" s="222"/>
      <c r="L46" s="206"/>
    </row>
    <row r="47" spans="1:13">
      <c r="A47" s="2" t="s">
        <v>14</v>
      </c>
      <c r="B47" s="2" t="s">
        <v>2</v>
      </c>
      <c r="C47" s="12" t="s">
        <v>17424</v>
      </c>
      <c r="D47" s="60" t="s">
        <v>17425</v>
      </c>
      <c r="G47" s="208">
        <f t="shared" si="10"/>
        <v>0</v>
      </c>
      <c r="H47" s="99"/>
      <c r="K47" s="222"/>
      <c r="L47" s="206"/>
    </row>
    <row r="48" spans="1:13">
      <c r="A48" s="2" t="s">
        <v>4</v>
      </c>
      <c r="B48" s="2" t="s">
        <v>2</v>
      </c>
      <c r="C48" s="12" t="s">
        <v>17426</v>
      </c>
      <c r="D48" s="8" t="s">
        <v>17427</v>
      </c>
      <c r="E48" s="30">
        <f>E46+E47</f>
        <v>56</v>
      </c>
      <c r="G48" s="208">
        <f t="shared" si="10"/>
        <v>56</v>
      </c>
      <c r="H48" s="104">
        <f>H46+H47</f>
        <v>0</v>
      </c>
      <c r="K48" s="222"/>
      <c r="L48" s="206"/>
    </row>
    <row r="49" spans="1:11">
      <c r="G49" s="209"/>
      <c r="H49" s="99"/>
    </row>
    <row r="50" spans="1:11">
      <c r="G50" s="209"/>
      <c r="H50" s="99"/>
    </row>
    <row r="51" spans="1:11">
      <c r="C51" s="3"/>
      <c r="D51" s="3"/>
      <c r="E51" s="3"/>
      <c r="G51" s="209"/>
      <c r="H51" s="100"/>
    </row>
    <row r="52" spans="1:11">
      <c r="A52" s="14">
        <f>ROW(C61)-ROW(C52)</f>
        <v>9</v>
      </c>
      <c r="C52" s="12" t="s">
        <v>17429</v>
      </c>
      <c r="D52" s="12" t="s">
        <v>17430</v>
      </c>
      <c r="E52" s="12" t="s">
        <v>15</v>
      </c>
      <c r="G52" s="209"/>
      <c r="H52" s="107" t="s">
        <v>15</v>
      </c>
    </row>
    <row r="53" spans="1:11">
      <c r="A53" s="2" t="s">
        <v>14</v>
      </c>
      <c r="B53" s="2" t="s">
        <v>2</v>
      </c>
      <c r="C53" s="12" t="s">
        <v>17431</v>
      </c>
      <c r="D53" s="2" t="s">
        <v>17432</v>
      </c>
      <c r="E53" s="32">
        <f ca="1">F21+G21+H21+I21+J21+K21</f>
        <v>178171.28415001367</v>
      </c>
      <c r="F53" s="233"/>
      <c r="G53" s="208">
        <f ca="1">E53-H53</f>
        <v>178171.28415001367</v>
      </c>
      <c r="H53" s="108"/>
      <c r="I53" s="233"/>
      <c r="J53" s="233"/>
      <c r="K53" s="226"/>
    </row>
    <row r="54" spans="1:11">
      <c r="A54" s="2" t="s">
        <v>14</v>
      </c>
      <c r="B54" s="2" t="s">
        <v>2</v>
      </c>
      <c r="C54" s="12" t="s">
        <v>17433</v>
      </c>
      <c r="D54" s="2" t="s">
        <v>17434</v>
      </c>
      <c r="E54" s="24">
        <f>E37</f>
        <v>516</v>
      </c>
      <c r="F54" s="233"/>
      <c r="G54" s="208">
        <f>E54-H54</f>
        <v>516</v>
      </c>
      <c r="H54" s="103">
        <f>H37</f>
        <v>0</v>
      </c>
      <c r="I54" s="233"/>
      <c r="J54" s="233"/>
      <c r="K54" s="226"/>
    </row>
    <row r="55" spans="1:11">
      <c r="A55" s="2" t="s">
        <v>14</v>
      </c>
      <c r="B55" s="2" t="s">
        <v>2</v>
      </c>
      <c r="C55" s="12" t="s">
        <v>17435</v>
      </c>
      <c r="D55" s="2" t="s">
        <v>17436</v>
      </c>
      <c r="E55" s="32">
        <f ca="1">E53+E54</f>
        <v>178687.28415001367</v>
      </c>
      <c r="F55" s="233"/>
      <c r="G55" s="208">
        <f ca="1">E55-H55</f>
        <v>178687.28415001367</v>
      </c>
      <c r="H55" s="105">
        <f>H53+H54</f>
        <v>0</v>
      </c>
      <c r="I55" s="233"/>
      <c r="J55" s="233"/>
      <c r="K55" s="226"/>
    </row>
    <row r="56" spans="1:11">
      <c r="A56" s="2" t="s">
        <v>14</v>
      </c>
      <c r="B56" s="2" t="s">
        <v>2</v>
      </c>
      <c r="C56" s="12" t="s">
        <v>17437</v>
      </c>
      <c r="D56" s="2" t="s">
        <v>17438</v>
      </c>
      <c r="E56" s="24">
        <f>E45</f>
        <v>12318</v>
      </c>
      <c r="F56" s="233"/>
      <c r="G56" s="208">
        <f>-(E56-H56)</f>
        <v>-12318</v>
      </c>
      <c r="H56" s="103">
        <f>H45</f>
        <v>0</v>
      </c>
      <c r="I56" s="233"/>
      <c r="J56" s="233"/>
    </row>
    <row r="57" spans="1:11">
      <c r="A57" s="2" t="s">
        <v>14</v>
      </c>
      <c r="B57" s="2" t="s">
        <v>2</v>
      </c>
      <c r="C57" s="12" t="s">
        <v>17439</v>
      </c>
      <c r="D57" s="60" t="s">
        <v>17440</v>
      </c>
      <c r="E57" s="24">
        <f>E48</f>
        <v>56</v>
      </c>
      <c r="F57" s="233"/>
      <c r="G57" s="208">
        <f>-(E57-H57)</f>
        <v>-56</v>
      </c>
      <c r="H57" s="103">
        <f>H48</f>
        <v>0</v>
      </c>
      <c r="I57" s="233"/>
      <c r="J57" s="233"/>
    </row>
    <row r="58" spans="1:11">
      <c r="A58" s="2" t="s">
        <v>4</v>
      </c>
      <c r="B58" s="2" t="s">
        <v>2</v>
      </c>
      <c r="C58" s="12" t="s">
        <v>17441</v>
      </c>
      <c r="D58" s="8" t="s">
        <v>17442</v>
      </c>
      <c r="E58" s="30">
        <f ca="1">E55-E56-E57</f>
        <v>166313.28415001367</v>
      </c>
      <c r="F58" s="233"/>
      <c r="G58" s="208">
        <f ca="1">E58-H58</f>
        <v>166313.28415001367</v>
      </c>
      <c r="H58" s="104">
        <f>H55-H56-H57</f>
        <v>0</v>
      </c>
      <c r="I58" s="233"/>
      <c r="J58" s="233"/>
      <c r="K58" s="226"/>
    </row>
    <row r="59" spans="1:11">
      <c r="A59" s="2" t="s">
        <v>14</v>
      </c>
      <c r="B59" s="2" t="s">
        <v>2</v>
      </c>
      <c r="C59" s="12" t="s">
        <v>17443</v>
      </c>
      <c r="D59" s="60" t="s">
        <v>17444</v>
      </c>
      <c r="E59" s="24">
        <f>WACC!E18</f>
        <v>10780</v>
      </c>
      <c r="F59" s="81"/>
      <c r="G59" s="208">
        <f>E59-H59</f>
        <v>10780</v>
      </c>
      <c r="H59" s="57"/>
    </row>
    <row r="60" spans="1:11">
      <c r="A60" s="2" t="s">
        <v>4</v>
      </c>
      <c r="B60" s="2" t="s">
        <v>2</v>
      </c>
      <c r="C60" s="12" t="s">
        <v>17445</v>
      </c>
      <c r="D60" s="8" t="s">
        <v>17446</v>
      </c>
      <c r="E60" s="45">
        <f ca="1">E58*1000000/E59</f>
        <v>15427948.43692149</v>
      </c>
      <c r="F60" s="344" t="e">
        <f ca="1">E60/H60-1</f>
        <v>#DIV/0!</v>
      </c>
      <c r="G60" s="208" t="e">
        <f ca="1">E60-H60</f>
        <v>#DIV/0!</v>
      </c>
      <c r="H60" s="106" t="e">
        <f>H58*1000000/H59</f>
        <v>#DIV/0!</v>
      </c>
    </row>
    <row r="61" spans="1:11">
      <c r="A61" s="2" t="s">
        <v>14</v>
      </c>
      <c r="B61" s="2" t="s">
        <v>2</v>
      </c>
      <c r="C61" s="12" t="s">
        <v>17447</v>
      </c>
      <c r="D61" s="2" t="s">
        <v>17448</v>
      </c>
      <c r="E61" s="24">
        <f>WACC!E38</f>
        <v>1358256.0296846011</v>
      </c>
      <c r="F61" s="343" t="e">
        <f>E61/H61-1</f>
        <v>#DIV/0!</v>
      </c>
      <c r="G61" s="208">
        <f>E61-H61</f>
        <v>1358256.0296846011</v>
      </c>
      <c r="H61" s="57"/>
    </row>
    <row r="64" spans="1:11" ht="17.25" thickBot="1"/>
    <row r="65" spans="4:9">
      <c r="D65" s="171"/>
      <c r="E65" s="172"/>
      <c r="F65" s="172"/>
      <c r="G65" s="172"/>
      <c r="H65" s="172"/>
      <c r="I65" s="173"/>
    </row>
    <row r="66" spans="4:9">
      <c r="D66" s="174" t="s">
        <v>39</v>
      </c>
      <c r="E66" s="170"/>
      <c r="F66" s="170"/>
      <c r="G66" s="170"/>
      <c r="H66" s="170"/>
      <c r="I66" s="175"/>
    </row>
    <row r="67" spans="4:9">
      <c r="D67" s="174" t="s">
        <v>40</v>
      </c>
      <c r="E67" s="170"/>
      <c r="F67" s="170"/>
      <c r="G67" s="170"/>
      <c r="H67" s="170"/>
      <c r="I67" s="175"/>
    </row>
    <row r="68" spans="4:9">
      <c r="D68" s="174" t="s">
        <v>41</v>
      </c>
      <c r="E68" s="170"/>
      <c r="F68" s="170"/>
      <c r="G68" s="170"/>
      <c r="H68" s="170"/>
      <c r="I68" s="175"/>
    </row>
    <row r="69" spans="4:9">
      <c r="D69" s="174" t="s">
        <v>42</v>
      </c>
      <c r="E69" s="170"/>
      <c r="F69" s="170"/>
      <c r="G69" s="170"/>
      <c r="H69" s="170"/>
      <c r="I69" s="175"/>
    </row>
    <row r="70" spans="4:9">
      <c r="D70" s="174" t="s">
        <v>43</v>
      </c>
      <c r="E70" s="170"/>
      <c r="F70" s="170"/>
      <c r="G70" s="170"/>
      <c r="H70" s="170"/>
      <c r="I70" s="175"/>
    </row>
    <row r="71" spans="4:9">
      <c r="D71" s="174" t="s">
        <v>44</v>
      </c>
      <c r="E71" s="170"/>
      <c r="F71" s="170"/>
      <c r="G71" s="170"/>
      <c r="H71" s="170"/>
      <c r="I71" s="175"/>
    </row>
    <row r="72" spans="4:9">
      <c r="D72" s="174" t="s">
        <v>45</v>
      </c>
      <c r="E72" s="170"/>
      <c r="F72" s="170"/>
      <c r="G72" s="170"/>
      <c r="H72" s="170"/>
      <c r="I72" s="175"/>
    </row>
    <row r="73" spans="4:9">
      <c r="D73" s="174" t="s">
        <v>46</v>
      </c>
      <c r="E73" s="170"/>
      <c r="F73" s="170"/>
      <c r="G73" s="170"/>
      <c r="H73" s="170"/>
      <c r="I73" s="175"/>
    </row>
    <row r="74" spans="4:9">
      <c r="D74" s="174" t="s">
        <v>47</v>
      </c>
      <c r="E74" s="170"/>
      <c r="F74" s="170"/>
      <c r="G74" s="170"/>
      <c r="H74" s="170"/>
      <c r="I74" s="175"/>
    </row>
    <row r="75" spans="4:9" ht="17.25" thickBot="1">
      <c r="D75" s="176" t="s">
        <v>48</v>
      </c>
      <c r="E75" s="177"/>
      <c r="F75" s="177"/>
      <c r="G75" s="177"/>
      <c r="H75" s="177"/>
      <c r="I75" s="178"/>
    </row>
  </sheetData>
  <sheetProtection selectLockedCells="1"/>
  <phoneticPr fontId="3" type="noConversion"/>
  <pageMargins left="0.7" right="0.7" top="0.75" bottom="0.75" header="0.3" footer="0.3"/>
  <pageSetup paperSize="9" orientation="portrait" horizontalDpi="1200" verticalDpi="1200" r:id="rId1"/>
  <ignoredErrors>
    <ignoredError sqref="K5 F3:K3 E12:J12 E13:J13 E14:J14 G15:J15 G54 G56:G61 G29:G48 E24 E23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4" name="Spinner 2">
              <controlPr defaultSize="0" autoPict="0">
                <anchor>
                  <from>
                    <xdr:col>13</xdr:col>
                    <xdr:colOff>28575</xdr:colOff>
                    <xdr:row>3</xdr:row>
                    <xdr:rowOff>0</xdr:rowOff>
                  </from>
                  <to>
                    <xdr:col>13</xdr:col>
                    <xdr:colOff>238125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46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8" sqref="J18"/>
    </sheetView>
  </sheetViews>
  <sheetFormatPr defaultColWidth="9" defaultRowHeight="16.5"/>
  <cols>
    <col min="1" max="2" width="9" style="2" hidden="1" customWidth="1"/>
    <col min="3" max="3" width="9" style="2"/>
    <col min="4" max="4" width="38.25" style="2" customWidth="1"/>
    <col min="5" max="18" width="10.625" style="2" customWidth="1"/>
    <col min="19" max="16384" width="9" style="2"/>
  </cols>
  <sheetData>
    <row r="1" spans="1:15">
      <c r="A1" s="107">
        <v>2</v>
      </c>
      <c r="B1" s="12"/>
      <c r="C1" s="12" t="s">
        <v>17449</v>
      </c>
      <c r="D1" s="12" t="s">
        <v>17450</v>
      </c>
      <c r="E1" s="12" t="s">
        <v>17455</v>
      </c>
      <c r="F1" s="12" t="s">
        <v>17456</v>
      </c>
      <c r="G1" s="12" t="s">
        <v>16376</v>
      </c>
      <c r="H1" s="12" t="s">
        <v>16378</v>
      </c>
      <c r="I1" s="12" t="s">
        <v>16380</v>
      </c>
      <c r="J1" s="12" t="s">
        <v>16382</v>
      </c>
      <c r="K1" s="12" t="s">
        <v>16674</v>
      </c>
      <c r="L1" s="438"/>
      <c r="O1" s="381"/>
    </row>
    <row r="2" spans="1:15">
      <c r="A2" s="12" t="s">
        <v>14</v>
      </c>
      <c r="B2" s="12" t="s">
        <v>13</v>
      </c>
      <c r="C2" s="12" t="s">
        <v>17451</v>
      </c>
      <c r="D2" s="2" t="s">
        <v>17452</v>
      </c>
      <c r="E2" s="2">
        <v>21525</v>
      </c>
      <c r="F2" s="2">
        <v>16675</v>
      </c>
      <c r="G2" s="2">
        <v>21340</v>
      </c>
      <c r="H2" s="2">
        <v>24270</v>
      </c>
      <c r="I2" s="2">
        <v>38252</v>
      </c>
      <c r="J2" s="2">
        <v>37634</v>
      </c>
      <c r="K2" s="51">
        <f>IF(TRIM($E$2)&lt;&gt;"",(($J$2/$E$2)^(1/5)-1)*100,(IF(TRIM($F$2)&lt;&gt;"",(($J$2/$F$2)^(1/4)-1)*100,(($J$2/$G$2)^(1/3)-1)*100)))</f>
        <v>11.822048533357288</v>
      </c>
      <c r="L2" s="51"/>
      <c r="M2" s="51"/>
      <c r="N2" s="51"/>
    </row>
    <row r="3" spans="1:15">
      <c r="A3" s="12" t="s">
        <v>14</v>
      </c>
      <c r="B3" s="12" t="s">
        <v>16266</v>
      </c>
      <c r="C3" s="12" t="s">
        <v>17453</v>
      </c>
      <c r="D3" s="2" t="s">
        <v>17454</v>
      </c>
      <c r="K3" s="51">
        <f>IF(TRIM($F$3)&lt;&gt;"",$L$3,(IF(TRIM($G$3)&lt;&gt;"",$M$3,$N$3)))</f>
        <v>0</v>
      </c>
      <c r="L3" s="52">
        <f>(((1+$F$3/100)*(1+$G$3/100)*(1+$H$3/100)*(1+$I$3/100)*(1+$J$3/100))^(1/5)-1)*100</f>
        <v>0</v>
      </c>
      <c r="M3" s="52">
        <f>(((1+$G$3/100)*(1+$H$3/100)*(1+$I$3/100)*(1+$J$3/100))^(1/4)-1)*100</f>
        <v>0</v>
      </c>
      <c r="N3" s="52">
        <f>(((1+$H$3/100)*(1+$I$3/100)*(1+$J$3/100))^(1/3)-1)*100</f>
        <v>0</v>
      </c>
    </row>
    <row r="6" spans="1:15">
      <c r="E6" s="253" t="str">
        <f>MID(E7,1,8)</f>
        <v>20241231</v>
      </c>
      <c r="F6" s="253" t="str">
        <f t="shared" ref="F6:J6" si="0">MID(F7,1,8)</f>
        <v>20251231</v>
      </c>
      <c r="G6" s="253" t="str">
        <f t="shared" si="0"/>
        <v>20261231</v>
      </c>
      <c r="H6" s="253" t="str">
        <f t="shared" si="0"/>
        <v>20271231</v>
      </c>
      <c r="I6" s="253" t="str">
        <f t="shared" si="0"/>
        <v>20281231</v>
      </c>
      <c r="J6" s="253" t="str">
        <f t="shared" si="0"/>
        <v>20291231</v>
      </c>
      <c r="K6"/>
      <c r="M6" s="56" t="s">
        <v>0</v>
      </c>
      <c r="O6" s="329" t="s">
        <v>188</v>
      </c>
    </row>
    <row r="7" spans="1:15">
      <c r="A7" s="107">
        <v>2</v>
      </c>
      <c r="B7" s="12"/>
      <c r="C7" s="12" t="s">
        <v>17457</v>
      </c>
      <c r="D7" s="12" t="s">
        <v>17458</v>
      </c>
      <c r="E7" s="12" t="s">
        <v>17464</v>
      </c>
      <c r="F7" s="12" t="s">
        <v>17465</v>
      </c>
      <c r="G7" s="12" t="s">
        <v>17466</v>
      </c>
      <c r="H7" s="12" t="s">
        <v>17467</v>
      </c>
      <c r="I7" s="12" t="s">
        <v>17468</v>
      </c>
      <c r="J7" s="107" t="s">
        <v>17469</v>
      </c>
      <c r="K7"/>
      <c r="L7" s="436" t="s">
        <v>452</v>
      </c>
      <c r="M7" s="57">
        <f ca="1">+민감도!B7</f>
        <v>15427948.43692149</v>
      </c>
      <c r="O7" s="434">
        <f>WACC!J39</f>
        <v>0</v>
      </c>
    </row>
    <row r="8" spans="1:15">
      <c r="A8" s="12" t="s">
        <v>14</v>
      </c>
      <c r="B8" s="12" t="s">
        <v>17459</v>
      </c>
      <c r="C8" s="12" t="s">
        <v>17460</v>
      </c>
      <c r="D8" s="2" t="s">
        <v>17461</v>
      </c>
      <c r="E8" s="2">
        <v>2.3220000000000001</v>
      </c>
      <c r="F8" s="2">
        <v>2.3370000000000002</v>
      </c>
      <c r="G8" s="2">
        <v>2.2120000000000002</v>
      </c>
      <c r="H8" s="2">
        <v>2.1309999999999998</v>
      </c>
      <c r="I8" s="2">
        <v>2.0840000000000001</v>
      </c>
      <c r="J8" s="204">
        <v>2.0249999999999999</v>
      </c>
      <c r="K8"/>
      <c r="L8" s="234">
        <f ca="1">AVERAGE(OFFSET($E$7,1,IF(LEFT(평가기준일,4)=LEFT($E$7,4),0,1),1,5))</f>
        <v>2.2172000000000001</v>
      </c>
      <c r="M8" s="298"/>
    </row>
    <row r="9" spans="1:15" ht="17.25" thickBot="1">
      <c r="A9" s="12" t="s">
        <v>6</v>
      </c>
      <c r="B9" s="12" t="s">
        <v>5</v>
      </c>
      <c r="C9" s="12" t="s">
        <v>17462</v>
      </c>
      <c r="D9" s="8" t="s">
        <v>17463</v>
      </c>
      <c r="E9" s="53">
        <f>IFERROR(HLOOKUP(E6,$J$16:$O$20,5,0),"")</f>
        <v>2.3220000000000001</v>
      </c>
      <c r="F9" s="53">
        <f t="shared" ref="F9:J9" si="1">IFERROR(HLOOKUP(F6,$J$16:$O$20,5,0),"")</f>
        <v>2.3370000000000002</v>
      </c>
      <c r="G9" s="53">
        <f t="shared" si="1"/>
        <v>2.2120000000000002</v>
      </c>
      <c r="H9" s="53">
        <f t="shared" si="1"/>
        <v>2.1309999999999998</v>
      </c>
      <c r="I9" s="53">
        <f t="shared" si="1"/>
        <v>2.0840000000000001</v>
      </c>
      <c r="J9" s="53">
        <f t="shared" si="1"/>
        <v>2.0249999999999999</v>
      </c>
      <c r="K9"/>
      <c r="L9" s="234">
        <f ca="1">AVERAGE(OFFSET($E$7,2,IF(LEFT(평가기준일,4)=LEFT($E$7,4),0,1),1,5))</f>
        <v>2.2172000000000001</v>
      </c>
      <c r="M9" s="490"/>
    </row>
    <row r="10" spans="1:15" ht="17.25" thickBot="1">
      <c r="D10" s="145" t="s">
        <v>71</v>
      </c>
      <c r="E10" s="210"/>
      <c r="F10" s="210"/>
      <c r="G10" s="210"/>
      <c r="H10" s="210"/>
      <c r="I10" s="210"/>
      <c r="J10" s="211"/>
      <c r="K10"/>
    </row>
    <row r="12" spans="1:15" ht="17.25" thickBot="1">
      <c r="D12" s="121" t="s">
        <v>51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2"/>
    </row>
    <row r="13" spans="1:15" ht="69" customHeight="1" thickBot="1">
      <c r="D13" s="7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5" s="99" customFormat="1"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</row>
    <row r="15" spans="1:15" s="99" customFormat="1" ht="17.25" thickBot="1">
      <c r="M15" s="127"/>
      <c r="O15" s="127" t="s">
        <v>52</v>
      </c>
    </row>
    <row r="16" spans="1:15" s="99" customFormat="1">
      <c r="D16" s="124" t="s">
        <v>53</v>
      </c>
      <c r="E16" s="138" t="str">
        <f>F1</f>
        <v>20191231K</v>
      </c>
      <c r="F16" s="138" t="str">
        <f t="shared" ref="F16:H16" si="2">G1</f>
        <v>20201231K</v>
      </c>
      <c r="G16" s="138" t="str">
        <f t="shared" si="2"/>
        <v>20211231K</v>
      </c>
      <c r="H16" s="138" t="str">
        <f t="shared" si="2"/>
        <v>20221231K</v>
      </c>
      <c r="I16" s="138" t="str">
        <f>J1</f>
        <v>20231231K</v>
      </c>
      <c r="J16" s="135" t="str">
        <f>MID(I16,1,2)&amp;MID(I16,3,2)+1&amp;MID(I16,5,4)</f>
        <v>20241231</v>
      </c>
      <c r="K16" s="254" t="str">
        <f t="shared" ref="K16:O16" si="3">MID(J16,1,2)&amp;MID(J16,3,2)+1&amp;MID(J16,5,4)</f>
        <v>20251231</v>
      </c>
      <c r="L16" s="136" t="str">
        <f t="shared" si="3"/>
        <v>20261231</v>
      </c>
      <c r="M16" s="134" t="str">
        <f t="shared" si="3"/>
        <v>20271231</v>
      </c>
      <c r="N16" s="137" t="str">
        <f t="shared" si="3"/>
        <v>20281231</v>
      </c>
      <c r="O16" s="137" t="str">
        <f t="shared" si="3"/>
        <v>20291231</v>
      </c>
    </row>
    <row r="17" spans="4:17" s="99" customFormat="1">
      <c r="D17" s="128" t="s">
        <v>54</v>
      </c>
      <c r="E17" s="129">
        <f t="shared" ref="E17:H17" si="4">F2</f>
        <v>16675</v>
      </c>
      <c r="F17" s="129">
        <f t="shared" si="4"/>
        <v>21340</v>
      </c>
      <c r="G17" s="129">
        <f t="shared" si="4"/>
        <v>24270</v>
      </c>
      <c r="H17" s="129">
        <f t="shared" si="4"/>
        <v>38252</v>
      </c>
      <c r="I17" s="130">
        <f>J2</f>
        <v>37634</v>
      </c>
      <c r="J17" s="334">
        <f t="shared" ref="J17:O17" si="5">I17*(1+J18/100)</f>
        <v>38507.86148</v>
      </c>
      <c r="K17" s="335">
        <f t="shared" si="5"/>
        <v>39407.790202787597</v>
      </c>
      <c r="L17" s="336">
        <f t="shared" si="5"/>
        <v>40279.490522073254</v>
      </c>
      <c r="M17" s="335">
        <f t="shared" si="5"/>
        <v>41137.846465098635</v>
      </c>
      <c r="N17" s="335">
        <f t="shared" si="5"/>
        <v>41995.159185431286</v>
      </c>
      <c r="O17" s="335">
        <f t="shared" si="5"/>
        <v>42845.561158936274</v>
      </c>
    </row>
    <row r="18" spans="4:17" s="99" customFormat="1" ht="17.25" thickBot="1">
      <c r="D18" s="131" t="s">
        <v>55</v>
      </c>
      <c r="E18" s="132"/>
      <c r="F18" s="212">
        <f>(F17/E17-1)*100</f>
        <v>27.976011994002992</v>
      </c>
      <c r="G18" s="212">
        <f t="shared" ref="G18:I18" si="6">(G17/F17-1)*100</f>
        <v>13.730084348641046</v>
      </c>
      <c r="H18" s="212">
        <f t="shared" si="6"/>
        <v>57.610218376596613</v>
      </c>
      <c r="I18" s="213">
        <f t="shared" si="6"/>
        <v>-1.6156017985987647</v>
      </c>
      <c r="J18" s="337">
        <f>J20</f>
        <v>2.3220000000000001</v>
      </c>
      <c r="K18" s="338">
        <f t="shared" ref="K18:O18" si="7">K20</f>
        <v>2.3370000000000002</v>
      </c>
      <c r="L18" s="339">
        <f t="shared" si="7"/>
        <v>2.2120000000000002</v>
      </c>
      <c r="M18" s="338">
        <f t="shared" si="7"/>
        <v>2.1309999999999998</v>
      </c>
      <c r="N18" s="338">
        <f t="shared" si="7"/>
        <v>2.0840000000000001</v>
      </c>
      <c r="O18" s="338">
        <f t="shared" si="7"/>
        <v>2.0249999999999999</v>
      </c>
    </row>
    <row r="19" spans="4:17" s="99" customFormat="1">
      <c r="D19" s="123"/>
      <c r="E19" s="123"/>
      <c r="F19" s="123"/>
      <c r="G19" s="123"/>
      <c r="H19" s="123"/>
      <c r="I19" s="123"/>
      <c r="J19" s="340"/>
      <c r="K19" s="340"/>
      <c r="L19" s="340"/>
      <c r="M19" s="340"/>
      <c r="N19" s="340"/>
      <c r="O19" s="340"/>
    </row>
    <row r="20" spans="4:17" s="204" customFormat="1">
      <c r="E20" s="179" t="s">
        <v>49</v>
      </c>
      <c r="F20" s="179" t="s">
        <v>84</v>
      </c>
      <c r="G20" s="179" t="s">
        <v>50</v>
      </c>
      <c r="I20" s="154" t="s">
        <v>85</v>
      </c>
      <c r="J20" s="235">
        <f>SUMPRODUCT(J21:J25,$I$21:$I$25)/SUM($I$21:$I$25)</f>
        <v>2.3220000000000001</v>
      </c>
      <c r="K20" s="235">
        <f t="shared" ref="K20:O20" si="8">SUMPRODUCT(K21:K25,$I$21:$I$25)/SUM($I$21:$I$25)</f>
        <v>2.3370000000000002</v>
      </c>
      <c r="L20" s="235">
        <f t="shared" si="8"/>
        <v>2.2120000000000002</v>
      </c>
      <c r="M20" s="235">
        <f t="shared" si="8"/>
        <v>2.1309999999999998</v>
      </c>
      <c r="N20" s="235">
        <f t="shared" si="8"/>
        <v>2.0840000000000001</v>
      </c>
      <c r="O20" s="235">
        <f t="shared" si="8"/>
        <v>2.0249999999999999</v>
      </c>
    </row>
    <row r="21" spans="4:17" s="204" customFormat="1">
      <c r="E21" s="180">
        <f>100*((I17/F17)^(1/3)-1)</f>
        <v>20.817169022476278</v>
      </c>
      <c r="F21" s="181">
        <f>(3*I18+2*H18+G18)/6</f>
        <v>20.683952617672997</v>
      </c>
      <c r="G21" s="181">
        <f>AVERAGE(G18:I18)</f>
        <v>23.241566975546302</v>
      </c>
      <c r="H21" s="236" t="s">
        <v>86</v>
      </c>
      <c r="I21" s="237">
        <v>1</v>
      </c>
      <c r="J21" s="238">
        <f>HLOOKUP($16:$16,$6:$8,3,0)</f>
        <v>2.3220000000000001</v>
      </c>
      <c r="K21" s="238">
        <f t="shared" ref="K21:O21" si="9">HLOOKUP($16:$16,$6:$8,3,0)</f>
        <v>2.3370000000000002</v>
      </c>
      <c r="L21" s="238">
        <f t="shared" si="9"/>
        <v>2.2120000000000002</v>
      </c>
      <c r="M21" s="238">
        <f t="shared" si="9"/>
        <v>2.1309999999999998</v>
      </c>
      <c r="N21" s="238">
        <f t="shared" si="9"/>
        <v>2.0840000000000001</v>
      </c>
      <c r="O21" s="238">
        <f t="shared" si="9"/>
        <v>2.0249999999999999</v>
      </c>
    </row>
    <row r="22" spans="4:17" s="204" customFormat="1">
      <c r="D22" s="146"/>
      <c r="E22" s="146"/>
      <c r="F22" s="146"/>
      <c r="G22" s="146"/>
      <c r="H22" s="239"/>
      <c r="I22" s="240"/>
      <c r="J22" s="341"/>
      <c r="K22" s="342">
        <f>$J$22</f>
        <v>0</v>
      </c>
      <c r="L22" s="342">
        <f t="shared" ref="L22:O22" si="10">$J$22</f>
        <v>0</v>
      </c>
      <c r="M22" s="342">
        <f t="shared" si="10"/>
        <v>0</v>
      </c>
      <c r="N22" s="342">
        <f t="shared" si="10"/>
        <v>0</v>
      </c>
      <c r="O22" s="342">
        <f t="shared" si="10"/>
        <v>0</v>
      </c>
    </row>
    <row r="23" spans="4:17" s="204" customFormat="1">
      <c r="H23" s="236"/>
      <c r="I23" s="237"/>
      <c r="J23" s="241"/>
      <c r="K23" s="238">
        <f>$J$23</f>
        <v>0</v>
      </c>
      <c r="L23" s="238">
        <f t="shared" ref="L23:O23" si="11">$J$23</f>
        <v>0</v>
      </c>
      <c r="M23" s="238">
        <f t="shared" si="11"/>
        <v>0</v>
      </c>
      <c r="N23" s="238">
        <f t="shared" si="11"/>
        <v>0</v>
      </c>
      <c r="O23" s="238">
        <f t="shared" si="11"/>
        <v>0</v>
      </c>
    </row>
    <row r="24" spans="4:17" s="204" customFormat="1">
      <c r="H24" s="96" t="s">
        <v>191</v>
      </c>
      <c r="I24" s="237"/>
      <c r="J24" s="241">
        <f>J28</f>
        <v>1.69999249978167</v>
      </c>
      <c r="K24" s="238">
        <f>K28</f>
        <v>-1.7887913357242167</v>
      </c>
      <c r="L24" s="238">
        <f t="shared" ref="L24:N24" si="12">L28</f>
        <v>1.8822285646395347</v>
      </c>
      <c r="M24" s="238">
        <f t="shared" si="12"/>
        <v>-1.980546472241637</v>
      </c>
      <c r="N24" s="238">
        <f t="shared" si="12"/>
        <v>2.0840000000000001</v>
      </c>
      <c r="O24" s="238">
        <f>O28</f>
        <v>0</v>
      </c>
    </row>
    <row r="25" spans="4:17" s="204" customFormat="1">
      <c r="H25" s="96" t="s">
        <v>192</v>
      </c>
      <c r="I25" s="242"/>
      <c r="J25" s="243">
        <f t="shared" ref="J25:M25" si="13">J30</f>
        <v>0</v>
      </c>
      <c r="K25" s="244">
        <f t="shared" si="13"/>
        <v>0</v>
      </c>
      <c r="L25" s="244">
        <f t="shared" si="13"/>
        <v>0</v>
      </c>
      <c r="M25" s="244">
        <f t="shared" si="13"/>
        <v>0</v>
      </c>
      <c r="N25" s="244">
        <f>N30</f>
        <v>0</v>
      </c>
      <c r="O25" s="244">
        <f>O30</f>
        <v>0</v>
      </c>
    </row>
    <row r="26" spans="4:17" s="204" customFormat="1"/>
    <row r="27" spans="4:17" s="204" customFormat="1">
      <c r="I27" s="96" t="str">
        <f>LEFT(I16,4)&amp;"년"</f>
        <v>2023년</v>
      </c>
      <c r="J27" s="437" t="str">
        <f>LEFT(J16,4)&amp;"년"</f>
        <v>2024년</v>
      </c>
      <c r="P27" s="269" t="s">
        <v>189</v>
      </c>
      <c r="Q27" s="269" t="s">
        <v>190</v>
      </c>
    </row>
    <row r="28" spans="4:17" customFormat="1">
      <c r="H28" s="96" t="s">
        <v>193</v>
      </c>
      <c r="I28" s="330">
        <f>$I$18</f>
        <v>-1.6156017985987647</v>
      </c>
      <c r="J28" s="331">
        <f>I28*$P$28</f>
        <v>1.69999249978167</v>
      </c>
      <c r="K28" s="332">
        <f>J28*$P$28</f>
        <v>-1.7887913357242167</v>
      </c>
      <c r="L28" s="332">
        <f>K28*$P$28</f>
        <v>1.8822285646395347</v>
      </c>
      <c r="M28" s="332">
        <f>L28*$P$28</f>
        <v>-1.980546472241637</v>
      </c>
      <c r="N28" s="333">
        <f>I8</f>
        <v>2.0840000000000001</v>
      </c>
      <c r="P28" s="380">
        <f>IFERROR((N28/I28)^(1/Q28),"")</f>
        <v>-1.0522348398324999</v>
      </c>
      <c r="Q28" s="499">
        <v>5</v>
      </c>
    </row>
    <row r="29" spans="4:17" customFormat="1">
      <c r="H29" s="204"/>
      <c r="I29" s="204"/>
      <c r="J29" s="204"/>
      <c r="K29" s="204"/>
      <c r="L29" s="204"/>
      <c r="M29" s="204"/>
      <c r="N29" s="204"/>
      <c r="P29" s="204"/>
      <c r="Q29" s="204"/>
    </row>
    <row r="30" spans="4:17" customFormat="1">
      <c r="H30" s="96" t="s">
        <v>194</v>
      </c>
      <c r="I30" s="330">
        <f>$I$18</f>
        <v>-1.6156017985987647</v>
      </c>
      <c r="J30" s="331">
        <f>I30*$P$30</f>
        <v>0</v>
      </c>
      <c r="K30" s="332">
        <f>J30*$P$30</f>
        <v>0</v>
      </c>
      <c r="L30" s="332">
        <f>K30*$P$30</f>
        <v>0</v>
      </c>
      <c r="M30" s="332">
        <f>L30*$P$30</f>
        <v>0</v>
      </c>
      <c r="N30" s="333">
        <v>0</v>
      </c>
      <c r="P30" s="380">
        <f>IFERROR((N30/I30)^(1/Q30),"")</f>
        <v>0</v>
      </c>
      <c r="Q30" s="499">
        <v>5</v>
      </c>
    </row>
    <row r="31" spans="4:17" customFormat="1"/>
    <row r="32" spans="4:17" customFormat="1">
      <c r="J32" s="435" t="str">
        <f>"*"&amp;LEFT(IS추정!I1,4)&amp;" 연환산성장률"</f>
        <v>*2023 연환산성장률</v>
      </c>
    </row>
    <row r="33" spans="10:10" customFormat="1">
      <c r="J33" s="439">
        <f>(IS추정!I14/IS추정!H14-1)*100</f>
        <v>0</v>
      </c>
    </row>
    <row r="34" spans="10:10" customFormat="1"/>
    <row r="35" spans="10:10" customFormat="1"/>
    <row r="36" spans="10:10" customFormat="1"/>
    <row r="37" spans="10:10" customFormat="1"/>
    <row r="38" spans="10:10" customFormat="1"/>
    <row r="39" spans="10:10" customFormat="1"/>
    <row r="40" spans="10:10" customFormat="1"/>
    <row r="41" spans="10:10" customFormat="1"/>
    <row r="42" spans="10:10" customFormat="1"/>
    <row r="43" spans="10:10" customFormat="1"/>
    <row r="44" spans="10:10" customFormat="1"/>
    <row r="45" spans="10:10" customFormat="1"/>
    <row r="46" spans="10:10" customFormat="1"/>
  </sheetData>
  <sheetProtection selectLockedCells="1"/>
  <mergeCells count="1">
    <mergeCell ref="D13:N13"/>
  </mergeCells>
  <phoneticPr fontId="3" type="noConversion"/>
  <pageMargins left="0.7" right="0.7" top="0.75" bottom="0.75" header="0.3" footer="0.3"/>
  <pageSetup paperSize="9" orientation="portrait" r:id="rId1"/>
  <ignoredErrors>
    <ignoredError sqref="D16:I16 D26:N26 D17:D25" evalError="1"/>
    <ignoredError sqref="E17:I20 E23:H23 E21:I21 E22:H22 E24:G25 I28:M28 I30:M30 J27 J33" evalError="1" unlockedFormula="1"/>
    <ignoredError sqref="E6:J6 I27 I29:N29 I31:O32 K27:O27 I33 K33:O33" unlocked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R81"/>
  <sheetViews>
    <sheetView showGridLines="0" zoomScale="85" zoomScaleNormal="85" workbookViewId="0">
      <selection activeCell="B7" sqref="B7"/>
    </sheetView>
  </sheetViews>
  <sheetFormatPr defaultRowHeight="16.5"/>
  <cols>
    <col min="1" max="1" width="50.625" style="203" customWidth="1"/>
    <col min="2" max="2" width="12.625" style="203" customWidth="1"/>
    <col min="3" max="12" width="12.625" customWidth="1"/>
    <col min="18" max="18" width="9.75" customWidth="1"/>
    <col min="20" max="20" width="9.75" customWidth="1"/>
  </cols>
  <sheetData>
    <row r="1" spans="1:15" ht="33">
      <c r="A1" s="627" t="s">
        <v>82</v>
      </c>
      <c r="B1" s="632" t="s">
        <v>696</v>
      </c>
      <c r="C1" s="632" t="s">
        <v>693</v>
      </c>
      <c r="D1" s="633" t="s">
        <v>695</v>
      </c>
      <c r="E1" s="204"/>
      <c r="F1" s="627" t="s">
        <v>692</v>
      </c>
      <c r="G1" s="628">
        <f ca="1">+B56</f>
        <v>1.39</v>
      </c>
      <c r="H1" s="628">
        <f ca="1">+B57</f>
        <v>2.39</v>
      </c>
      <c r="I1" s="629">
        <f ca="1">+B58</f>
        <v>3.39</v>
      </c>
    </row>
    <row r="2" spans="1:15">
      <c r="A2" s="634" t="s">
        <v>693</v>
      </c>
      <c r="B2" s="575">
        <f t="array" aca="1" ref="B2:D4" ca="1">TRANSPOSE(C56:E58)</f>
        <v>27561911.180222254</v>
      </c>
      <c r="C2" s="575">
        <f ca="1"/>
        <v>15427948.436921492</v>
      </c>
      <c r="D2" s="576">
        <f ca="1"/>
        <v>10457145.613613138</v>
      </c>
      <c r="E2" s="204"/>
      <c r="F2" s="630" t="str">
        <f>+C46</f>
        <v>0.0%</v>
      </c>
      <c r="G2" s="575">
        <f t="shared" ref="G2:I4" ca="1" si="0">B2</f>
        <v>27561911.180222254</v>
      </c>
      <c r="H2" s="575">
        <f t="shared" ca="1" si="0"/>
        <v>15427948.436921492</v>
      </c>
      <c r="I2" s="576">
        <f t="shared" ca="1" si="0"/>
        <v>10457145.613613138</v>
      </c>
    </row>
    <row r="3" spans="1:15">
      <c r="A3" s="634" t="s">
        <v>694</v>
      </c>
      <c r="B3" s="575">
        <f ca="1"/>
        <v>42691340.579185672</v>
      </c>
      <c r="C3" s="575">
        <f ca="1"/>
        <v>19363744.081612632</v>
      </c>
      <c r="D3" s="576">
        <f ca="1"/>
        <v>12179510.38598158</v>
      </c>
      <c r="E3" s="204"/>
      <c r="F3" s="630" t="str">
        <f>+D46</f>
        <v>0.5%</v>
      </c>
      <c r="G3" s="575">
        <f t="shared" ca="1" si="0"/>
        <v>42691340.579185672</v>
      </c>
      <c r="H3" s="575">
        <f t="shared" ca="1" si="0"/>
        <v>19363744.081612632</v>
      </c>
      <c r="I3" s="576">
        <f t="shared" ca="1" si="0"/>
        <v>12179510.38598158</v>
      </c>
    </row>
    <row r="4" spans="1:15" ht="17.25" thickBot="1">
      <c r="A4" s="635" t="s">
        <v>695</v>
      </c>
      <c r="B4" s="577">
        <f ca="1"/>
        <v>96447030.392146125</v>
      </c>
      <c r="C4" s="621">
        <f ca="1"/>
        <v>26127613.703906447</v>
      </c>
      <c r="D4" s="578">
        <f ca="1"/>
        <v>14622021.356410965</v>
      </c>
      <c r="E4" s="574"/>
      <c r="F4" s="631" t="str">
        <f>+E46</f>
        <v>1.0%</v>
      </c>
      <c r="G4" s="577">
        <f t="shared" ca="1" si="0"/>
        <v>96447030.392146125</v>
      </c>
      <c r="H4" s="621">
        <f t="shared" ca="1" si="0"/>
        <v>26127613.703906447</v>
      </c>
      <c r="I4" s="578">
        <f t="shared" ca="1" si="0"/>
        <v>14622021.356410965</v>
      </c>
    </row>
    <row r="5" spans="1:15">
      <c r="C5" s="204"/>
      <c r="D5" s="204"/>
      <c r="E5" s="204"/>
      <c r="F5" s="204"/>
      <c r="G5" s="204"/>
      <c r="H5" s="204"/>
      <c r="I5" s="204"/>
    </row>
    <row r="6" spans="1:15">
      <c r="A6" s="225" t="s">
        <v>663</v>
      </c>
      <c r="B6" s="570" t="str">
        <f>평가기준일</f>
        <v>2024-05-31</v>
      </c>
      <c r="G6" s="204"/>
      <c r="H6" s="204"/>
      <c r="I6" s="204"/>
    </row>
    <row r="7" spans="1:15">
      <c r="A7" s="571" t="s">
        <v>664</v>
      </c>
      <c r="B7" s="572">
        <f ca="1">FCF추정!E60</f>
        <v>15427948.43692149</v>
      </c>
      <c r="G7" s="204"/>
      <c r="H7" s="204"/>
      <c r="I7" s="204"/>
    </row>
    <row r="8" spans="1:15">
      <c r="A8" s="204"/>
      <c r="B8" s="204"/>
      <c r="G8" s="204"/>
      <c r="H8" s="204"/>
      <c r="I8" s="204"/>
    </row>
    <row r="9" spans="1:15">
      <c r="A9" s="573" t="s">
        <v>665</v>
      </c>
      <c r="B9" s="620">
        <v>0</v>
      </c>
      <c r="G9" s="204"/>
      <c r="H9" s="204"/>
      <c r="I9" s="204"/>
    </row>
    <row r="10" spans="1:15">
      <c r="C10" s="204"/>
      <c r="D10" s="204"/>
      <c r="E10" s="579"/>
      <c r="F10" s="204"/>
      <c r="G10" s="204"/>
      <c r="H10" s="204"/>
      <c r="I10" s="204"/>
    </row>
    <row r="11" spans="1:15">
      <c r="A11" s="624" t="s">
        <v>690</v>
      </c>
      <c r="B11" s="626" t="str">
        <f>IF(Settings!E24="","",IF(Settings!E24=0,"청산가정은 민감도 산출 불가",""))</f>
        <v/>
      </c>
      <c r="C11" s="581"/>
      <c r="D11" s="580"/>
      <c r="E11" s="580"/>
      <c r="F11" s="580"/>
      <c r="G11" s="580"/>
      <c r="I11" s="640" t="s">
        <v>195</v>
      </c>
      <c r="J11" s="641" t="s">
        <v>704</v>
      </c>
      <c r="K11" s="641" t="s">
        <v>196</v>
      </c>
      <c r="L11" s="642" t="s">
        <v>705</v>
      </c>
    </row>
    <row r="12" spans="1:15">
      <c r="A12" s="204"/>
      <c r="B12" s="204"/>
      <c r="C12" s="204"/>
      <c r="D12" s="204"/>
      <c r="E12" s="204"/>
      <c r="F12" s="204"/>
      <c r="G12" s="204"/>
      <c r="I12" s="638">
        <v>0</v>
      </c>
      <c r="J12" s="636">
        <v>9.9</v>
      </c>
      <c r="K12" s="203">
        <v>0</v>
      </c>
      <c r="L12" s="639" t="s">
        <v>706</v>
      </c>
    </row>
    <row r="13" spans="1:15">
      <c r="A13" s="582" t="s">
        <v>666</v>
      </c>
      <c r="B13" s="204"/>
      <c r="C13" s="204"/>
      <c r="D13" s="204"/>
      <c r="E13" s="204"/>
      <c r="F13" s="204"/>
      <c r="I13" s="638">
        <v>200</v>
      </c>
      <c r="J13" s="636">
        <v>20.900000000000002</v>
      </c>
      <c r="K13" s="637">
        <v>22</v>
      </c>
      <c r="L13" s="639" t="s">
        <v>702</v>
      </c>
      <c r="O13" s="203"/>
    </row>
    <row r="14" spans="1:15">
      <c r="A14" s="437" t="s">
        <v>667</v>
      </c>
      <c r="B14" s="204"/>
      <c r="C14" s="204"/>
      <c r="D14" s="204"/>
      <c r="E14" s="204"/>
      <c r="F14" s="204"/>
      <c r="I14" s="638">
        <v>20000</v>
      </c>
      <c r="J14" s="636">
        <v>23.1</v>
      </c>
      <c r="K14" s="637">
        <v>462</v>
      </c>
      <c r="L14" s="639" t="s">
        <v>703</v>
      </c>
      <c r="O14" s="203"/>
    </row>
    <row r="15" spans="1:15">
      <c r="A15" s="437" t="s">
        <v>700</v>
      </c>
      <c r="B15" s="652">
        <f ca="1">OFFSET(FCF추정!$C$1,민감도!B76-1,민감도!B73-1)</f>
        <v>4.084699453551913</v>
      </c>
      <c r="C15" s="204"/>
      <c r="D15" s="345"/>
      <c r="E15" s="204"/>
      <c r="F15" s="204"/>
      <c r="I15" s="638">
        <v>300000</v>
      </c>
      <c r="J15" s="643">
        <v>26.400000000000002</v>
      </c>
      <c r="K15" s="638">
        <v>10362</v>
      </c>
      <c r="L15" s="639" t="s">
        <v>707</v>
      </c>
      <c r="O15" s="203"/>
    </row>
    <row r="16" spans="1:15">
      <c r="A16" s="437" t="s">
        <v>709</v>
      </c>
      <c r="B16" s="583">
        <f ca="1">OFFSET(FCF추정!$C$1,민감도!B75-1,민감도!B73-1)</f>
        <v>5483</v>
      </c>
      <c r="C16" s="579"/>
      <c r="D16" s="204"/>
      <c r="E16" s="204"/>
      <c r="F16" s="204"/>
      <c r="I16" s="2"/>
      <c r="J16" s="2"/>
      <c r="K16" s="2"/>
      <c r="L16" s="2"/>
    </row>
    <row r="17" spans="1:18" s="203" customFormat="1">
      <c r="C17" s="579"/>
      <c r="D17" s="204"/>
      <c r="E17" s="204"/>
      <c r="F17" s="204"/>
      <c r="I17" s="2"/>
      <c r="J17" s="204" t="s">
        <v>710</v>
      </c>
      <c r="K17" s="2"/>
      <c r="L17" s="2"/>
    </row>
    <row r="18" spans="1:18">
      <c r="A18" s="204"/>
      <c r="B18" s="345"/>
      <c r="C18" s="204"/>
      <c r="D18" s="204"/>
      <c r="E18" s="204"/>
      <c r="F18" s="204"/>
      <c r="J18" t="s">
        <v>714</v>
      </c>
    </row>
    <row r="19" spans="1:18" ht="17.25" thickBot="1">
      <c r="A19" s="584" t="s">
        <v>375</v>
      </c>
      <c r="B19" s="584" t="s">
        <v>668</v>
      </c>
      <c r="C19" s="584" t="str">
        <f>TEXT(C46,"0.00%")</f>
        <v>0.00%</v>
      </c>
      <c r="D19" s="584" t="str">
        <f>TEXT(D46,"0.00%")</f>
        <v>0.50%</v>
      </c>
      <c r="E19" s="584" t="str">
        <f>TEXT(E46,"0.00%")</f>
        <v>1.00%</v>
      </c>
      <c r="F19" s="204"/>
    </row>
    <row r="20" spans="1:18">
      <c r="A20" s="585" t="s">
        <v>421</v>
      </c>
      <c r="B20" s="586">
        <f ca="1">+B31</f>
        <v>1.3916876559316353</v>
      </c>
      <c r="C20" s="587">
        <f ca="1">OFFSET(FCF추정!$C$1,B78-1,민감도!B73-1)*(1+C$19)</f>
        <v>9905</v>
      </c>
      <c r="D20" s="587">
        <f ca="1">OFFSET(FCF추정!$C$1,B78-1,민감도!B73-1)*(1+D$19)</f>
        <v>9954.5249999999996</v>
      </c>
      <c r="E20" s="587">
        <f ca="1">OFFSET(FCF추정!$C$1,B78-1,민감도!B73-1)*(1+E$19)</f>
        <v>10004.049999999999</v>
      </c>
      <c r="F20" s="204"/>
    </row>
    <row r="21" spans="1:18">
      <c r="A21" s="585" t="s">
        <v>427</v>
      </c>
      <c r="B21" s="586">
        <f ca="1">+B32</f>
        <v>2.3916876559316353</v>
      </c>
      <c r="C21" s="587">
        <f ca="1">OFFSET(FCF추정!$C$1,B79-1,민감도!B73-1)*(1+C$19)</f>
        <v>100</v>
      </c>
      <c r="D21" s="587">
        <f ca="1">OFFSET(FCF추정!$C$1,B79-1,민감도!B73-1)*(1+D$19)</f>
        <v>100.49999999999999</v>
      </c>
      <c r="E21" s="587">
        <f ca="1">OFFSET(FCF추정!$C$1,B79-1,민감도!B73-1)*(1+E$19)</f>
        <v>101</v>
      </c>
      <c r="F21" s="204"/>
    </row>
    <row r="22" spans="1:18">
      <c r="A22" s="585" t="s">
        <v>433</v>
      </c>
      <c r="B22" s="586">
        <f ca="1">+B33</f>
        <v>3.3916876559316353</v>
      </c>
      <c r="C22" s="587">
        <f ca="1">OFFSET(FCF추정!$C$1,B80-1,민감도!B73-1)*(1+C$19)</f>
        <v>9805</v>
      </c>
      <c r="D22" s="587">
        <f ca="1">OFFSET(FCF추정!$C$1,B80-1,민감도!B73-1)*(1+D$19)</f>
        <v>9854.0249999999996</v>
      </c>
      <c r="E22" s="587">
        <f ca="1">OFFSET(FCF추정!$C$1,B80-1,민감도!B73-1)*(1+E$19)</f>
        <v>9903.0499999999993</v>
      </c>
      <c r="F22" s="204"/>
    </row>
    <row r="23" spans="1:18">
      <c r="A23" s="585" t="s">
        <v>669</v>
      </c>
      <c r="B23" s="588" t="s">
        <v>12</v>
      </c>
      <c r="C23" s="587">
        <f ca="1">C22-OFFSET(FCF추정!$C$1,B80-1,B73-1)</f>
        <v>0</v>
      </c>
      <c r="D23" s="587">
        <f ca="1">D22-OFFSET(FCF추정!$C$1,B80-1,B73-1)</f>
        <v>49.024999999999636</v>
      </c>
      <c r="E23" s="587">
        <f ca="1">E22-OFFSET(FCF추정!$C$1,B80-1,B73-1)</f>
        <v>98.049999999999272</v>
      </c>
      <c r="F23" s="204"/>
    </row>
    <row r="24" spans="1:18" s="203" customFormat="1">
      <c r="A24" s="585" t="s">
        <v>701</v>
      </c>
      <c r="B24" s="588" t="s">
        <v>12</v>
      </c>
      <c r="C24" s="587">
        <f ca="1">+$B$16*(1+C19)*(1-VLOOKUP($B$16,법인세[],2)/100)+VLOOKUP($B$16,법인세[],3)</f>
        <v>4359.0529999999999</v>
      </c>
      <c r="D24" s="587">
        <f ca="1">+$B$16*(1+D19)*(1-VLOOKUP($B$16,법인세[],2)/100)+VLOOKUP($B$16,법인세[],3)</f>
        <v>4380.738264999999</v>
      </c>
      <c r="E24" s="587">
        <f ca="1">+$B$16*(1+E19)*(1-VLOOKUP($B$16,법인세[],2)/100)+VLOOKUP($B$16,법인세[],3)</f>
        <v>4402.4235299999991</v>
      </c>
      <c r="F24" s="204"/>
      <c r="L24"/>
      <c r="M24"/>
      <c r="N24"/>
      <c r="O24"/>
      <c r="P24"/>
      <c r="Q24"/>
      <c r="R24"/>
    </row>
    <row r="25" spans="1:18">
      <c r="A25" s="204"/>
      <c r="B25" s="204"/>
      <c r="C25" s="204"/>
      <c r="D25" s="204"/>
      <c r="E25" s="204"/>
      <c r="F25" s="204"/>
      <c r="G25" s="204"/>
    </row>
    <row r="26" spans="1:18" ht="17.25" thickBot="1">
      <c r="A26" s="584" t="s">
        <v>375</v>
      </c>
      <c r="B26" s="623"/>
      <c r="C26" s="584"/>
      <c r="D26" s="584"/>
      <c r="E26" s="584"/>
      <c r="F26" s="584"/>
      <c r="G26" s="584"/>
    </row>
    <row r="27" spans="1:18">
      <c r="A27" s="589" t="s">
        <v>670</v>
      </c>
      <c r="B27" s="589"/>
      <c r="C27" s="590" t="str">
        <f>+FCF추정!F22</f>
        <v>2024-12-31</v>
      </c>
      <c r="D27" s="590" t="str">
        <f>+FCF추정!G22</f>
        <v>2025-12-31</v>
      </c>
      <c r="E27" s="590" t="str">
        <f>+FCF추정!H22</f>
        <v>2026-12-31</v>
      </c>
      <c r="F27" s="590" t="str">
        <f>+FCF추정!I22</f>
        <v>2027-12-31</v>
      </c>
      <c r="G27" s="590" t="str">
        <f>+FCF추정!J22</f>
        <v>2028-12-31</v>
      </c>
    </row>
    <row r="28" spans="1:18">
      <c r="A28" s="591" t="s">
        <v>671</v>
      </c>
      <c r="B28" s="591"/>
      <c r="C28" s="592">
        <f>YEARFRAC(B6,C27,1)</f>
        <v>0.58469945355191255</v>
      </c>
      <c r="D28" s="592">
        <f t="shared" ref="D28:G28" si="1">YEARFRAC(C27,D27,1)</f>
        <v>1</v>
      </c>
      <c r="E28" s="592">
        <f t="shared" si="1"/>
        <v>1</v>
      </c>
      <c r="F28" s="592">
        <f t="shared" si="1"/>
        <v>1</v>
      </c>
      <c r="G28" s="592">
        <f t="shared" si="1"/>
        <v>1</v>
      </c>
    </row>
    <row r="29" spans="1:18">
      <c r="A29" s="121" t="s">
        <v>7</v>
      </c>
      <c r="B29" s="121"/>
      <c r="C29" s="593">
        <f>FCF추정!F24</f>
        <v>0.29234972677595628</v>
      </c>
      <c r="D29" s="593">
        <f>FCF추정!G24</f>
        <v>1.0846994535519126</v>
      </c>
      <c r="E29" s="593">
        <f>FCF추정!H24</f>
        <v>2.0846994535519126</v>
      </c>
      <c r="F29" s="593">
        <f>FCF추정!I24</f>
        <v>3.0846994535519126</v>
      </c>
      <c r="G29" s="593">
        <f>FCF추정!J24</f>
        <v>4.084699453551913</v>
      </c>
    </row>
    <row r="30" spans="1:18">
      <c r="A30" s="204"/>
      <c r="B30" s="594" t="s">
        <v>8</v>
      </c>
      <c r="C30" s="204"/>
      <c r="D30" s="204"/>
      <c r="E30" s="204"/>
      <c r="F30" s="204"/>
      <c r="G30" s="204"/>
    </row>
    <row r="31" spans="1:18">
      <c r="A31" s="595"/>
      <c r="B31" s="596">
        <f ca="1">+B32-1</f>
        <v>1.3916876559316353</v>
      </c>
      <c r="C31" s="597">
        <f t="shared" ref="C31:G33" ca="1" si="2">1/(1+$B31/100)^C$29</f>
        <v>0.99596760806610263</v>
      </c>
      <c r="D31" s="597">
        <f t="shared" ca="1" si="2"/>
        <v>0.98512026293641497</v>
      </c>
      <c r="E31" s="597">
        <f t="shared" ca="1" si="2"/>
        <v>0.97159864453521938</v>
      </c>
      <c r="F31" s="597">
        <f t="shared" ca="1" si="2"/>
        <v>0.95826262191462686</v>
      </c>
      <c r="G31" s="597">
        <f t="shared" ca="1" si="2"/>
        <v>0.94510964761376692</v>
      </c>
    </row>
    <row r="32" spans="1:18">
      <c r="A32" s="598" t="s">
        <v>9</v>
      </c>
      <c r="B32" s="596">
        <f ca="1">+B40</f>
        <v>2.3916876559316353</v>
      </c>
      <c r="C32" s="597">
        <f t="shared" ca="1" si="2"/>
        <v>0.99311403013645894</v>
      </c>
      <c r="D32" s="597">
        <f t="shared" ca="1" si="2"/>
        <v>0.97468859459915946</v>
      </c>
      <c r="E32" s="597">
        <f t="shared" ca="1" si="2"/>
        <v>0.95192160312311735</v>
      </c>
      <c r="F32" s="597">
        <f t="shared" ca="1" si="2"/>
        <v>0.92968640806260994</v>
      </c>
      <c r="G32" s="597">
        <f t="shared" ca="1" si="2"/>
        <v>0.90797058759950267</v>
      </c>
    </row>
    <row r="33" spans="1:7">
      <c r="A33" s="595"/>
      <c r="B33" s="596">
        <f ca="1">+B32+1</f>
        <v>3.3916876559316353</v>
      </c>
      <c r="C33" s="597">
        <f t="shared" ca="1" si="2"/>
        <v>0.99029624359283808</v>
      </c>
      <c r="D33" s="597">
        <f t="shared" ca="1" si="2"/>
        <v>0.96446717473642618</v>
      </c>
      <c r="E33" s="597">
        <f t="shared" ca="1" si="2"/>
        <v>0.93282854415336958</v>
      </c>
      <c r="F33" s="597">
        <f t="shared" ca="1" si="2"/>
        <v>0.90222779538878417</v>
      </c>
      <c r="G33" s="597">
        <f t="shared" ca="1" si="2"/>
        <v>0.87263088149913082</v>
      </c>
    </row>
    <row r="34" spans="1:7">
      <c r="A34" s="599" t="s">
        <v>10</v>
      </c>
      <c r="B34" s="88" t="s">
        <v>12</v>
      </c>
      <c r="C34" s="600">
        <f>FCF추정!F20</f>
        <v>3619.4335308326836</v>
      </c>
      <c r="D34" s="600">
        <f>FCF추정!G20</f>
        <v>3204.2879999999996</v>
      </c>
      <c r="E34" s="600">
        <f>FCF추정!H20</f>
        <v>2988.4969999999994</v>
      </c>
      <c r="F34" s="600">
        <f>FCF추정!I20</f>
        <v>2698.558</v>
      </c>
      <c r="G34" s="600">
        <f>FCF추정!J20</f>
        <v>2321.0529999999999</v>
      </c>
    </row>
    <row r="35" spans="1:7">
      <c r="A35" s="601"/>
      <c r="B35" s="602">
        <f ca="1">B47</f>
        <v>1.3916876559316353</v>
      </c>
      <c r="C35" s="603">
        <f t="shared" ref="C35:G37" ca="1" si="3">+C$34*C31*C$28</f>
        <v>2107.7471339867288</v>
      </c>
      <c r="D35" s="603">
        <f t="shared" ca="1" si="3"/>
        <v>3156.6090370839988</v>
      </c>
      <c r="E35" s="603">
        <f t="shared" ca="1" si="3"/>
        <v>2903.6196343975689</v>
      </c>
      <c r="F35" s="603">
        <f t="shared" ca="1" si="3"/>
        <v>2585.9272644686916</v>
      </c>
      <c r="G35" s="603">
        <f t="shared" ca="1" si="3"/>
        <v>2193.6495829228766</v>
      </c>
    </row>
    <row r="36" spans="1:7">
      <c r="A36" s="604" t="s">
        <v>11</v>
      </c>
      <c r="B36" s="596">
        <f ca="1">B48</f>
        <v>2.3916876559316353</v>
      </c>
      <c r="C36" s="603">
        <f t="shared" ca="1" si="3"/>
        <v>2101.7081617811032</v>
      </c>
      <c r="D36" s="603">
        <f t="shared" ca="1" si="3"/>
        <v>3123.1829674109508</v>
      </c>
      <c r="E36" s="603">
        <f t="shared" ca="1" si="3"/>
        <v>2844.8148551686263</v>
      </c>
      <c r="F36" s="603">
        <f t="shared" ca="1" si="3"/>
        <v>2508.8126939686204</v>
      </c>
      <c r="G36" s="603">
        <f t="shared" ca="1" si="3"/>
        <v>2107.4478562595882</v>
      </c>
    </row>
    <row r="37" spans="1:7">
      <c r="A37" s="601"/>
      <c r="B37" s="602">
        <f ca="1">B49</f>
        <v>3.3916876559316353</v>
      </c>
      <c r="C37" s="603">
        <f t="shared" ca="1" si="3"/>
        <v>2095.7449341987972</v>
      </c>
      <c r="D37" s="603">
        <f t="shared" ca="1" si="3"/>
        <v>3090.4305944018333</v>
      </c>
      <c r="E37" s="603">
        <f t="shared" ca="1" si="3"/>
        <v>2787.755305716712</v>
      </c>
      <c r="F37" s="603">
        <f t="shared" ca="1" si="3"/>
        <v>2434.7140350687664</v>
      </c>
      <c r="G37" s="603">
        <f t="shared" ca="1" si="3"/>
        <v>2025.422525396202</v>
      </c>
    </row>
    <row r="38" spans="1:7">
      <c r="A38" s="204"/>
      <c r="B38"/>
    </row>
    <row r="39" spans="1:7" ht="17.25" thickBot="1">
      <c r="A39" s="584" t="s">
        <v>375</v>
      </c>
      <c r="B39" s="584" t="s">
        <v>672</v>
      </c>
      <c r="C39" s="204"/>
      <c r="D39" s="204"/>
      <c r="E39" s="204"/>
      <c r="F39" s="204"/>
      <c r="G39" s="204"/>
    </row>
    <row r="40" spans="1:7">
      <c r="A40" s="225" t="s">
        <v>673</v>
      </c>
      <c r="B40" s="44">
        <f ca="1">+WACC!E35</f>
        <v>2.3916876559316353</v>
      </c>
      <c r="C40" s="204"/>
      <c r="D40" s="204"/>
      <c r="E40" s="204"/>
      <c r="F40" s="204"/>
      <c r="G40" s="204"/>
    </row>
    <row r="41" spans="1:7">
      <c r="A41" s="225" t="s">
        <v>674</v>
      </c>
      <c r="B41" s="102">
        <f>+FCF추정!E54</f>
        <v>516</v>
      </c>
      <c r="C41" s="204"/>
      <c r="D41" s="204"/>
      <c r="E41" s="204"/>
      <c r="F41" s="204"/>
      <c r="G41" s="204"/>
    </row>
    <row r="42" spans="1:7">
      <c r="A42" s="225" t="s">
        <v>675</v>
      </c>
      <c r="B42" s="102">
        <f>+FCF추정!E56</f>
        <v>12318</v>
      </c>
      <c r="C42" s="204"/>
      <c r="D42" s="204"/>
      <c r="E42" s="204"/>
      <c r="F42" s="204"/>
      <c r="G42" s="204"/>
    </row>
    <row r="43" spans="1:7">
      <c r="A43" s="225" t="s">
        <v>676</v>
      </c>
      <c r="B43" s="102">
        <f>+FCF추정!E57</f>
        <v>56</v>
      </c>
      <c r="C43" s="204"/>
      <c r="D43" s="204"/>
      <c r="E43" s="204"/>
      <c r="F43" s="204"/>
      <c r="G43" s="204"/>
    </row>
    <row r="44" spans="1:7">
      <c r="A44" s="225" t="s">
        <v>688</v>
      </c>
      <c r="B44" s="29">
        <f>+FCF추정!E59</f>
        <v>10780</v>
      </c>
      <c r="C44" s="204"/>
      <c r="D44" s="204"/>
      <c r="E44" s="204"/>
      <c r="F44" s="579"/>
      <c r="G44" s="204"/>
    </row>
    <row r="45" spans="1:7">
      <c r="A45" s="204"/>
      <c r="B45" s="204"/>
      <c r="C45" s="204"/>
      <c r="D45" s="204"/>
      <c r="E45" s="204"/>
      <c r="F45" s="204"/>
      <c r="G45" s="204"/>
    </row>
    <row r="46" spans="1:7" ht="17.25" thickBot="1">
      <c r="A46" s="605" t="s">
        <v>375</v>
      </c>
      <c r="B46" s="605" t="s">
        <v>712</v>
      </c>
      <c r="C46" s="606" t="str">
        <f>TEXT(IF(B9=0,0%,0%),"0.0%")</f>
        <v>0.0%</v>
      </c>
      <c r="D46" s="606" t="str">
        <f>TEXT(IF(B9=0,0.5%,B9/100),"0.0%")</f>
        <v>0.5%</v>
      </c>
      <c r="E46" s="606" t="str">
        <f>TEXT(IF(B9=0,1%,2%),"0.0%")</f>
        <v>1.0%</v>
      </c>
      <c r="F46" s="204"/>
      <c r="G46" s="582" t="s">
        <v>713</v>
      </c>
    </row>
    <row r="47" spans="1:7">
      <c r="A47" s="607"/>
      <c r="B47" s="608">
        <f ca="1">+B32-1</f>
        <v>1.3916876559316353</v>
      </c>
      <c r="C47" s="609">
        <f t="shared" ref="C47:E49" ca="1" si="4">((C$24-C$23)/($B31/100-C$46))*$G47</f>
        <v>296027.84986993601</v>
      </c>
      <c r="D47" s="609">
        <f t="shared" ca="1" si="4"/>
        <v>459123.09879076161</v>
      </c>
      <c r="E47" s="609">
        <f t="shared" ca="1" si="4"/>
        <v>1038609.4349744755</v>
      </c>
      <c r="F47" s="204"/>
      <c r="G47" s="651">
        <f ca="1">1/(1+(B47/100))^$B$15</f>
        <v>0.94510964761376692</v>
      </c>
    </row>
    <row r="48" spans="1:7">
      <c r="A48" s="607" t="s">
        <v>677</v>
      </c>
      <c r="B48" s="608">
        <f ca="1">+B32</f>
        <v>2.3916876559316353</v>
      </c>
      <c r="C48" s="609">
        <f t="shared" ca="1" si="4"/>
        <v>165485.31761542478</v>
      </c>
      <c r="D48" s="609">
        <f t="shared" ca="1" si="4"/>
        <v>207913.19466519525</v>
      </c>
      <c r="E48" s="609">
        <f t="shared" ca="1" si="4"/>
        <v>280827.70919352263</v>
      </c>
      <c r="F48" s="204"/>
      <c r="G48" s="651">
        <f ca="1">1/(1+(B48/100))^$B$15</f>
        <v>0.90797058759950267</v>
      </c>
    </row>
    <row r="49" spans="1:7">
      <c r="A49" s="610"/>
      <c r="B49" s="608">
        <f ca="1">+B32+1</f>
        <v>3.3916876559316353</v>
      </c>
      <c r="C49" s="609">
        <f t="shared" ca="1" si="4"/>
        <v>112151.96231996731</v>
      </c>
      <c r="D49" s="609">
        <f t="shared" ca="1" si="4"/>
        <v>130719.05456609912</v>
      </c>
      <c r="E49" s="609">
        <f t="shared" ca="1" si="4"/>
        <v>157049.32282732791</v>
      </c>
      <c r="F49" s="204"/>
      <c r="G49" s="651">
        <f ca="1">1/(1+(B49/100))^$B$15</f>
        <v>0.87263088149913082</v>
      </c>
    </row>
    <row r="50" spans="1:7">
      <c r="A50" s="144"/>
      <c r="B50" s="611">
        <f t="shared" ref="B50:B55" ca="1" si="5">+B47</f>
        <v>1.3916876559316353</v>
      </c>
      <c r="C50" s="612">
        <f ca="1">+SUM($C35:$AV35,C47)</f>
        <v>308975.40252279589</v>
      </c>
      <c r="D50" s="612">
        <f ca="1">+SUM($C35:$AV35,D47)</f>
        <v>472070.65144362149</v>
      </c>
      <c r="E50" s="612">
        <f ca="1">+SUM($C35:$AV35,E47)</f>
        <v>1051556.9876273354</v>
      </c>
      <c r="F50" s="204"/>
      <c r="G50" s="204"/>
    </row>
    <row r="51" spans="1:7">
      <c r="A51" s="144" t="s">
        <v>678</v>
      </c>
      <c r="B51" s="611">
        <f t="shared" ca="1" si="5"/>
        <v>2.3916876559316353</v>
      </c>
      <c r="C51" s="612">
        <f t="shared" ref="C51:E51" ca="1" si="6">+SUM($C36:$AV36,C48)</f>
        <v>178171.28415001367</v>
      </c>
      <c r="D51" s="612">
        <f t="shared" ca="1" si="6"/>
        <v>220599.16119978414</v>
      </c>
      <c r="E51" s="612">
        <f t="shared" ca="1" si="6"/>
        <v>293513.67572811153</v>
      </c>
      <c r="F51" s="204"/>
      <c r="G51" s="204"/>
    </row>
    <row r="52" spans="1:7">
      <c r="A52" s="613"/>
      <c r="B52" s="611">
        <f t="shared" ca="1" si="5"/>
        <v>3.3916876559316353</v>
      </c>
      <c r="C52" s="612">
        <f ca="1">+SUM($C37:$AV37,C49)</f>
        <v>124586.02971474962</v>
      </c>
      <c r="D52" s="612">
        <f ca="1">+SUM($C37:$AV37,D49)</f>
        <v>143153.12196088143</v>
      </c>
      <c r="E52" s="612">
        <f ca="1">+SUM($C37:$AV37,E49)</f>
        <v>169483.3902221102</v>
      </c>
      <c r="F52" s="204"/>
      <c r="G52" s="204"/>
    </row>
    <row r="53" spans="1:7">
      <c r="A53" s="614"/>
      <c r="B53" s="615">
        <f t="shared" ca="1" si="5"/>
        <v>1.3916876559316353</v>
      </c>
      <c r="C53" s="616">
        <f t="shared" ref="C53:E55" ca="1" si="7">+C50+$B$41-$B$42-$B$43</f>
        <v>297117.40252279589</v>
      </c>
      <c r="D53" s="616">
        <f t="shared" ca="1" si="7"/>
        <v>460212.65144362149</v>
      </c>
      <c r="E53" s="616">
        <f t="shared" ca="1" si="7"/>
        <v>1039698.9876273354</v>
      </c>
      <c r="F53" s="204"/>
      <c r="G53" s="204"/>
    </row>
    <row r="54" spans="1:7">
      <c r="A54" s="604" t="s">
        <v>679</v>
      </c>
      <c r="B54" s="615">
        <f t="shared" ca="1" si="5"/>
        <v>2.3916876559316353</v>
      </c>
      <c r="C54" s="616">
        <f t="shared" ca="1" si="7"/>
        <v>166313.28415001367</v>
      </c>
      <c r="D54" s="616">
        <f t="shared" ca="1" si="7"/>
        <v>208741.16119978414</v>
      </c>
      <c r="E54" s="616">
        <f t="shared" ca="1" si="7"/>
        <v>281655.67572811153</v>
      </c>
      <c r="F54" s="204"/>
      <c r="G54" s="204"/>
    </row>
    <row r="55" spans="1:7">
      <c r="A55" s="614"/>
      <c r="B55" s="615">
        <f t="shared" ca="1" si="5"/>
        <v>3.3916876559316353</v>
      </c>
      <c r="C55" s="616">
        <f ca="1">+C52+$B$41-$B$42-$B$43</f>
        <v>112728.02971474962</v>
      </c>
      <c r="D55" s="616">
        <f t="shared" ca="1" si="7"/>
        <v>131295.12196088143</v>
      </c>
      <c r="E55" s="616">
        <f t="shared" ca="1" si="7"/>
        <v>157625.3902221102</v>
      </c>
      <c r="F55" s="204"/>
      <c r="G55" s="204"/>
    </row>
    <row r="56" spans="1:7">
      <c r="A56" s="617"/>
      <c r="B56" s="618">
        <f ca="1">ROUND(+B53,2)</f>
        <v>1.39</v>
      </c>
      <c r="C56" s="619">
        <f t="shared" ref="C56:E58" ca="1" si="8">+C53/$B$44*1000000</f>
        <v>27561911.180222254</v>
      </c>
      <c r="D56" s="619">
        <f t="shared" ca="1" si="8"/>
        <v>42691340.579185672</v>
      </c>
      <c r="E56" s="619">
        <f t="shared" ca="1" si="8"/>
        <v>96447030.392146125</v>
      </c>
      <c r="F56" s="204"/>
      <c r="G56" s="204"/>
    </row>
    <row r="57" spans="1:7">
      <c r="A57" s="598" t="s">
        <v>680</v>
      </c>
      <c r="B57" s="618">
        <f t="shared" ref="B57:B58" ca="1" si="9">ROUND(+B54,2)</f>
        <v>2.39</v>
      </c>
      <c r="C57" s="619">
        <f t="shared" ca="1" si="8"/>
        <v>15427948.436921492</v>
      </c>
      <c r="D57" s="619">
        <f t="shared" ca="1" si="8"/>
        <v>19363744.081612632</v>
      </c>
      <c r="E57" s="619">
        <f t="shared" ca="1" si="8"/>
        <v>26127613.703906447</v>
      </c>
      <c r="F57" s="204"/>
      <c r="G57" s="204"/>
    </row>
    <row r="58" spans="1:7">
      <c r="A58" s="617"/>
      <c r="B58" s="618">
        <f t="shared" ca="1" si="9"/>
        <v>3.39</v>
      </c>
      <c r="C58" s="619">
        <f t="shared" ca="1" si="8"/>
        <v>10457145.613613138</v>
      </c>
      <c r="D58" s="619">
        <f t="shared" ca="1" si="8"/>
        <v>12179510.38598158</v>
      </c>
      <c r="E58" s="619">
        <f t="shared" ca="1" si="8"/>
        <v>14622021.356410965</v>
      </c>
      <c r="F58" s="204"/>
      <c r="G58" s="204"/>
    </row>
    <row r="70" spans="1:7">
      <c r="A70" s="625" t="s">
        <v>689</v>
      </c>
      <c r="B70" s="622"/>
      <c r="C70" s="622"/>
      <c r="D70" s="622"/>
      <c r="E70" s="622"/>
      <c r="F70" s="622"/>
      <c r="G70" s="622"/>
    </row>
    <row r="72" spans="1:7">
      <c r="A72" s="582" t="s">
        <v>681</v>
      </c>
      <c r="B72" s="582" t="s">
        <v>628</v>
      </c>
    </row>
    <row r="73" spans="1:7">
      <c r="A73" s="437" t="s">
        <v>682</v>
      </c>
      <c r="B73" s="204">
        <f>MATCH(A73,FCF추정!$1:$1,0)-3</f>
        <v>8</v>
      </c>
    </row>
    <row r="74" spans="1:7">
      <c r="A74" s="437" t="s">
        <v>683</v>
      </c>
      <c r="B74" s="204">
        <f>MATCH(A74,FCF추정!$C:$C,0)</f>
        <v>5</v>
      </c>
    </row>
    <row r="75" spans="1:7">
      <c r="A75" s="437" t="s">
        <v>708</v>
      </c>
      <c r="B75" s="204">
        <f>MATCH(A75,FCF추정!$C:$C,0)</f>
        <v>7</v>
      </c>
    </row>
    <row r="76" spans="1:7">
      <c r="A76" s="437" t="s">
        <v>699</v>
      </c>
      <c r="B76" s="204">
        <f>MATCH(A76,FCF추정!$C:$C,0)</f>
        <v>24</v>
      </c>
    </row>
    <row r="77" spans="1:7">
      <c r="A77" s="437"/>
      <c r="B77" s="204"/>
    </row>
    <row r="78" spans="1:7">
      <c r="A78" s="437" t="s">
        <v>684</v>
      </c>
      <c r="B78" s="204">
        <f>MATCH(A78,FCF추정!$C:$C,0)</f>
        <v>16</v>
      </c>
    </row>
    <row r="79" spans="1:7">
      <c r="A79" s="437" t="s">
        <v>685</v>
      </c>
      <c r="B79" s="204">
        <f>MATCH(A79,FCF추정!$C:$C,0)</f>
        <v>17</v>
      </c>
    </row>
    <row r="80" spans="1:7">
      <c r="A80" s="437" t="s">
        <v>686</v>
      </c>
      <c r="B80" s="204">
        <f>MATCH(A80,FCF추정!$C:$C,0)</f>
        <v>18</v>
      </c>
    </row>
    <row r="81" spans="1:2">
      <c r="A81" s="437" t="s">
        <v>687</v>
      </c>
      <c r="B81" s="204">
        <f>MATCH(A81,FCF추정!$C:$C,0)</f>
        <v>19</v>
      </c>
    </row>
  </sheetData>
  <phoneticPr fontId="9" type="noConversion"/>
  <conditionalFormatting sqref="B2:D4">
    <cfRule type="cellIs" dxfId="7" priority="409" operator="equal">
      <formula>$B$7</formula>
    </cfRule>
  </conditionalFormatting>
  <conditionalFormatting sqref="G2:I4">
    <cfRule type="cellIs" dxfId="6" priority="1" operator="equal">
      <formula>$B$7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B1:AR63"/>
  <sheetViews>
    <sheetView showGridLines="0" zoomScale="85" zoomScaleNormal="85" workbookViewId="0"/>
  </sheetViews>
  <sheetFormatPr defaultRowHeight="16.5"/>
  <cols>
    <col min="1" max="1" width="3.625" style="203" customWidth="1"/>
    <col min="2" max="6" width="15.625" style="203" customWidth="1"/>
    <col min="7" max="7" width="3.625" style="203" customWidth="1"/>
    <col min="8" max="8" width="12.625" style="203" customWidth="1"/>
    <col min="9" max="9" width="1.625" customWidth="1"/>
    <col min="10" max="14" width="12.625" style="203" customWidth="1"/>
    <col min="15" max="15" width="3.625" style="203" customWidth="1"/>
    <col min="16" max="16" width="15.625" style="384" customWidth="1"/>
    <col min="17" max="17" width="1.625" customWidth="1"/>
    <col min="18" max="19" width="10.625" style="203" customWidth="1"/>
    <col min="20" max="20" width="3.625" style="203" customWidth="1"/>
    <col min="21" max="21" width="20" style="203" bestFit="1" customWidth="1"/>
    <col min="22" max="25" width="12.625" style="203" customWidth="1"/>
    <col min="26" max="26" width="3.625" style="203" customWidth="1"/>
    <col min="27" max="27" width="20.625" style="203" customWidth="1"/>
    <col min="28" max="28" width="1.625" customWidth="1"/>
    <col min="29" max="33" width="12.625" style="203" customWidth="1"/>
    <col min="34" max="34" width="9" style="203"/>
    <col min="35" max="35" width="9" style="203" hidden="1" customWidth="1"/>
    <col min="36" max="36" width="14.5" style="502" customWidth="1"/>
    <col min="37" max="37" width="10.625" style="502" customWidth="1"/>
    <col min="38" max="38" width="20.625" style="502" customWidth="1"/>
    <col min="39" max="39" width="9" style="502" customWidth="1"/>
    <col min="40" max="40" width="10.625" style="502" customWidth="1"/>
    <col min="41" max="41" width="10.625" style="203" customWidth="1"/>
    <col min="42" max="43" width="9" style="203" customWidth="1"/>
    <col min="44" max="44" width="10.625" style="203" customWidth="1"/>
    <col min="45" max="16384" width="9" style="203"/>
  </cols>
  <sheetData>
    <row r="1" spans="2:44">
      <c r="AA1" s="383" t="str">
        <f>LEFT(AA2,4)</f>
        <v>FCF추</v>
      </c>
      <c r="AC1" s="383" t="str">
        <f t="shared" ref="AC1:AF1" si="0">LEFT(AC4,4)</f>
        <v>FCF추</v>
      </c>
      <c r="AD1" s="383" t="str">
        <f t="shared" si="0"/>
        <v>FCF추</v>
      </c>
      <c r="AE1" s="383" t="str">
        <f t="shared" si="0"/>
        <v>FCF추</v>
      </c>
      <c r="AF1" s="383" t="str">
        <f t="shared" si="0"/>
        <v>FCF추</v>
      </c>
      <c r="AG1" s="383" t="str">
        <f>LEFT(AG4,4)</f>
        <v>FCF추</v>
      </c>
      <c r="AJ1" s="682" t="s">
        <v>721</v>
      </c>
      <c r="AK1" s="682" t="s">
        <v>719</v>
      </c>
      <c r="AL1" s="682" t="s">
        <v>720</v>
      </c>
      <c r="AM1" s="683"/>
      <c r="AN1" s="682" t="s">
        <v>722</v>
      </c>
      <c r="AO1" s="682" t="s">
        <v>723</v>
      </c>
      <c r="AP1" s="684"/>
      <c r="AQ1" s="682" t="s">
        <v>571</v>
      </c>
      <c r="AR1" s="682" t="s">
        <v>725</v>
      </c>
    </row>
    <row r="2" spans="2:44">
      <c r="B2" s="684" t="s">
        <v>743</v>
      </c>
      <c r="C2" s="687" t="b">
        <f ca="1">+D23=AC39=평가값</f>
        <v>0</v>
      </c>
      <c r="D2" s="688" t="b">
        <f ca="1">IFERROR(C2,"보고서 작성 확인 검토 필요!!")</f>
        <v>0</v>
      </c>
      <c r="J2" s="510" t="s">
        <v>248</v>
      </c>
      <c r="AA2" s="385" t="s">
        <v>249</v>
      </c>
      <c r="AC2" s="383" t="e">
        <f>MATCH(AC1,IS추정!$I$13:$O$13,0)-1</f>
        <v>#N/A</v>
      </c>
      <c r="AD2" s="383" t="e">
        <f>MATCH(AD1,IS추정!$I$13:$O$13,0)-1</f>
        <v>#N/A</v>
      </c>
      <c r="AE2" s="383" t="e">
        <f>MATCH(AE1,IS추정!$I$13:$O$13,0)-1</f>
        <v>#N/A</v>
      </c>
      <c r="AF2" s="383" t="e">
        <f>MATCH(AF1,IS추정!$I$13:$O$13,0)-1</f>
        <v>#N/A</v>
      </c>
      <c r="AG2" s="383" t="e">
        <f>MATCH(AG1,IS추정!$I$13:$O$13,0)-1</f>
        <v>#N/A</v>
      </c>
    </row>
    <row r="3" spans="2:44">
      <c r="AI3" s="386"/>
    </row>
    <row r="4" spans="2:44">
      <c r="B4" s="432" t="s">
        <v>411</v>
      </c>
      <c r="C4" s="526" t="str">
        <f>TRIM(COMPANY!E2)</f>
        <v>(주)루메나</v>
      </c>
      <c r="D4" s="432" t="s">
        <v>412</v>
      </c>
      <c r="E4" s="526" t="s">
        <v>413</v>
      </c>
      <c r="F4" s="527"/>
      <c r="H4" s="389" t="s">
        <v>254</v>
      </c>
      <c r="J4" s="390" t="str">
        <f>LEFT(AC$4,4)&amp;"년"</f>
        <v>FCF추년</v>
      </c>
      <c r="K4" s="390" t="str">
        <f>LEFT(AD$4,4)&amp;"년"</f>
        <v>FCF추년</v>
      </c>
      <c r="L4" s="390" t="str">
        <f>LEFT(AE$4,4)&amp;"년"</f>
        <v>FCF추년</v>
      </c>
      <c r="M4" s="390" t="str">
        <f>LEFT(AF$4,4)&amp;"년"</f>
        <v>FCF추년</v>
      </c>
      <c r="N4" s="390" t="str">
        <f>LEFT(AG$4,4)&amp;"년"</f>
        <v>FCF추년</v>
      </c>
      <c r="P4" s="390" t="s">
        <v>254</v>
      </c>
      <c r="R4" s="390" t="s">
        <v>255</v>
      </c>
      <c r="S4" s="390" t="s">
        <v>256</v>
      </c>
      <c r="U4" s="388" t="s">
        <v>257</v>
      </c>
      <c r="V4" s="388" t="s">
        <v>258</v>
      </c>
      <c r="W4" s="388" t="s">
        <v>259</v>
      </c>
      <c r="X4" s="388" t="s">
        <v>260</v>
      </c>
      <c r="Y4" s="388" t="s">
        <v>567</v>
      </c>
      <c r="AA4" s="387" t="s">
        <v>254</v>
      </c>
      <c r="AC4" s="681" t="s">
        <v>262</v>
      </c>
      <c r="AD4" s="681" t="s">
        <v>263</v>
      </c>
      <c r="AE4" s="681" t="s">
        <v>264</v>
      </c>
      <c r="AF4" s="681" t="s">
        <v>265</v>
      </c>
      <c r="AG4" s="681" t="s">
        <v>266</v>
      </c>
      <c r="AI4" s="376"/>
      <c r="AJ4" s="500" t="s">
        <v>120</v>
      </c>
      <c r="AK4" s="500" t="s">
        <v>525</v>
      </c>
      <c r="AL4" s="501" t="str">
        <f>평가기준일</f>
        <v>2024-05-31</v>
      </c>
      <c r="AN4" s="508">
        <v>1</v>
      </c>
      <c r="AO4" s="508">
        <f t="array" ref="AO4:AO18">IFERROR(SMALL(IF(Bloomberg!$O$7:$O$31=1,ROW(Bloomberg!$N$7:$N$31)),$AN$4:$AN$18),"")</f>
        <v>8</v>
      </c>
      <c r="AQ4" s="203" t="s">
        <v>572</v>
      </c>
      <c r="AR4" s="203" t="str">
        <f t="shared" ref="AR4:AR24" ca="1" si="1">CELL("address",INDIRECT($AQ4))</f>
        <v>$B$4</v>
      </c>
    </row>
    <row r="5" spans="2:44">
      <c r="B5" s="432" t="s">
        <v>120</v>
      </c>
      <c r="C5" s="528" t="str">
        <f>TRIM(평가기준일)</f>
        <v>2024-05-31</v>
      </c>
      <c r="D5" s="432" t="s">
        <v>414</v>
      </c>
      <c r="E5" s="529">
        <f>COMPANY!E7</f>
        <v>5000</v>
      </c>
      <c r="F5" s="527"/>
      <c r="H5" s="394" t="s">
        <v>218</v>
      </c>
      <c r="J5" s="395" t="e">
        <f ca="1">OFFSET(IS추정!$I$13,1,AC2)</f>
        <v>#N/A</v>
      </c>
      <c r="K5" s="395" t="e">
        <f ca="1">OFFSET(IS추정!$I$13,1,AD2)</f>
        <v>#N/A</v>
      </c>
      <c r="L5" s="395" t="e">
        <f ca="1">OFFSET(IS추정!$I$13,1,AE2)</f>
        <v>#N/A</v>
      </c>
      <c r="M5" s="395" t="e">
        <f ca="1">OFFSET(IS추정!$I$13,1,AF2)</f>
        <v>#N/A</v>
      </c>
      <c r="N5" s="395" t="e">
        <f ca="1">OFFSET(IS추정!$I$13,1,AG2)</f>
        <v>#N/A</v>
      </c>
      <c r="P5" s="391" t="s">
        <v>271</v>
      </c>
      <c r="R5" s="396" t="s">
        <v>543</v>
      </c>
      <c r="S5" s="391"/>
      <c r="U5" s="392" t="str">
        <f ca="1">IFERROR(OFFSET(Bloomberg!$A$1,'보고서(일반)'!AO4-1,1),"")</f>
        <v>롯데지주</v>
      </c>
      <c r="V5" s="397">
        <f ca="1">IF('보고서(일반)'!$U5&lt;&gt;"",INDEX(Bloomberg!K:K,MATCH('보고서(일반)'!$U5,Bloomberg!$B:$B,0)))</f>
        <v>0.86399999999999999</v>
      </c>
      <c r="W5" s="398">
        <f ca="1">IF('보고서(일반)'!$U5&lt;&gt;"",INDEX(Bloomberg!L:L,MATCH('보고서(일반)'!$U5,Bloomberg!$B:$B,0)))</f>
        <v>464.43825206521359</v>
      </c>
      <c r="X5" s="397">
        <f ca="1">IF('보고서(일반)'!$U5&lt;&gt;"",INDEX(Bloomberg!P:P,MATCH('보고서(일반)'!$U5,Bloomberg!$B:$B,0)))</f>
        <v>0.18690705820202019</v>
      </c>
      <c r="Y5" s="397">
        <f ca="1">IF('보고서(일반)'!$U5&lt;&gt;"",INDEX(Bloomberg!R:R,MATCH('보고서(일반)'!$U5,Bloomberg!$B:$B,0)))</f>
        <v>0.86399999999999999</v>
      </c>
      <c r="AA5" s="399" t="s">
        <v>272</v>
      </c>
      <c r="AC5" s="400" t="e">
        <f ca="1">J5</f>
        <v>#N/A</v>
      </c>
      <c r="AD5" s="400" t="e">
        <f ca="1">K5</f>
        <v>#N/A</v>
      </c>
      <c r="AE5" s="400" t="e">
        <f ca="1">L5</f>
        <v>#N/A</v>
      </c>
      <c r="AF5" s="400" t="e">
        <f ca="1">M5</f>
        <v>#N/A</v>
      </c>
      <c r="AG5" s="400" t="e">
        <f ca="1">N5</f>
        <v>#N/A</v>
      </c>
      <c r="AI5" s="376"/>
      <c r="AJ5" s="500" t="s">
        <v>357</v>
      </c>
      <c r="AK5" s="500" t="s">
        <v>569</v>
      </c>
      <c r="AL5" s="503" t="str">
        <f>TRIM(COMPANY!E2)</f>
        <v>(주)루메나</v>
      </c>
      <c r="AN5" s="508">
        <v>2</v>
      </c>
      <c r="AO5" s="508" t="str">
        <v/>
      </c>
      <c r="AQ5" s="203" t="s">
        <v>573</v>
      </c>
      <c r="AR5" s="203" t="str">
        <f t="shared" ca="1" si="1"/>
        <v>$B$8</v>
      </c>
    </row>
    <row r="6" spans="2:44">
      <c r="B6" s="432" t="s">
        <v>416</v>
      </c>
      <c r="C6" s="526" t="s">
        <v>417</v>
      </c>
      <c r="D6" s="432" t="s">
        <v>418</v>
      </c>
      <c r="E6" s="526" t="s">
        <v>419</v>
      </c>
      <c r="F6" s="527"/>
      <c r="H6" s="401" t="s">
        <v>277</v>
      </c>
      <c r="J6" s="402" t="e">
        <f ca="1">J5</f>
        <v>#N/A</v>
      </c>
      <c r="K6" s="402" t="e">
        <f ca="1">K5</f>
        <v>#N/A</v>
      </c>
      <c r="L6" s="402" t="e">
        <f ca="1">L5</f>
        <v>#N/A</v>
      </c>
      <c r="M6" s="402" t="e">
        <f ca="1">M5</f>
        <v>#N/A</v>
      </c>
      <c r="N6" s="402" t="e">
        <f ca="1">N5</f>
        <v>#N/A</v>
      </c>
      <c r="P6" s="391" t="s">
        <v>278</v>
      </c>
      <c r="R6" s="396" t="s">
        <v>544</v>
      </c>
      <c r="S6" s="391"/>
      <c r="U6" s="392" t="str">
        <f ca="1">IFERROR(OFFSET(Bloomberg!$A$1,'보고서(일반)'!AO5-1,1),"")</f>
        <v/>
      </c>
      <c r="V6" s="397" t="b">
        <f ca="1">IF('보고서(일반)'!$U6&lt;&gt;"",INDEX(Bloomberg!K:K,MATCH('보고서(일반)'!$U6,Bloomberg!$B:$B,0)))</f>
        <v>0</v>
      </c>
      <c r="W6" s="398" t="b">
        <f ca="1">IF('보고서(일반)'!$U6&lt;&gt;"",INDEX(Bloomberg!L:L,MATCH('보고서(일반)'!$U6,Bloomberg!$B:$B,0)))</f>
        <v>0</v>
      </c>
      <c r="X6" s="397" t="b">
        <f ca="1">IF('보고서(일반)'!$U6&lt;&gt;"",INDEX(Bloomberg!P:P,MATCH('보고서(일반)'!$U6,Bloomberg!$B:$B,0)))</f>
        <v>0</v>
      </c>
      <c r="Y6" s="397" t="b">
        <f ca="1">IF('보고서(일반)'!$U6&lt;&gt;"",INDEX(Bloomberg!R:R,MATCH('보고서(일반)'!$U6,Bloomberg!$B:$B,0)))</f>
        <v>0</v>
      </c>
      <c r="AA6" s="399" t="s">
        <v>279</v>
      </c>
      <c r="AC6" s="400" t="e">
        <f ca="1">J10</f>
        <v>#N/A</v>
      </c>
      <c r="AD6" s="400" t="e">
        <f ca="1">K10</f>
        <v>#N/A</v>
      </c>
      <c r="AE6" s="400" t="e">
        <f ca="1">L10</f>
        <v>#N/A</v>
      </c>
      <c r="AF6" s="400" t="e">
        <f ca="1">M10</f>
        <v>#N/A</v>
      </c>
      <c r="AG6" s="400" t="e">
        <f ca="1">N10</f>
        <v>#N/A</v>
      </c>
      <c r="AI6" s="376"/>
      <c r="AJ6" s="500" t="s">
        <v>526</v>
      </c>
      <c r="AK6" s="500" t="s">
        <v>527</v>
      </c>
      <c r="AL6" s="504">
        <f>DATEVALUE(AL4)</f>
        <v>45443</v>
      </c>
      <c r="AN6" s="508">
        <v>3</v>
      </c>
      <c r="AO6" s="508" t="str">
        <v/>
      </c>
      <c r="AQ6" s="203" t="s">
        <v>574</v>
      </c>
      <c r="AR6" s="203" t="str">
        <f t="shared" ca="1" si="1"/>
        <v>$D$16</v>
      </c>
    </row>
    <row r="7" spans="2:44">
      <c r="B7" s="527"/>
      <c r="C7" s="527"/>
      <c r="D7" s="527"/>
      <c r="E7" s="527"/>
      <c r="F7" s="527"/>
      <c r="H7" s="403" t="s">
        <v>284</v>
      </c>
      <c r="J7" s="509" t="e">
        <f>R29/S29-1</f>
        <v>#DIV/0!</v>
      </c>
      <c r="K7" s="404" t="e">
        <f ca="1">K6/J6-1</f>
        <v>#N/A</v>
      </c>
      <c r="L7" s="404" t="e">
        <f ca="1">L6/K6-1</f>
        <v>#N/A</v>
      </c>
      <c r="M7" s="404" t="e">
        <f ca="1">M6/L6-1</f>
        <v>#N/A</v>
      </c>
      <c r="N7" s="404" t="e">
        <f ca="1">N6/M6-1</f>
        <v>#N/A</v>
      </c>
      <c r="P7" s="391" t="s">
        <v>285</v>
      </c>
      <c r="R7" s="396" t="s">
        <v>545</v>
      </c>
      <c r="S7" s="391"/>
      <c r="U7" s="392" t="str">
        <f ca="1">IFERROR(OFFSET(Bloomberg!$A$1,'보고서(일반)'!AO6-1,1),"")</f>
        <v/>
      </c>
      <c r="V7" s="397" t="b">
        <f ca="1">IF('보고서(일반)'!$U7&lt;&gt;"",INDEX(Bloomberg!K:K,MATCH('보고서(일반)'!$U7,Bloomberg!$B:$B,0)))</f>
        <v>0</v>
      </c>
      <c r="W7" s="398" t="b">
        <f ca="1">IF('보고서(일반)'!$U7&lt;&gt;"",INDEX(Bloomberg!L:L,MATCH('보고서(일반)'!$U7,Bloomberg!$B:$B,0)))</f>
        <v>0</v>
      </c>
      <c r="X7" s="397" t="b">
        <f ca="1">IF('보고서(일반)'!$U7&lt;&gt;"",INDEX(Bloomberg!P:P,MATCH('보고서(일반)'!$U7,Bloomberg!$B:$B,0)))</f>
        <v>0</v>
      </c>
      <c r="Y7" s="397" t="b">
        <f ca="1">IF('보고서(일반)'!$U7&lt;&gt;"",INDEX(Bloomberg!R:R,MATCH('보고서(일반)'!$U7,Bloomberg!$B:$B,0)))</f>
        <v>0</v>
      </c>
      <c r="AA7" s="399" t="s">
        <v>286</v>
      </c>
      <c r="AC7" s="400" t="e">
        <f ca="1">AC5-AC6</f>
        <v>#N/A</v>
      </c>
      <c r="AD7" s="400" t="e">
        <f ca="1">AD5-AD6</f>
        <v>#N/A</v>
      </c>
      <c r="AE7" s="400" t="e">
        <f ca="1">AE5-AE6</f>
        <v>#N/A</v>
      </c>
      <c r="AF7" s="400" t="e">
        <f ca="1">AF5-AF6</f>
        <v>#N/A</v>
      </c>
      <c r="AG7" s="400" t="e">
        <f ca="1">AG5-AG6</f>
        <v>#N/A</v>
      </c>
      <c r="AI7" s="376"/>
      <c r="AJ7" s="500" t="s">
        <v>528</v>
      </c>
      <c r="AK7" s="500" t="s">
        <v>529</v>
      </c>
      <c r="AL7" s="725">
        <f ca="1">Settings!E72</f>
        <v>2028</v>
      </c>
      <c r="AN7" s="508">
        <v>4</v>
      </c>
      <c r="AO7" s="508" t="str">
        <v/>
      </c>
      <c r="AQ7" s="203" t="s">
        <v>575</v>
      </c>
      <c r="AR7" s="203" t="str">
        <f t="shared" ca="1" si="1"/>
        <v>$B$25</v>
      </c>
    </row>
    <row r="8" spans="2:44">
      <c r="B8" s="530" t="s">
        <v>250</v>
      </c>
      <c r="C8" s="531" t="s">
        <v>251</v>
      </c>
      <c r="D8" s="531" t="s">
        <v>252</v>
      </c>
      <c r="E8" s="531" t="s">
        <v>593</v>
      </c>
      <c r="F8" s="531" t="s">
        <v>253</v>
      </c>
      <c r="P8" s="391" t="s">
        <v>291</v>
      </c>
      <c r="R8" s="395" t="s">
        <v>546</v>
      </c>
      <c r="S8" s="391"/>
      <c r="U8" s="392" t="str">
        <f ca="1">IFERROR(OFFSET(Bloomberg!$A$1,'보고서(일반)'!AO7-1,1),"")</f>
        <v/>
      </c>
      <c r="V8" s="397" t="b">
        <f ca="1">IF('보고서(일반)'!$U8&lt;&gt;"",INDEX(Bloomberg!K:K,MATCH('보고서(일반)'!$U8,Bloomberg!$B:$B,0)))</f>
        <v>0</v>
      </c>
      <c r="W8" s="398" t="b">
        <f ca="1">IF('보고서(일반)'!$U8&lt;&gt;"",INDEX(Bloomberg!L:L,MATCH('보고서(일반)'!$U8,Bloomberg!$B:$B,0)))</f>
        <v>0</v>
      </c>
      <c r="X8" s="397" t="b">
        <f ca="1">IF('보고서(일반)'!$U8&lt;&gt;"",INDEX(Bloomberg!P:P,MATCH('보고서(일반)'!$U8,Bloomberg!$B:$B,0)))</f>
        <v>0</v>
      </c>
      <c r="Y8" s="397" t="b">
        <f ca="1">IF('보고서(일반)'!$U8&lt;&gt;"",INDEX(Bloomberg!R:R,MATCH('보고서(일반)'!$U8,Bloomberg!$B:$B,0)))</f>
        <v>0</v>
      </c>
      <c r="AA8" s="399" t="s">
        <v>292</v>
      </c>
      <c r="AC8" s="400" t="e">
        <f t="shared" ref="AC8:AG14" ca="1" si="2">J31</f>
        <v>#N/A</v>
      </c>
      <c r="AD8" s="400" t="e">
        <f t="shared" ca="1" si="2"/>
        <v>#N/A</v>
      </c>
      <c r="AE8" s="400" t="e">
        <f t="shared" ca="1" si="2"/>
        <v>#N/A</v>
      </c>
      <c r="AF8" s="400" t="e">
        <f t="shared" ca="1" si="2"/>
        <v>#N/A</v>
      </c>
      <c r="AG8" s="400" t="e">
        <f t="shared" ca="1" si="2"/>
        <v>#N/A</v>
      </c>
      <c r="AI8" s="376"/>
      <c r="AJ8" s="500" t="s">
        <v>530</v>
      </c>
      <c r="AK8" s="500" t="s">
        <v>531</v>
      </c>
      <c r="AL8" s="506">
        <f>MONTH(AL6)</f>
        <v>5</v>
      </c>
      <c r="AN8" s="508">
        <v>5</v>
      </c>
      <c r="AO8" s="508" t="str">
        <v/>
      </c>
      <c r="AQ8" s="203" t="s">
        <v>576</v>
      </c>
      <c r="AR8" s="203" t="str">
        <f t="shared" ca="1" si="1"/>
        <v>$B$29</v>
      </c>
    </row>
    <row r="9" spans="2:44">
      <c r="B9" s="394" t="str">
        <f>LEFT(AC$4,4)&amp;"년"</f>
        <v>FCF추년</v>
      </c>
      <c r="C9" s="532" t="s">
        <v>267</v>
      </c>
      <c r="D9" s="533" t="s">
        <v>268</v>
      </c>
      <c r="E9" s="533" t="s">
        <v>269</v>
      </c>
      <c r="F9" s="532" t="s">
        <v>270</v>
      </c>
      <c r="H9" s="389" t="s">
        <v>254</v>
      </c>
      <c r="J9" s="390" t="str">
        <f>LEFT(AC$4,4)&amp;"년"</f>
        <v>FCF추년</v>
      </c>
      <c r="K9" s="390" t="str">
        <f>LEFT(AD$4,4)&amp;"년"</f>
        <v>FCF추년</v>
      </c>
      <c r="L9" s="390" t="str">
        <f>LEFT(AE$4,4)&amp;"년"</f>
        <v>FCF추년</v>
      </c>
      <c r="M9" s="390" t="str">
        <f>LEFT(AF$4,4)&amp;"년"</f>
        <v>FCF추년</v>
      </c>
      <c r="N9" s="390" t="str">
        <f>LEFT(AG$4,4)&amp;"년"</f>
        <v>FCF추년</v>
      </c>
      <c r="P9" s="391" t="s">
        <v>297</v>
      </c>
      <c r="R9" s="396" t="s">
        <v>547</v>
      </c>
      <c r="S9" s="391"/>
      <c r="U9" s="392" t="str">
        <f ca="1">IFERROR(OFFSET(Bloomberg!$A$1,'보고서(일반)'!AO8-1,1),"")</f>
        <v/>
      </c>
      <c r="V9" s="397" t="b">
        <f ca="1">IF('보고서(일반)'!$U9&lt;&gt;"",INDEX(Bloomberg!K:K,MATCH('보고서(일반)'!$U9,Bloomberg!$B:$B,0)))</f>
        <v>0</v>
      </c>
      <c r="W9" s="398" t="b">
        <f ca="1">IF('보고서(일반)'!$U9&lt;&gt;"",INDEX(Bloomberg!L:L,MATCH('보고서(일반)'!$U9,Bloomberg!$B:$B,0)))</f>
        <v>0</v>
      </c>
      <c r="X9" s="397" t="b">
        <f ca="1">IF('보고서(일반)'!$U9&lt;&gt;"",INDEX(Bloomberg!P:P,MATCH('보고서(일반)'!$U9,Bloomberg!$B:$B,0)))</f>
        <v>0</v>
      </c>
      <c r="Y9" s="397" t="b">
        <f ca="1">IF('보고서(일반)'!$U9&lt;&gt;"",INDEX(Bloomberg!R:R,MATCH('보고서(일반)'!$U9,Bloomberg!$B:$B,0)))</f>
        <v>0</v>
      </c>
      <c r="AA9" s="405" t="s">
        <v>298</v>
      </c>
      <c r="AC9" s="406" t="e">
        <f t="shared" ca="1" si="2"/>
        <v>#N/A</v>
      </c>
      <c r="AD9" s="406" t="e">
        <f t="shared" ca="1" si="2"/>
        <v>#N/A</v>
      </c>
      <c r="AE9" s="406" t="e">
        <f t="shared" ca="1" si="2"/>
        <v>#N/A</v>
      </c>
      <c r="AF9" s="406" t="e">
        <f t="shared" ca="1" si="2"/>
        <v>#N/A</v>
      </c>
      <c r="AG9" s="406" t="e">
        <f t="shared" ca="1" si="2"/>
        <v>#N/A</v>
      </c>
      <c r="AI9" s="376"/>
      <c r="AJ9" s="500" t="s">
        <v>532</v>
      </c>
      <c r="AK9" s="500" t="s">
        <v>533</v>
      </c>
      <c r="AL9" s="503" t="str">
        <f>RATE!F5&amp;"%, "&amp;RATE!F9&amp;"%, "&amp;RATE!F4&amp;"% "</f>
        <v xml:space="preserve">1.91%, 1.56%, 0.71% </v>
      </c>
      <c r="AN9" s="508">
        <v>6</v>
      </c>
      <c r="AO9" s="508" t="str">
        <v/>
      </c>
      <c r="AQ9" s="203" t="s">
        <v>577</v>
      </c>
      <c r="AR9" s="203" t="str">
        <f t="shared" ca="1" si="1"/>
        <v>$B$32</v>
      </c>
    </row>
    <row r="10" spans="2:44">
      <c r="B10" s="394" t="str">
        <f>LEFT(AD$4,4)&amp;"년"</f>
        <v>FCF추년</v>
      </c>
      <c r="C10" s="532" t="s">
        <v>273</v>
      </c>
      <c r="D10" s="533" t="s">
        <v>274</v>
      </c>
      <c r="E10" s="533" t="s">
        <v>275</v>
      </c>
      <c r="F10" s="532" t="s">
        <v>276</v>
      </c>
      <c r="H10" s="394" t="s">
        <v>303</v>
      </c>
      <c r="J10" s="395" t="e">
        <f ca="1">OFFSET(IS추정!$I$13,2,AC2)</f>
        <v>#N/A</v>
      </c>
      <c r="K10" s="395" t="e">
        <f ca="1">OFFSET(IS추정!$I$13,2,AD2)</f>
        <v>#N/A</v>
      </c>
      <c r="L10" s="395" t="e">
        <f ca="1">OFFSET(IS추정!$I$13,2,AE2)</f>
        <v>#N/A</v>
      </c>
      <c r="M10" s="395" t="e">
        <f ca="1">OFFSET(IS추정!$I$13,2,AF2)</f>
        <v>#N/A</v>
      </c>
      <c r="N10" s="395" t="e">
        <f ca="1">OFFSET(IS추정!$I$13,2,AG2)</f>
        <v>#N/A</v>
      </c>
      <c r="P10" s="391" t="s">
        <v>304</v>
      </c>
      <c r="R10" s="396" t="s">
        <v>548</v>
      </c>
      <c r="S10" s="391"/>
      <c r="U10" s="392" t="str">
        <f ca="1">IFERROR(OFFSET(Bloomberg!$A$1,'보고서(일반)'!AO9-1,1),"")</f>
        <v/>
      </c>
      <c r="V10" s="397" t="b">
        <f ca="1">IF('보고서(일반)'!$U10&lt;&gt;"",INDEX(Bloomberg!K:K,MATCH('보고서(일반)'!$U10,Bloomberg!$B:$B,0)))</f>
        <v>0</v>
      </c>
      <c r="W10" s="398" t="b">
        <f ca="1">IF('보고서(일반)'!$U10&lt;&gt;"",INDEX(Bloomberg!L:L,MATCH('보고서(일반)'!$U10,Bloomberg!$B:$B,0)))</f>
        <v>0</v>
      </c>
      <c r="X10" s="397" t="b">
        <f ca="1">IF('보고서(일반)'!$U10&lt;&gt;"",INDEX(Bloomberg!P:P,MATCH('보고서(일반)'!$U10,Bloomberg!$B:$B,0)))</f>
        <v>0</v>
      </c>
      <c r="Y10" s="397" t="b">
        <f ca="1">IF('보고서(일반)'!$U10&lt;&gt;"",INDEX(Bloomberg!R:R,MATCH('보고서(일반)'!$U10,Bloomberg!$B:$B,0)))</f>
        <v>0</v>
      </c>
      <c r="AA10" s="405" t="s">
        <v>305</v>
      </c>
      <c r="AC10" s="406" t="e">
        <f t="shared" ca="1" si="2"/>
        <v>#N/A</v>
      </c>
      <c r="AD10" s="406" t="e">
        <f t="shared" ca="1" si="2"/>
        <v>#N/A</v>
      </c>
      <c r="AE10" s="406" t="e">
        <f t="shared" ca="1" si="2"/>
        <v>#N/A</v>
      </c>
      <c r="AF10" s="406" t="e">
        <f t="shared" ca="1" si="2"/>
        <v>#N/A</v>
      </c>
      <c r="AG10" s="406" t="e">
        <f t="shared" ca="1" si="2"/>
        <v>#N/A</v>
      </c>
      <c r="AI10" s="376"/>
      <c r="AJ10" s="500" t="s">
        <v>534</v>
      </c>
      <c r="AK10" s="500" t="s">
        <v>535</v>
      </c>
      <c r="AL10" s="507" t="str">
        <f>AC39</f>
        <v>FCF추정!E60</v>
      </c>
      <c r="AN10" s="508">
        <v>7</v>
      </c>
      <c r="AO10" s="508" t="str">
        <v/>
      </c>
      <c r="AQ10" s="203" t="s">
        <v>578</v>
      </c>
      <c r="AR10" s="203" t="str">
        <f t="shared" ca="1" si="1"/>
        <v>$B$41</v>
      </c>
    </row>
    <row r="11" spans="2:44">
      <c r="B11" s="394" t="str">
        <f>LEFT(AE$4,4)&amp;"년"</f>
        <v>FCF추년</v>
      </c>
      <c r="C11" s="532" t="s">
        <v>280</v>
      </c>
      <c r="D11" s="533" t="s">
        <v>281</v>
      </c>
      <c r="E11" s="533" t="s">
        <v>282</v>
      </c>
      <c r="F11" s="532" t="s">
        <v>283</v>
      </c>
      <c r="H11" s="401" t="s">
        <v>277</v>
      </c>
      <c r="J11" s="402" t="e">
        <f ca="1">J10</f>
        <v>#N/A</v>
      </c>
      <c r="K11" s="402" t="e">
        <f ca="1">K10</f>
        <v>#N/A</v>
      </c>
      <c r="L11" s="402" t="e">
        <f ca="1">L10</f>
        <v>#N/A</v>
      </c>
      <c r="M11" s="402" t="e">
        <f ca="1">M10</f>
        <v>#N/A</v>
      </c>
      <c r="N11" s="402" t="e">
        <f ca="1">N10</f>
        <v>#N/A</v>
      </c>
      <c r="P11" s="391" t="s">
        <v>306</v>
      </c>
      <c r="R11" s="396" t="s">
        <v>549</v>
      </c>
      <c r="S11" s="391"/>
      <c r="U11" s="392" t="str">
        <f ca="1">IFERROR(OFFSET(Bloomberg!$A$1,'보고서(일반)'!AO10-1,1),"")</f>
        <v/>
      </c>
      <c r="V11" s="397" t="b">
        <f ca="1">IF('보고서(일반)'!$U11&lt;&gt;"",INDEX(Bloomberg!K:K,MATCH('보고서(일반)'!$U11,Bloomberg!$B:$B,0)))</f>
        <v>0</v>
      </c>
      <c r="W11" s="398" t="b">
        <f ca="1">IF('보고서(일반)'!$U11&lt;&gt;"",INDEX(Bloomberg!L:L,MATCH('보고서(일반)'!$U11,Bloomberg!$B:$B,0)))</f>
        <v>0</v>
      </c>
      <c r="X11" s="397" t="b">
        <f ca="1">IF('보고서(일반)'!$U11&lt;&gt;"",INDEX(Bloomberg!P:P,MATCH('보고서(일반)'!$U11,Bloomberg!$B:$B,0)))</f>
        <v>0</v>
      </c>
      <c r="Y11" s="397" t="b">
        <f ca="1">IF('보고서(일반)'!$U11&lt;&gt;"",INDEX(Bloomberg!R:R,MATCH('보고서(일반)'!$U11,Bloomberg!$B:$B,0)))</f>
        <v>0</v>
      </c>
      <c r="AA11" s="405" t="s">
        <v>307</v>
      </c>
      <c r="AC11" s="406" t="e">
        <f t="shared" ca="1" si="2"/>
        <v>#N/A</v>
      </c>
      <c r="AD11" s="406" t="e">
        <f t="shared" ca="1" si="2"/>
        <v>#N/A</v>
      </c>
      <c r="AE11" s="406" t="e">
        <f t="shared" ca="1" si="2"/>
        <v>#N/A</v>
      </c>
      <c r="AF11" s="406" t="e">
        <f t="shared" ca="1" si="2"/>
        <v>#N/A</v>
      </c>
      <c r="AG11" s="406" t="e">
        <f t="shared" ca="1" si="2"/>
        <v>#N/A</v>
      </c>
      <c r="AI11" s="376"/>
      <c r="AJ11" s="500" t="s">
        <v>536</v>
      </c>
      <c r="AK11" s="500" t="s">
        <v>570</v>
      </c>
      <c r="AL11" s="503" t="str">
        <f>LEFT(BS추정!I1,4)&amp;"년 "&amp;MID(BS추정!I1,5,2)&amp;"월"</f>
        <v>2023년 12월</v>
      </c>
      <c r="AN11" s="508">
        <v>8</v>
      </c>
      <c r="AO11" s="508" t="str">
        <v/>
      </c>
      <c r="AQ11" s="203" t="s">
        <v>579</v>
      </c>
      <c r="AR11" s="203" t="str">
        <f t="shared" ca="1" si="1"/>
        <v>$J$4</v>
      </c>
    </row>
    <row r="12" spans="2:44" ht="16.5" customHeight="1">
      <c r="B12" s="394" t="str">
        <f>LEFT(AF$4,4)&amp;"년"</f>
        <v>FCF추년</v>
      </c>
      <c r="C12" s="532" t="s">
        <v>287</v>
      </c>
      <c r="D12" s="533" t="s">
        <v>288</v>
      </c>
      <c r="E12" s="533" t="s">
        <v>289</v>
      </c>
      <c r="F12" s="532" t="s">
        <v>290</v>
      </c>
      <c r="H12" s="403" t="s">
        <v>308</v>
      </c>
      <c r="J12" s="404" t="e">
        <f ca="1">J11/J6</f>
        <v>#N/A</v>
      </c>
      <c r="K12" s="404" t="e">
        <f ca="1">K11/K6</f>
        <v>#N/A</v>
      </c>
      <c r="L12" s="404" t="e">
        <f ca="1">L11/L6</f>
        <v>#N/A</v>
      </c>
      <c r="M12" s="404" t="e">
        <f ca="1">M11/M6</f>
        <v>#N/A</v>
      </c>
      <c r="N12" s="404" t="e">
        <f ca="1">N11/N6</f>
        <v>#N/A</v>
      </c>
      <c r="P12" s="391" t="s">
        <v>309</v>
      </c>
      <c r="R12" s="396" t="s">
        <v>550</v>
      </c>
      <c r="S12" s="391"/>
      <c r="U12" s="392" t="str">
        <f ca="1">IFERROR(OFFSET(Bloomberg!$A$1,'보고서(일반)'!AO11-1,1),"")</f>
        <v/>
      </c>
      <c r="V12" s="397" t="b">
        <f ca="1">IF('보고서(일반)'!$U12&lt;&gt;"",INDEX(Bloomberg!K:K,MATCH('보고서(일반)'!$U12,Bloomberg!$B:$B,0)))</f>
        <v>0</v>
      </c>
      <c r="W12" s="398" t="b">
        <f ca="1">IF('보고서(일반)'!$U12&lt;&gt;"",INDEX(Bloomberg!L:L,MATCH('보고서(일반)'!$U12,Bloomberg!$B:$B,0)))</f>
        <v>0</v>
      </c>
      <c r="X12" s="397" t="b">
        <f ca="1">IF('보고서(일반)'!$U12&lt;&gt;"",INDEX(Bloomberg!P:P,MATCH('보고서(일반)'!$U12,Bloomberg!$B:$B,0)))</f>
        <v>0</v>
      </c>
      <c r="Y12" s="397" t="b">
        <f ca="1">IF('보고서(일반)'!$U12&lt;&gt;"",INDEX(Bloomberg!R:R,MATCH('보고서(일반)'!$U12,Bloomberg!$B:$B,0)))</f>
        <v>0</v>
      </c>
      <c r="AA12" s="405" t="s">
        <v>310</v>
      </c>
      <c r="AC12" s="406" t="e">
        <f t="shared" ca="1" si="2"/>
        <v>#N/A</v>
      </c>
      <c r="AD12" s="406" t="e">
        <f t="shared" ca="1" si="2"/>
        <v>#N/A</v>
      </c>
      <c r="AE12" s="406" t="e">
        <f t="shared" ca="1" si="2"/>
        <v>#N/A</v>
      </c>
      <c r="AF12" s="406" t="e">
        <f t="shared" ca="1" si="2"/>
        <v>#N/A</v>
      </c>
      <c r="AG12" s="406" t="e">
        <f t="shared" ca="1" si="2"/>
        <v>#N/A</v>
      </c>
      <c r="AI12" s="376"/>
      <c r="AJ12" s="500" t="s">
        <v>660</v>
      </c>
      <c r="AK12" s="500" t="s">
        <v>726</v>
      </c>
      <c r="AL12" s="503">
        <f>영구g</f>
        <v>0</v>
      </c>
      <c r="AN12" s="508">
        <v>9</v>
      </c>
      <c r="AO12" s="508" t="str">
        <v/>
      </c>
      <c r="AQ12" s="203" t="s">
        <v>580</v>
      </c>
      <c r="AR12" s="203" t="str">
        <f t="shared" ca="1" si="1"/>
        <v>$J$9</v>
      </c>
    </row>
    <row r="13" spans="2:44" ht="16.5" customHeight="1">
      <c r="B13" s="394" t="str">
        <f>LEFT(AG$4,4)&amp;"년"</f>
        <v>FCF추년</v>
      </c>
      <c r="C13" s="532" t="s">
        <v>293</v>
      </c>
      <c r="D13" s="533" t="s">
        <v>294</v>
      </c>
      <c r="E13" s="533" t="s">
        <v>295</v>
      </c>
      <c r="F13" s="532" t="s">
        <v>296</v>
      </c>
      <c r="P13" s="408" t="s">
        <v>312</v>
      </c>
      <c r="R13" s="402" t="s">
        <v>551</v>
      </c>
      <c r="S13" s="408"/>
      <c r="U13" s="392" t="str">
        <f ca="1">IFERROR(OFFSET(Bloomberg!$A$1,'보고서(일반)'!AO12-1,1),"")</f>
        <v/>
      </c>
      <c r="V13" s="397" t="b">
        <f ca="1">IF('보고서(일반)'!$U13&lt;&gt;"",INDEX(Bloomberg!K:K,MATCH('보고서(일반)'!$U13,Bloomberg!$B:$B,0)))</f>
        <v>0</v>
      </c>
      <c r="W13" s="398" t="b">
        <f ca="1">IF('보고서(일반)'!$U13&lt;&gt;"",INDEX(Bloomberg!L:L,MATCH('보고서(일반)'!$U13,Bloomberg!$B:$B,0)))</f>
        <v>0</v>
      </c>
      <c r="X13" s="397" t="b">
        <f ca="1">IF('보고서(일반)'!$U13&lt;&gt;"",INDEX(Bloomberg!P:P,MATCH('보고서(일반)'!$U13,Bloomberg!$B:$B,0)))</f>
        <v>0</v>
      </c>
      <c r="Y13" s="397" t="b">
        <f ca="1">IF('보고서(일반)'!$U13&lt;&gt;"",INDEX(Bloomberg!R:R,MATCH('보고서(일반)'!$U13,Bloomberg!$B:$B,0)))</f>
        <v>0</v>
      </c>
      <c r="AA13" s="409" t="s">
        <v>313</v>
      </c>
      <c r="AC13" s="406" t="e">
        <f t="shared" ca="1" si="2"/>
        <v>#N/A</v>
      </c>
      <c r="AD13" s="406" t="e">
        <f t="shared" ca="1" si="2"/>
        <v>#N/A</v>
      </c>
      <c r="AE13" s="406" t="e">
        <f t="shared" ca="1" si="2"/>
        <v>#N/A</v>
      </c>
      <c r="AF13" s="406" t="e">
        <f t="shared" ca="1" si="2"/>
        <v>#N/A</v>
      </c>
      <c r="AG13" s="406" t="e">
        <f t="shared" ca="1" si="2"/>
        <v>#N/A</v>
      </c>
      <c r="AI13" s="376"/>
      <c r="AJ13" s="505"/>
      <c r="AN13" s="508">
        <v>10</v>
      </c>
      <c r="AO13" s="508" t="str">
        <v/>
      </c>
      <c r="AQ13" s="203" t="s">
        <v>581</v>
      </c>
      <c r="AR13" s="203" t="str">
        <f t="shared" ca="1" si="1"/>
        <v>$J$14</v>
      </c>
    </row>
    <row r="14" spans="2:44" ht="16.5" customHeight="1">
      <c r="B14" s="394" t="s">
        <v>299</v>
      </c>
      <c r="C14" s="534" t="s">
        <v>300</v>
      </c>
      <c r="D14" s="533" t="s">
        <v>301</v>
      </c>
      <c r="E14" s="533" t="s">
        <v>594</v>
      </c>
      <c r="F14" s="534" t="s">
        <v>302</v>
      </c>
      <c r="H14" s="389" t="s">
        <v>254</v>
      </c>
      <c r="J14" s="390" t="str">
        <f>LEFT(AC$4,4)&amp;"년"</f>
        <v>FCF추년</v>
      </c>
      <c r="K14" s="390" t="str">
        <f>LEFT(AD$4,4)&amp;"년"</f>
        <v>FCF추년</v>
      </c>
      <c r="L14" s="390" t="str">
        <f>LEFT(AE$4,4)&amp;"년"</f>
        <v>FCF추년</v>
      </c>
      <c r="M14" s="390" t="str">
        <f>LEFT(AF$4,4)&amp;"년"</f>
        <v>FCF추년</v>
      </c>
      <c r="N14" s="389" t="str">
        <f>LEFT(AG$4,4)&amp;"년"</f>
        <v>FCF추년</v>
      </c>
      <c r="U14" s="392" t="str">
        <f ca="1">IFERROR(OFFSET(Bloomberg!$A$1,'보고서(일반)'!AO13-1,1),"")</f>
        <v/>
      </c>
      <c r="V14" s="397" t="b">
        <f ca="1">IF('보고서(일반)'!$U14&lt;&gt;"",INDEX(Bloomberg!K:K,MATCH('보고서(일반)'!$U14,Bloomberg!$B:$B,0)))</f>
        <v>0</v>
      </c>
      <c r="W14" s="398" t="b">
        <f ca="1">IF('보고서(일반)'!$U14&lt;&gt;"",INDEX(Bloomberg!L:L,MATCH('보고서(일반)'!$U14,Bloomberg!$B:$B,0)))</f>
        <v>0</v>
      </c>
      <c r="X14" s="397" t="b">
        <f ca="1">IF('보고서(일반)'!$U14&lt;&gt;"",INDEX(Bloomberg!P:P,MATCH('보고서(일반)'!$U14,Bloomberg!$B:$B,0)))</f>
        <v>0</v>
      </c>
      <c r="Y14" s="397" t="b">
        <f ca="1">IF('보고서(일반)'!$U14&lt;&gt;"",INDEX(Bloomberg!R:R,MATCH('보고서(일반)'!$U14,Bloomberg!$B:$B,0)))</f>
        <v>0</v>
      </c>
      <c r="AA14" s="409" t="s">
        <v>314</v>
      </c>
      <c r="AC14" s="406" t="e">
        <f t="shared" ca="1" si="2"/>
        <v>#N/A</v>
      </c>
      <c r="AD14" s="406" t="e">
        <f t="shared" ca="1" si="2"/>
        <v>#N/A</v>
      </c>
      <c r="AE14" s="406" t="e">
        <f t="shared" ca="1" si="2"/>
        <v>#N/A</v>
      </c>
      <c r="AF14" s="406" t="e">
        <f t="shared" ca="1" si="2"/>
        <v>#N/A</v>
      </c>
      <c r="AG14" s="406" t="e">
        <f t="shared" ca="1" si="2"/>
        <v>#N/A</v>
      </c>
      <c r="AN14" s="508">
        <v>11</v>
      </c>
      <c r="AO14" s="502" t="str">
        <v/>
      </c>
      <c r="AQ14" s="203" t="s">
        <v>582</v>
      </c>
      <c r="AR14" s="203" t="str">
        <f t="shared" ca="1" si="1"/>
        <v>$J$25</v>
      </c>
    </row>
    <row r="15" spans="2:44" ht="16.5" customHeight="1">
      <c r="B15" s="527"/>
      <c r="C15" s="527"/>
      <c r="D15" s="527"/>
      <c r="E15" s="527"/>
      <c r="F15" s="527"/>
      <c r="H15" s="394" t="s">
        <v>315</v>
      </c>
      <c r="J15" s="395" t="e">
        <f ca="1">OFFSET(IS추정!$I$13,5,AC2)</f>
        <v>#N/A</v>
      </c>
      <c r="K15" s="395" t="e">
        <f ca="1">OFFSET(IS추정!$I$13,5,AD2)</f>
        <v>#N/A</v>
      </c>
      <c r="L15" s="395" t="e">
        <f ca="1">OFFSET(IS추정!$I$13,5,AE2)</f>
        <v>#N/A</v>
      </c>
      <c r="M15" s="395" t="e">
        <f ca="1">OFFSET(IS추정!$I$13,5,AF2)</f>
        <v>#N/A</v>
      </c>
      <c r="N15" s="395" t="e">
        <f ca="1">OFFSET(IS추정!$I$13,5,AG2)</f>
        <v>#N/A</v>
      </c>
      <c r="P15" s="390" t="s">
        <v>254</v>
      </c>
      <c r="R15" s="390" t="s">
        <v>255</v>
      </c>
      <c r="S15" s="390" t="s">
        <v>256</v>
      </c>
      <c r="U15" s="392" t="str">
        <f ca="1">IFERROR(OFFSET(Bloomberg!$A$1,'보고서(일반)'!AO14-1,1),"")</f>
        <v/>
      </c>
      <c r="V15" s="397" t="b">
        <f ca="1">IF('보고서(일반)'!$U15&lt;&gt;"",INDEX(Bloomberg!K:K,MATCH('보고서(일반)'!$U15,Bloomberg!$B:$B,0)))</f>
        <v>0</v>
      </c>
      <c r="W15" s="398" t="b">
        <f ca="1">IF('보고서(일반)'!$U15&lt;&gt;"",INDEX(Bloomberg!L:L,MATCH('보고서(일반)'!$U15,Bloomberg!$B:$B,0)))</f>
        <v>0</v>
      </c>
      <c r="X15" s="397" t="b">
        <f ca="1">IF('보고서(일반)'!$U15&lt;&gt;"",INDEX(Bloomberg!P:P,MATCH('보고서(일반)'!$U15,Bloomberg!$B:$B,0)))</f>
        <v>0</v>
      </c>
      <c r="Y15" s="397" t="b">
        <f ca="1">IF('보고서(일반)'!$U15&lt;&gt;"",INDEX(Bloomberg!R:R,MATCH('보고서(일반)'!$U15,Bloomberg!$B:$B,0)))</f>
        <v>0</v>
      </c>
      <c r="AA15" s="410" t="s">
        <v>316</v>
      </c>
      <c r="AC15" s="406" t="e">
        <f ca="1">J39</f>
        <v>#N/A</v>
      </c>
      <c r="AD15" s="406" t="e">
        <f ca="1">K39</f>
        <v>#N/A</v>
      </c>
      <c r="AE15" s="406" t="e">
        <f ca="1">L39</f>
        <v>#N/A</v>
      </c>
      <c r="AF15" s="406" t="e">
        <f ca="1">M39</f>
        <v>#N/A</v>
      </c>
      <c r="AG15" s="406" t="e">
        <f ca="1">N39</f>
        <v>#N/A</v>
      </c>
      <c r="AN15" s="508">
        <v>12</v>
      </c>
      <c r="AO15" s="502" t="str">
        <v/>
      </c>
      <c r="AQ15" s="203" t="s">
        <v>583</v>
      </c>
      <c r="AR15" s="203" t="str">
        <f t="shared" ca="1" si="1"/>
        <v>$J$42</v>
      </c>
    </row>
    <row r="16" spans="2:44" ht="16.5" customHeight="1">
      <c r="B16" s="542" t="s">
        <v>595</v>
      </c>
      <c r="C16" s="535"/>
      <c r="D16" s="534" t="s">
        <v>596</v>
      </c>
      <c r="E16" s="527"/>
      <c r="F16" s="527"/>
      <c r="H16" s="394" t="s">
        <v>317</v>
      </c>
      <c r="J16" s="395" t="e">
        <f ca="1">OFFSET(IS추정!$I$13,6,AC2)</f>
        <v>#N/A</v>
      </c>
      <c r="K16" s="395" t="e">
        <f ca="1">OFFSET(IS추정!$I$13,6,AD2)</f>
        <v>#N/A</v>
      </c>
      <c r="L16" s="395" t="e">
        <f ca="1">OFFSET(IS추정!$I$13,6,AE2)</f>
        <v>#N/A</v>
      </c>
      <c r="M16" s="395" t="e">
        <f ca="1">OFFSET(IS추정!$I$13,6,AF2)</f>
        <v>#N/A</v>
      </c>
      <c r="N16" s="395" t="e">
        <f ca="1">OFFSET(IS추정!$I$13,6,AG2)</f>
        <v>#N/A</v>
      </c>
      <c r="P16" s="391" t="s">
        <v>318</v>
      </c>
      <c r="R16" s="395" t="s">
        <v>552</v>
      </c>
      <c r="S16" s="391"/>
      <c r="U16" s="392" t="str">
        <f ca="1">IFERROR(OFFSET(Bloomberg!$A$1,'보고서(일반)'!AO15-1,1),"")</f>
        <v/>
      </c>
      <c r="V16" s="397" t="b">
        <f ca="1">IF('보고서(일반)'!$U16&lt;&gt;"",INDEX(Bloomberg!K:K,MATCH('보고서(일반)'!$U16,Bloomberg!$B:$B,0)))</f>
        <v>0</v>
      </c>
      <c r="W16" s="398" t="b">
        <f ca="1">IF('보고서(일반)'!$U16&lt;&gt;"",INDEX(Bloomberg!L:L,MATCH('보고서(일반)'!$U16,Bloomberg!$B:$B,0)))</f>
        <v>0</v>
      </c>
      <c r="X16" s="397" t="b">
        <f ca="1">IF('보고서(일반)'!$U16&lt;&gt;"",INDEX(Bloomberg!P:P,MATCH('보고서(일반)'!$U16,Bloomberg!$B:$B,0)))</f>
        <v>0</v>
      </c>
      <c r="Y16" s="397" t="b">
        <f ca="1">IF('보고서(일반)'!$U16&lt;&gt;"",INDEX(Bloomberg!R:R,MATCH('보고서(일반)'!$U16,Bloomberg!$B:$B,0)))</f>
        <v>0</v>
      </c>
      <c r="AA16" s="410" t="s">
        <v>319</v>
      </c>
      <c r="AC16" s="406" t="e">
        <f ca="1">J44</f>
        <v>#N/A</v>
      </c>
      <c r="AD16" s="406" t="e">
        <f ca="1">K44</f>
        <v>#N/A</v>
      </c>
      <c r="AE16" s="406" t="e">
        <f ca="1">L44</f>
        <v>#N/A</v>
      </c>
      <c r="AF16" s="406" t="e">
        <f ca="1">M44</f>
        <v>#N/A</v>
      </c>
      <c r="AG16" s="406" t="e">
        <f ca="1">N44</f>
        <v>#N/A</v>
      </c>
      <c r="AN16" s="508">
        <v>13</v>
      </c>
      <c r="AO16" s="502" t="str">
        <v/>
      </c>
      <c r="AQ16" s="203" t="s">
        <v>584</v>
      </c>
      <c r="AR16" s="203" t="str">
        <f t="shared" ca="1" si="1"/>
        <v>$J$47</v>
      </c>
    </row>
    <row r="17" spans="2:44" ht="16.5" customHeight="1">
      <c r="B17" s="542" t="s">
        <v>311</v>
      </c>
      <c r="C17" s="527"/>
      <c r="D17" s="532" t="s">
        <v>597</v>
      </c>
      <c r="E17" s="527"/>
      <c r="F17" s="527"/>
      <c r="H17" s="394" t="s">
        <v>320</v>
      </c>
      <c r="J17" s="395" t="e">
        <f ca="1">OFFSET(IS추정!$I$13,7,AC2)</f>
        <v>#N/A</v>
      </c>
      <c r="K17" s="395" t="e">
        <f ca="1">OFFSET(IS추정!$I$13,7,AD2)</f>
        <v>#N/A</v>
      </c>
      <c r="L17" s="395" t="e">
        <f ca="1">OFFSET(IS추정!$I$13,7,AE2)</f>
        <v>#N/A</v>
      </c>
      <c r="M17" s="395" t="e">
        <f ca="1">OFFSET(IS추정!$I$13,7,AF2)</f>
        <v>#N/A</v>
      </c>
      <c r="N17" s="395" t="e">
        <f ca="1">OFFSET(IS추정!$I$13,7,AG2)</f>
        <v>#N/A</v>
      </c>
      <c r="P17" s="391" t="s">
        <v>321</v>
      </c>
      <c r="R17" s="395" t="s">
        <v>553</v>
      </c>
      <c r="S17" s="391"/>
      <c r="U17" s="392" t="str">
        <f ca="1">IFERROR(OFFSET(Bloomberg!$A$1,'보고서(일반)'!AO16-1,1),"")</f>
        <v/>
      </c>
      <c r="V17" s="397" t="b">
        <f ca="1">IF('보고서(일반)'!$U17&lt;&gt;"",INDEX(Bloomberg!K:K,MATCH('보고서(일반)'!$U17,Bloomberg!$B:$B,0)))</f>
        <v>0</v>
      </c>
      <c r="W17" s="398" t="b">
        <f ca="1">IF('보고서(일반)'!$U17&lt;&gt;"",INDEX(Bloomberg!L:L,MATCH('보고서(일반)'!$U17,Bloomberg!$B:$B,0)))</f>
        <v>0</v>
      </c>
      <c r="X17" s="397" t="b">
        <f ca="1">IF('보고서(일반)'!$U17&lt;&gt;"",INDEX(Bloomberg!P:P,MATCH('보고서(일반)'!$U17,Bloomberg!$B:$B,0)))</f>
        <v>0</v>
      </c>
      <c r="Y17" s="397" t="b">
        <f ca="1">IF('보고서(일반)'!$U17&lt;&gt;"",INDEX(Bloomberg!R:R,MATCH('보고서(일반)'!$U17,Bloomberg!$B:$B,0)))</f>
        <v>0</v>
      </c>
      <c r="AA17" s="410" t="s">
        <v>322</v>
      </c>
      <c r="AC17" s="406" t="e">
        <f ca="1">AC15-AC16</f>
        <v>#N/A</v>
      </c>
      <c r="AD17" s="406" t="e">
        <f ca="1">AD15-AD16</f>
        <v>#N/A</v>
      </c>
      <c r="AE17" s="406" t="e">
        <f ca="1">AE15-AE16</f>
        <v>#N/A</v>
      </c>
      <c r="AF17" s="406" t="e">
        <f ca="1">AF15-AF16</f>
        <v>#N/A</v>
      </c>
      <c r="AG17" s="406" t="e">
        <f ca="1">AG15-AG16</f>
        <v>#N/A</v>
      </c>
      <c r="AN17" s="508">
        <v>14</v>
      </c>
      <c r="AO17" s="502" t="str">
        <v/>
      </c>
      <c r="AQ17" s="203" t="s">
        <v>585</v>
      </c>
      <c r="AR17" s="203" t="str">
        <f t="shared" ca="1" si="1"/>
        <v>$J$54</v>
      </c>
    </row>
    <row r="18" spans="2:44">
      <c r="B18" s="542" t="s">
        <v>598</v>
      </c>
      <c r="C18" s="527"/>
      <c r="D18" s="534" t="s">
        <v>599</v>
      </c>
      <c r="E18" s="527"/>
      <c r="F18" s="527"/>
      <c r="H18" s="394" t="s">
        <v>323</v>
      </c>
      <c r="J18" s="395" t="e">
        <f ca="1">OFFSET(IS추정!$I$13,8,AC2)</f>
        <v>#N/A</v>
      </c>
      <c r="K18" s="395" t="e">
        <f ca="1">OFFSET(IS추정!$I$13,8,AD2)</f>
        <v>#N/A</v>
      </c>
      <c r="L18" s="395" t="e">
        <f ca="1">OFFSET(IS추정!$I$13,8,AE2)</f>
        <v>#N/A</v>
      </c>
      <c r="M18" s="395" t="e">
        <f ca="1">OFFSET(IS추정!$I$13,8,AF2)</f>
        <v>#N/A</v>
      </c>
      <c r="N18" s="395" t="e">
        <f ca="1">OFFSET(IS추정!$I$13,8,AG2)</f>
        <v>#N/A</v>
      </c>
      <c r="P18" s="391" t="s">
        <v>324</v>
      </c>
      <c r="R18" s="395" t="s">
        <v>554</v>
      </c>
      <c r="S18" s="391"/>
      <c r="U18" s="392" t="str">
        <f ca="1">IFERROR(OFFSET(Bloomberg!$A$1,'보고서(일반)'!AO17-1,1),"")</f>
        <v/>
      </c>
      <c r="V18" s="397" t="b">
        <f ca="1">IF('보고서(일반)'!$U18&lt;&gt;"",INDEX(Bloomberg!K:K,MATCH('보고서(일반)'!$U18,Bloomberg!$B:$B,0)))</f>
        <v>0</v>
      </c>
      <c r="W18" s="398" t="b">
        <f ca="1">IF('보고서(일반)'!$U18&lt;&gt;"",INDEX(Bloomberg!L:L,MATCH('보고서(일반)'!$U18,Bloomberg!$B:$B,0)))</f>
        <v>0</v>
      </c>
      <c r="X18" s="397" t="b">
        <f ca="1">IF('보고서(일반)'!$U18&lt;&gt;"",INDEX(Bloomberg!P:P,MATCH('보고서(일반)'!$U18,Bloomberg!$B:$B,0)))</f>
        <v>0</v>
      </c>
      <c r="Y18" s="397" t="b">
        <f ca="1">IF('보고서(일반)'!$U18&lt;&gt;"",INDEX(Bloomberg!R:R,MATCH('보고서(일반)'!$U18,Bloomberg!$B:$B,0)))</f>
        <v>0</v>
      </c>
      <c r="AA18" s="410" t="s">
        <v>325</v>
      </c>
      <c r="AC18" s="406" t="e">
        <f ca="1">-AC19+AC20+AC21</f>
        <v>#N/A</v>
      </c>
      <c r="AD18" s="406" t="e">
        <f ca="1">-AD19+AD20+AD21</f>
        <v>#N/A</v>
      </c>
      <c r="AE18" s="406" t="e">
        <f ca="1">-AE19+AE20+AE21</f>
        <v>#N/A</v>
      </c>
      <c r="AF18" s="406" t="e">
        <f ca="1">-AF19+AF20+AF21</f>
        <v>#N/A</v>
      </c>
      <c r="AG18" s="406" t="e">
        <f ca="1">-AG19+AG20+AG21</f>
        <v>#N/A</v>
      </c>
      <c r="AN18" s="508">
        <v>15</v>
      </c>
      <c r="AO18" s="502" t="str">
        <v/>
      </c>
      <c r="AQ18" s="203" t="s">
        <v>586</v>
      </c>
      <c r="AR18" s="203" t="str">
        <f t="shared" ca="1" si="1"/>
        <v>$R$4</v>
      </c>
    </row>
    <row r="19" spans="2:44">
      <c r="B19" s="542" t="s">
        <v>600</v>
      </c>
      <c r="C19" s="527"/>
      <c r="D19" s="532" t="s">
        <v>601</v>
      </c>
      <c r="E19" s="527"/>
      <c r="F19" s="527"/>
      <c r="H19" s="394" t="s">
        <v>326</v>
      </c>
      <c r="J19" s="395" t="e">
        <f ca="1">OFFSET(IS추정!$I$13,9,AC2)</f>
        <v>#N/A</v>
      </c>
      <c r="K19" s="395" t="e">
        <f ca="1">OFFSET(IS추정!$I$13,9,AD2)</f>
        <v>#N/A</v>
      </c>
      <c r="L19" s="395" t="e">
        <f ca="1">OFFSET(IS추정!$I$13,9,AE2)</f>
        <v>#N/A</v>
      </c>
      <c r="M19" s="395" t="e">
        <f ca="1">OFFSET(IS추정!$I$13,9,AF2)</f>
        <v>#N/A</v>
      </c>
      <c r="N19" s="395" t="e">
        <f ca="1">OFFSET(IS추정!$I$13,9,AG2)</f>
        <v>#N/A</v>
      </c>
      <c r="P19" s="391" t="s">
        <v>327</v>
      </c>
      <c r="R19" s="395" t="s">
        <v>555</v>
      </c>
      <c r="S19" s="391"/>
      <c r="U19" s="392" t="str">
        <f ca="1">IFERROR(OFFSET(Bloomberg!$A$1,'보고서(일반)'!AO18-1,1),"")</f>
        <v/>
      </c>
      <c r="V19" s="397" t="b">
        <f ca="1">IF('보고서(일반)'!$U19&lt;&gt;"",INDEX(Bloomberg!K:K,MATCH('보고서(일반)'!$U19,Bloomberg!$B:$B,0)))</f>
        <v>0</v>
      </c>
      <c r="W19" s="398" t="b">
        <f ca="1">IF('보고서(일반)'!$U19&lt;&gt;"",INDEX(Bloomberg!L:L,MATCH('보고서(일반)'!$U19,Bloomberg!$B:$B,0)))</f>
        <v>0</v>
      </c>
      <c r="X19" s="397" t="b">
        <f ca="1">IF('보고서(일반)'!$U19&lt;&gt;"",INDEX(Bloomberg!P:P,MATCH('보고서(일반)'!$U19,Bloomberg!$B:$B,0)))</f>
        <v>0</v>
      </c>
      <c r="Y19" s="397" t="b">
        <f ca="1">IF('보고서(일반)'!$U19&lt;&gt;"",INDEX(Bloomberg!R:R,MATCH('보고서(일반)'!$U19,Bloomberg!$B:$B,0)))</f>
        <v>0</v>
      </c>
      <c r="AA19" s="409" t="s">
        <v>328</v>
      </c>
      <c r="AC19" s="524" t="e">
        <f ca="1">OFFSET(감가상각추정!$I$36,-28,AC2)+OFFSET(감가상각추정!$I$36,-22,AC2)</f>
        <v>#N/A</v>
      </c>
      <c r="AD19" s="524" t="e">
        <f ca="1">OFFSET(감가상각추정!$I$36,-28,AD2)+OFFSET(감가상각추정!$I$36,-22,AD2)</f>
        <v>#N/A</v>
      </c>
      <c r="AE19" s="524" t="e">
        <f ca="1">OFFSET(감가상각추정!$I$36,-28,AE2)+OFFSET(감가상각추정!$I$36,-22,AE2)</f>
        <v>#N/A</v>
      </c>
      <c r="AF19" s="524" t="e">
        <f ca="1">OFFSET(감가상각추정!$I$36,-28,AF2)+OFFSET(감가상각추정!$I$36,-22,AF2)</f>
        <v>#N/A</v>
      </c>
      <c r="AG19" s="524" t="e">
        <f ca="1">OFFSET(감가상각추정!$I$36,-28,AG2)+OFFSET(감가상각추정!$I$36,-22,AG2)</f>
        <v>#N/A</v>
      </c>
      <c r="AQ19" s="203" t="s">
        <v>587</v>
      </c>
      <c r="AR19" s="203" t="str">
        <f t="shared" ca="1" si="1"/>
        <v>$R$15</v>
      </c>
    </row>
    <row r="20" spans="2:44">
      <c r="B20" s="542" t="s">
        <v>602</v>
      </c>
      <c r="C20" s="527"/>
      <c r="D20" s="532" t="s">
        <v>403</v>
      </c>
      <c r="E20" s="527"/>
      <c r="F20" s="527"/>
      <c r="H20" s="394" t="s">
        <v>329</v>
      </c>
      <c r="J20" s="395" t="e">
        <f ca="1">OFFSET(IS추정!$I$13,10,AC2)</f>
        <v>#N/A</v>
      </c>
      <c r="K20" s="395" t="e">
        <f ca="1">OFFSET(IS추정!$I$13,10,AD2)</f>
        <v>#N/A</v>
      </c>
      <c r="L20" s="395" t="e">
        <f ca="1">OFFSET(IS추정!$I$13,10,AE2)</f>
        <v>#N/A</v>
      </c>
      <c r="M20" s="395" t="e">
        <f ca="1">OFFSET(IS추정!$I$13,10,AF2)</f>
        <v>#N/A</v>
      </c>
      <c r="N20" s="395" t="e">
        <f ca="1">OFFSET(IS추정!$I$13,10,AG2)</f>
        <v>#N/A</v>
      </c>
      <c r="P20" s="391" t="s">
        <v>330</v>
      </c>
      <c r="R20" s="395" t="s">
        <v>556</v>
      </c>
      <c r="S20" s="391"/>
      <c r="U20" s="408" t="s">
        <v>331</v>
      </c>
      <c r="V20" s="411">
        <f ca="1">AVERAGE('보고서(일반)'!V5:V19)</f>
        <v>0.86399999999999999</v>
      </c>
      <c r="W20" s="411">
        <f ca="1">AVERAGE('보고서(일반)'!W5:W19)</f>
        <v>464.43825206521359</v>
      </c>
      <c r="X20" s="411">
        <f ca="1">AVERAGE('보고서(일반)'!X5:X19)</f>
        <v>0.18690705820202019</v>
      </c>
      <c r="Y20" s="411">
        <f ca="1">AVERAGE('보고서(일반)'!Y5:Y19)</f>
        <v>0.86399999999999999</v>
      </c>
      <c r="AA20" s="409" t="s">
        <v>332</v>
      </c>
      <c r="AC20" s="406" t="s">
        <v>333</v>
      </c>
      <c r="AD20" s="406" t="s">
        <v>334</v>
      </c>
      <c r="AE20" s="406" t="s">
        <v>335</v>
      </c>
      <c r="AF20" s="406" t="s">
        <v>336</v>
      </c>
      <c r="AG20" s="406" t="s">
        <v>337</v>
      </c>
      <c r="AQ20" s="203" t="s">
        <v>588</v>
      </c>
      <c r="AR20" s="203" t="str">
        <f t="shared" ca="1" si="1"/>
        <v>$U$4</v>
      </c>
    </row>
    <row r="21" spans="2:44">
      <c r="B21" s="542" t="s">
        <v>603</v>
      </c>
      <c r="C21" s="527"/>
      <c r="D21" s="534" t="s">
        <v>604</v>
      </c>
      <c r="E21" s="527"/>
      <c r="F21" s="527"/>
      <c r="H21" s="394" t="s">
        <v>338</v>
      </c>
      <c r="J21" s="395" t="e">
        <f ca="1">OFFSET(IS추정!$I$13,11,AC2)</f>
        <v>#N/A</v>
      </c>
      <c r="K21" s="395" t="e">
        <f ca="1">OFFSET(IS추정!$I$13,11,AD2)</f>
        <v>#N/A</v>
      </c>
      <c r="L21" s="395" t="e">
        <f ca="1">OFFSET(IS추정!$I$13,11,AE2)</f>
        <v>#N/A</v>
      </c>
      <c r="M21" s="395" t="e">
        <f ca="1">OFFSET(IS추정!$I$13,11,AF2)</f>
        <v>#N/A</v>
      </c>
      <c r="N21" s="395" t="e">
        <f ca="1">OFFSET(IS추정!$I$13,11,AG2)</f>
        <v>#N/A</v>
      </c>
      <c r="P21" s="391" t="s">
        <v>339</v>
      </c>
      <c r="R21" s="395" t="s">
        <v>557</v>
      </c>
      <c r="S21" s="391"/>
      <c r="AA21" s="409" t="s">
        <v>340</v>
      </c>
      <c r="AC21" s="400" t="e">
        <f ca="1">J52</f>
        <v>#N/A</v>
      </c>
      <c r="AD21" s="400" t="e">
        <f ca="1">K52</f>
        <v>#N/A</v>
      </c>
      <c r="AE21" s="400" t="e">
        <f ca="1">L52</f>
        <v>#N/A</v>
      </c>
      <c r="AF21" s="400" t="e">
        <f ca="1">M52</f>
        <v>#N/A</v>
      </c>
      <c r="AG21" s="400" t="e">
        <f ca="1">N52</f>
        <v>#N/A</v>
      </c>
      <c r="AQ21" s="203" t="s">
        <v>589</v>
      </c>
      <c r="AR21" s="203" t="str">
        <f t="shared" ca="1" si="1"/>
        <v>$X$22</v>
      </c>
    </row>
    <row r="22" spans="2:44">
      <c r="B22" s="542" t="s">
        <v>605</v>
      </c>
      <c r="C22" s="527"/>
      <c r="D22" s="534" t="s">
        <v>539</v>
      </c>
      <c r="E22" s="527"/>
      <c r="F22" s="527"/>
      <c r="H22" s="401" t="s">
        <v>341</v>
      </c>
      <c r="J22" s="402" t="e">
        <f ca="1">SUM(J15:J21)</f>
        <v>#N/A</v>
      </c>
      <c r="K22" s="402" t="e">
        <f ca="1">SUM(K15:K21)</f>
        <v>#N/A</v>
      </c>
      <c r="L22" s="402" t="e">
        <f ca="1">SUM(L15:L21)</f>
        <v>#N/A</v>
      </c>
      <c r="M22" s="402" t="e">
        <f ca="1">SUM(M15:M21)</f>
        <v>#N/A</v>
      </c>
      <c r="N22" s="402" t="e">
        <f ca="1">SUM(N15:N21)</f>
        <v>#N/A</v>
      </c>
      <c r="P22" s="391" t="s">
        <v>342</v>
      </c>
      <c r="R22" s="395" t="s">
        <v>558</v>
      </c>
      <c r="S22" s="391"/>
      <c r="U22" s="387" t="s">
        <v>343</v>
      </c>
      <c r="V22" s="387" t="s">
        <v>344</v>
      </c>
      <c r="X22" s="387" t="s">
        <v>345</v>
      </c>
      <c r="AA22" s="410" t="s">
        <v>346</v>
      </c>
      <c r="AC22" s="406" t="e">
        <f ca="1">AC17-AC18</f>
        <v>#N/A</v>
      </c>
      <c r="AD22" s="406" t="e">
        <f ca="1">AD17-AD18</f>
        <v>#N/A</v>
      </c>
      <c r="AE22" s="406" t="e">
        <f ca="1">AE17-AE18</f>
        <v>#N/A</v>
      </c>
      <c r="AF22" s="406" t="e">
        <f ca="1">AF17-AF18</f>
        <v>#N/A</v>
      </c>
      <c r="AG22" s="406" t="e">
        <f ca="1">AG17-AG18</f>
        <v>#N/A</v>
      </c>
      <c r="AQ22" s="203" t="s">
        <v>590</v>
      </c>
      <c r="AR22" s="203" t="str">
        <f t="shared" ca="1" si="1"/>
        <v>$AC$4</v>
      </c>
    </row>
    <row r="23" spans="2:44">
      <c r="B23" s="543" t="s">
        <v>606</v>
      </c>
      <c r="C23" s="527"/>
      <c r="D23" s="536" t="s">
        <v>540</v>
      </c>
      <c r="E23" s="527"/>
      <c r="F23" s="527"/>
      <c r="H23" s="403" t="s">
        <v>347</v>
      </c>
      <c r="J23" s="404" t="e">
        <f ca="1">J22/J6</f>
        <v>#N/A</v>
      </c>
      <c r="K23" s="404" t="e">
        <f ca="1">K22/K6</f>
        <v>#N/A</v>
      </c>
      <c r="L23" s="404" t="e">
        <f ca="1">L22/L6</f>
        <v>#N/A</v>
      </c>
      <c r="M23" s="404" t="e">
        <f ca="1">M22/M6</f>
        <v>#N/A</v>
      </c>
      <c r="N23" s="404" t="e">
        <f ca="1">N22/N6</f>
        <v>#N/A</v>
      </c>
      <c r="P23" s="408" t="s">
        <v>348</v>
      </c>
      <c r="R23" s="402" t="s">
        <v>559</v>
      </c>
      <c r="S23" s="408"/>
      <c r="U23" s="412" t="s">
        <v>541</v>
      </c>
      <c r="V23" s="544" t="s">
        <v>349</v>
      </c>
      <c r="X23" s="393">
        <f ca="1">Y20</f>
        <v>0.86399999999999999</v>
      </c>
      <c r="AA23" s="409" t="s">
        <v>350</v>
      </c>
      <c r="AC23" s="413">
        <f ca="1">WACC!$E$35/100</f>
        <v>2.3916876559316354E-2</v>
      </c>
      <c r="AD23" s="413">
        <f ca="1">WACC!$E$35/100</f>
        <v>2.3916876559316354E-2</v>
      </c>
      <c r="AE23" s="413">
        <f ca="1">WACC!$E$35/100</f>
        <v>2.3916876559316354E-2</v>
      </c>
      <c r="AF23" s="413">
        <f ca="1">WACC!$E$35/100</f>
        <v>2.3916876559316354E-2</v>
      </c>
      <c r="AG23" s="413">
        <f ca="1">WACC!$E$35/100</f>
        <v>2.3916876559316354E-2</v>
      </c>
      <c r="AQ23" s="203" t="s">
        <v>591</v>
      </c>
      <c r="AR23" s="203" t="str">
        <f t="shared" ca="1" si="1"/>
        <v>$AC$30</v>
      </c>
    </row>
    <row r="24" spans="2:44">
      <c r="B24" s="527"/>
      <c r="C24" s="527"/>
      <c r="D24" s="527"/>
      <c r="E24" s="527"/>
      <c r="F24" s="527"/>
      <c r="U24" s="412" t="s">
        <v>351</v>
      </c>
      <c r="V24" s="544" t="s">
        <v>352</v>
      </c>
      <c r="X24" s="414">
        <f>WACC!E22/100</f>
        <v>3.6499999999999998E-2</v>
      </c>
      <c r="AA24" s="409" t="s">
        <v>353</v>
      </c>
      <c r="AC24" s="415" t="s">
        <v>511</v>
      </c>
      <c r="AD24" s="415" t="s">
        <v>512</v>
      </c>
      <c r="AE24" s="415" t="s">
        <v>513</v>
      </c>
      <c r="AF24" s="415" t="s">
        <v>514</v>
      </c>
      <c r="AG24" s="415" t="s">
        <v>515</v>
      </c>
      <c r="AQ24" s="203" t="s">
        <v>592</v>
      </c>
      <c r="AR24" s="203" t="str">
        <f t="shared" ca="1" si="1"/>
        <v>$AC$42</v>
      </c>
    </row>
    <row r="25" spans="2:44">
      <c r="B25" s="389" t="s">
        <v>357</v>
      </c>
      <c r="C25" s="394" t="str">
        <f>TRIM(COMPANY!E2)</f>
        <v>(주)루메나</v>
      </c>
      <c r="D25" s="389" t="s">
        <v>358</v>
      </c>
      <c r="E25" s="394" t="str">
        <f>TRIM(COMPANY!E3)</f>
        <v>외감,중소기업</v>
      </c>
      <c r="F25" s="527"/>
      <c r="H25" s="389" t="s">
        <v>254</v>
      </c>
      <c r="J25" s="389" t="str">
        <f>LEFT(AC$4,4)&amp;"년"</f>
        <v>FCF추년</v>
      </c>
      <c r="K25" s="389" t="str">
        <f>LEFT(AD$4,4)&amp;"년"</f>
        <v>FCF추년</v>
      </c>
      <c r="L25" s="389" t="str">
        <f>LEFT(AE$4,4)&amp;"년"</f>
        <v>FCF추년</v>
      </c>
      <c r="M25" s="389" t="str">
        <f>LEFT(AF$4,4)&amp;"년"</f>
        <v>FCF추년</v>
      </c>
      <c r="N25" s="389" t="str">
        <f>LEFT(AG$4,4)&amp;"년"</f>
        <v>FCF추년</v>
      </c>
      <c r="U25" s="412" t="s">
        <v>354</v>
      </c>
      <c r="V25" s="545" t="s">
        <v>355</v>
      </c>
      <c r="X25" s="414">
        <f>WACC!E23/100</f>
        <v>0.114</v>
      </c>
      <c r="AA25" s="405" t="s">
        <v>252</v>
      </c>
      <c r="AC25" s="415" t="s">
        <v>356</v>
      </c>
      <c r="AD25" s="415" t="s">
        <v>274</v>
      </c>
      <c r="AE25" s="415" t="s">
        <v>281</v>
      </c>
      <c r="AF25" s="415" t="s">
        <v>288</v>
      </c>
      <c r="AG25" s="415" t="s">
        <v>294</v>
      </c>
    </row>
    <row r="26" spans="2:44">
      <c r="B26" s="389" t="s">
        <v>367</v>
      </c>
      <c r="C26" s="537" t="str">
        <f>TRIM(COMPANY!E5)</f>
        <v>진중헌</v>
      </c>
      <c r="D26" s="389" t="s">
        <v>368</v>
      </c>
      <c r="E26" s="538">
        <f>COMPANY!E4</f>
        <v>41791</v>
      </c>
      <c r="F26" s="527"/>
      <c r="H26" s="416" t="s">
        <v>218</v>
      </c>
      <c r="J26" s="417" t="e">
        <f ca="1">J5</f>
        <v>#N/A</v>
      </c>
      <c r="K26" s="417" t="e">
        <f ca="1">K5</f>
        <v>#N/A</v>
      </c>
      <c r="L26" s="417" t="e">
        <f ca="1">L5</f>
        <v>#N/A</v>
      </c>
      <c r="M26" s="417" t="e">
        <f ca="1">M5</f>
        <v>#N/A</v>
      </c>
      <c r="N26" s="417" t="e">
        <f ca="1">N5</f>
        <v>#N/A</v>
      </c>
      <c r="U26" s="412" t="s">
        <v>359</v>
      </c>
      <c r="V26" s="545" t="s">
        <v>360</v>
      </c>
      <c r="X26" s="414">
        <f>WACC!E43/100</f>
        <v>0</v>
      </c>
    </row>
    <row r="27" spans="2:44">
      <c r="B27" s="389" t="s">
        <v>373</v>
      </c>
      <c r="C27" s="394" t="str">
        <f>TRIM(COMPANY!E8)</f>
        <v/>
      </c>
      <c r="D27" s="389" t="s">
        <v>374</v>
      </c>
      <c r="E27" s="539" t="str">
        <f>TRIM(COMPANY!E6)&amp;"월"</f>
        <v>12월</v>
      </c>
      <c r="F27" s="527"/>
      <c r="H27" s="418" t="s">
        <v>369</v>
      </c>
      <c r="J27" s="685">
        <f>성장률추정!J17/성장률추정!I17-1</f>
        <v>2.3220000000000018E-2</v>
      </c>
      <c r="K27" s="419" t="e">
        <f ca="1">K7</f>
        <v>#N/A</v>
      </c>
      <c r="L27" s="419" t="e">
        <f ca="1">L7</f>
        <v>#N/A</v>
      </c>
      <c r="M27" s="419" t="e">
        <f ca="1">M7</f>
        <v>#N/A</v>
      </c>
      <c r="N27" s="419" t="e">
        <f ca="1">N7</f>
        <v>#N/A</v>
      </c>
      <c r="P27"/>
      <c r="R27"/>
      <c r="S27"/>
      <c r="U27" s="412" t="s">
        <v>370</v>
      </c>
      <c r="V27" s="545" t="s">
        <v>371</v>
      </c>
      <c r="X27" s="414">
        <f ca="1">WACC!E34/100</f>
        <v>0.134996</v>
      </c>
      <c r="AA27" s="405" t="s">
        <v>361</v>
      </c>
      <c r="AC27" s="415" t="s">
        <v>362</v>
      </c>
      <c r="AD27" s="415" t="s">
        <v>363</v>
      </c>
      <c r="AE27" s="415" t="s">
        <v>364</v>
      </c>
      <c r="AF27" s="415" t="s">
        <v>365</v>
      </c>
      <c r="AG27" s="415" t="s">
        <v>366</v>
      </c>
    </row>
    <row r="28" spans="2:44">
      <c r="B28" s="527"/>
      <c r="C28" s="527"/>
      <c r="D28" s="527"/>
      <c r="E28" s="527"/>
      <c r="F28" s="527"/>
      <c r="H28" s="416" t="s">
        <v>303</v>
      </c>
      <c r="J28" s="417" t="e">
        <f ca="1">J10</f>
        <v>#N/A</v>
      </c>
      <c r="K28" s="417" t="e">
        <f ca="1">K10</f>
        <v>#N/A</v>
      </c>
      <c r="L28" s="417" t="e">
        <f ca="1">L10</f>
        <v>#N/A</v>
      </c>
      <c r="M28" s="417" t="e">
        <f ca="1">M10</f>
        <v>#N/A</v>
      </c>
      <c r="N28" s="417" t="e">
        <f ca="1">N10</f>
        <v>#N/A</v>
      </c>
      <c r="P28"/>
      <c r="R28"/>
      <c r="S28"/>
      <c r="U28" s="412" t="s">
        <v>376</v>
      </c>
      <c r="V28" s="545" t="s">
        <v>377</v>
      </c>
      <c r="X28" s="414">
        <f>WACC!E30/100</f>
        <v>0.22</v>
      </c>
      <c r="AA28" s="405" t="s">
        <v>372</v>
      </c>
      <c r="AC28" s="400" t="e">
        <f ca="1">AC22*AC25*AC27</f>
        <v>#N/A</v>
      </c>
      <c r="AD28" s="400" t="e">
        <f ca="1">AD22*AD25*AD27</f>
        <v>#N/A</v>
      </c>
      <c r="AE28" s="400" t="e">
        <f ca="1">AE22*AE25*AE27</f>
        <v>#N/A</v>
      </c>
      <c r="AF28" s="400" t="e">
        <f ca="1">AF22*AF25*AF27</f>
        <v>#N/A</v>
      </c>
      <c r="AG28" s="400" t="e">
        <f ca="1">AG22*AG25*AG27</f>
        <v>#N/A</v>
      </c>
    </row>
    <row r="29" spans="2:44">
      <c r="B29" s="540" t="s">
        <v>382</v>
      </c>
      <c r="C29" s="422" t="str">
        <f>TRIM(COMPANY!E10)</f>
        <v>기타 가정용 전기기기 제조업</v>
      </c>
      <c r="D29" s="527"/>
      <c r="E29" s="527"/>
      <c r="F29" s="527"/>
      <c r="H29" s="418" t="s">
        <v>378</v>
      </c>
      <c r="J29" s="419" t="e">
        <f ca="1">J12</f>
        <v>#N/A</v>
      </c>
      <c r="K29" s="419" t="e">
        <f ca="1">K12</f>
        <v>#N/A</v>
      </c>
      <c r="L29" s="419" t="e">
        <f ca="1">L12</f>
        <v>#N/A</v>
      </c>
      <c r="M29" s="419" t="e">
        <f ca="1">M12</f>
        <v>#N/A</v>
      </c>
      <c r="N29" s="419" t="e">
        <f ca="1">N12</f>
        <v>#N/A</v>
      </c>
      <c r="P29"/>
      <c r="R29"/>
      <c r="S29"/>
      <c r="U29" s="412" t="s">
        <v>379</v>
      </c>
      <c r="V29" s="545" t="s">
        <v>380</v>
      </c>
      <c r="X29" s="414">
        <f>WACC!E31/100</f>
        <v>0</v>
      </c>
      <c r="AD29" s="420"/>
      <c r="AE29" s="420"/>
      <c r="AF29" s="420"/>
      <c r="AG29" s="420"/>
    </row>
    <row r="30" spans="2:44">
      <c r="B30" s="541" t="s">
        <v>388</v>
      </c>
      <c r="C30" s="424" t="str">
        <f>TRIM(COMPANY!E11)</f>
        <v>휴대용선풍기,전자기기,휴대용배터리,LED조명 제조,조립/디자인</v>
      </c>
      <c r="D30" s="527"/>
      <c r="E30" s="527"/>
      <c r="F30" s="527"/>
      <c r="H30" s="416" t="s">
        <v>383</v>
      </c>
      <c r="J30" s="417" t="e">
        <f ca="1">J26-J28</f>
        <v>#N/A</v>
      </c>
      <c r="K30" s="417" t="e">
        <f ca="1">K26-K28</f>
        <v>#N/A</v>
      </c>
      <c r="L30" s="417" t="e">
        <f ca="1">L26-L28</f>
        <v>#N/A</v>
      </c>
      <c r="M30" s="417" t="e">
        <f ca="1">M26-M28</f>
        <v>#N/A</v>
      </c>
      <c r="N30" s="417" t="e">
        <f ca="1">N26-N28</f>
        <v>#N/A</v>
      </c>
      <c r="P30"/>
      <c r="R30"/>
      <c r="S30"/>
      <c r="U30" s="412" t="s">
        <v>608</v>
      </c>
      <c r="V30" s="545"/>
      <c r="X30" s="414">
        <f>X29*(1-X28)</f>
        <v>0</v>
      </c>
      <c r="AA30" s="399" t="s">
        <v>381</v>
      </c>
      <c r="AC30" s="523" t="e">
        <f ca="1">SUM(AC28:AG28)</f>
        <v>#N/A</v>
      </c>
      <c r="AD30" s="420"/>
      <c r="AE30" s="421"/>
      <c r="AF30" s="420"/>
      <c r="AG30" s="420"/>
    </row>
    <row r="31" spans="2:44">
      <c r="B31" s="527"/>
      <c r="C31" s="527"/>
      <c r="D31" s="527"/>
      <c r="E31" s="527"/>
      <c r="F31" s="527"/>
      <c r="H31" s="416" t="s">
        <v>389</v>
      </c>
      <c r="J31" s="417" t="e">
        <f ca="1">J22</f>
        <v>#N/A</v>
      </c>
      <c r="K31" s="417" t="e">
        <f ca="1">K22</f>
        <v>#N/A</v>
      </c>
      <c r="L31" s="417" t="e">
        <f ca="1">L22</f>
        <v>#N/A</v>
      </c>
      <c r="M31" s="417" t="e">
        <f ca="1">M22</f>
        <v>#N/A</v>
      </c>
      <c r="N31" s="417" t="e">
        <f ca="1">N22</f>
        <v>#N/A</v>
      </c>
      <c r="P31"/>
      <c r="R31"/>
      <c r="S31"/>
      <c r="U31" s="412" t="s">
        <v>384</v>
      </c>
      <c r="V31" s="545" t="s">
        <v>385</v>
      </c>
      <c r="X31" s="414">
        <f ca="1">WACC!E35/100</f>
        <v>2.3916876559316354E-2</v>
      </c>
      <c r="AA31" s="423" t="s">
        <v>386</v>
      </c>
      <c r="AC31" s="407" t="s">
        <v>387</v>
      </c>
      <c r="AD31" s="420"/>
      <c r="AE31" s="420"/>
      <c r="AF31" s="420"/>
      <c r="AG31" s="420"/>
    </row>
    <row r="32" spans="2:44">
      <c r="B32" s="389" t="s">
        <v>254</v>
      </c>
      <c r="C32" s="389" t="str">
        <f>LEFT(BS추정!$H$1,4)&amp;"년 "&amp;MID(BS추정!$H$1,5,2)&amp;"월"</f>
        <v>2023년 12월</v>
      </c>
      <c r="D32" s="389" t="str">
        <f>LEFT(BS추정!$G$1,4)&amp;"년 "&amp;MID(BS추정!$G$1,5,2)&amp;"월"</f>
        <v>2022년 12월</v>
      </c>
      <c r="E32" s="389" t="str">
        <f>LEFT(BS추정!$F$1,4)&amp;"년 "&amp;MID(BS추정!$F$1,5,2)&amp;"월"</f>
        <v>2021년 12월</v>
      </c>
      <c r="F32" s="527"/>
      <c r="H32" s="425" t="s">
        <v>315</v>
      </c>
      <c r="J32" s="426" t="e">
        <f t="shared" ref="J32:N38" ca="1" si="3">J15</f>
        <v>#N/A</v>
      </c>
      <c r="K32" s="426" t="e">
        <f t="shared" ca="1" si="3"/>
        <v>#N/A</v>
      </c>
      <c r="L32" s="426" t="e">
        <f t="shared" ca="1" si="3"/>
        <v>#N/A</v>
      </c>
      <c r="M32" s="426" t="e">
        <f t="shared" ca="1" si="3"/>
        <v>#N/A</v>
      </c>
      <c r="N32" s="426" t="e">
        <f t="shared" ca="1" si="3"/>
        <v>#N/A</v>
      </c>
      <c r="P32"/>
      <c r="R32"/>
      <c r="S32"/>
      <c r="AA32" s="423" t="s">
        <v>390</v>
      </c>
      <c r="AC32" s="407" t="e">
        <f ca="1">AC31+AC30</f>
        <v>#VALUE!</v>
      </c>
      <c r="AD32" s="420"/>
      <c r="AE32" s="420"/>
      <c r="AF32" s="420"/>
      <c r="AG32" s="420"/>
    </row>
    <row r="33" spans="2:33">
      <c r="B33" s="394" t="s">
        <v>393</v>
      </c>
      <c r="C33" s="426">
        <f>BS추정!H17</f>
        <v>21260</v>
      </c>
      <c r="D33" s="426">
        <f>BS추정!G17</f>
        <v>25013</v>
      </c>
      <c r="E33" s="426">
        <f>BS추정!F17</f>
        <v>31449</v>
      </c>
      <c r="F33" s="527"/>
      <c r="H33" s="425" t="s">
        <v>317</v>
      </c>
      <c r="J33" s="426" t="e">
        <f t="shared" ca="1" si="3"/>
        <v>#N/A</v>
      </c>
      <c r="K33" s="426" t="e">
        <f t="shared" ca="1" si="3"/>
        <v>#N/A</v>
      </c>
      <c r="L33" s="426" t="e">
        <f t="shared" ca="1" si="3"/>
        <v>#N/A</v>
      </c>
      <c r="M33" s="426" t="e">
        <f t="shared" ca="1" si="3"/>
        <v>#N/A</v>
      </c>
      <c r="N33" s="426" t="e">
        <f t="shared" ca="1" si="3"/>
        <v>#N/A</v>
      </c>
      <c r="AA33" s="399" t="s">
        <v>391</v>
      </c>
      <c r="AC33" s="407" t="s">
        <v>537</v>
      </c>
      <c r="AD33" s="420"/>
      <c r="AE33" s="420"/>
      <c r="AF33" s="427"/>
      <c r="AG33" s="420"/>
    </row>
    <row r="34" spans="2:33">
      <c r="B34" s="394" t="s">
        <v>395</v>
      </c>
      <c r="C34" s="426">
        <f>BS추정!H26</f>
        <v>11828</v>
      </c>
      <c r="D34" s="426">
        <f>BS추정!G26</f>
        <v>12845</v>
      </c>
      <c r="E34" s="426">
        <f>BS추정!F26</f>
        <v>11524</v>
      </c>
      <c r="F34" s="527"/>
      <c r="H34" s="425" t="s">
        <v>320</v>
      </c>
      <c r="J34" s="426" t="e">
        <f t="shared" ca="1" si="3"/>
        <v>#N/A</v>
      </c>
      <c r="K34" s="426" t="e">
        <f t="shared" ca="1" si="3"/>
        <v>#N/A</v>
      </c>
      <c r="L34" s="426" t="e">
        <f t="shared" ca="1" si="3"/>
        <v>#N/A</v>
      </c>
      <c r="M34" s="426" t="e">
        <f t="shared" ca="1" si="3"/>
        <v>#N/A</v>
      </c>
      <c r="N34" s="426" t="e">
        <f t="shared" ca="1" si="3"/>
        <v>#N/A</v>
      </c>
      <c r="AA34" s="399" t="s">
        <v>392</v>
      </c>
      <c r="AC34" s="407" t="e">
        <f ca="1">AC32+AC33</f>
        <v>#VALUE!</v>
      </c>
      <c r="AD34" s="420"/>
      <c r="AE34" s="420"/>
      <c r="AF34" s="420"/>
      <c r="AG34" s="420"/>
    </row>
    <row r="35" spans="2:33">
      <c r="B35" s="394" t="s">
        <v>397</v>
      </c>
      <c r="C35" s="426">
        <f>BS추정!H27</f>
        <v>33088</v>
      </c>
      <c r="D35" s="426">
        <f>BS추정!G27</f>
        <v>37858</v>
      </c>
      <c r="E35" s="426">
        <f>BS추정!F27</f>
        <v>42973</v>
      </c>
      <c r="F35" s="527"/>
      <c r="H35" s="425" t="s">
        <v>323</v>
      </c>
      <c r="J35" s="426" t="e">
        <f t="shared" ca="1" si="3"/>
        <v>#N/A</v>
      </c>
      <c r="K35" s="426" t="e">
        <f t="shared" ca="1" si="3"/>
        <v>#N/A</v>
      </c>
      <c r="L35" s="426" t="e">
        <f t="shared" ca="1" si="3"/>
        <v>#N/A</v>
      </c>
      <c r="M35" s="426" t="e">
        <f t="shared" ca="1" si="3"/>
        <v>#N/A</v>
      </c>
      <c r="N35" s="426" t="e">
        <f t="shared" ca="1" si="3"/>
        <v>#N/A</v>
      </c>
      <c r="AA35" s="399" t="s">
        <v>394</v>
      </c>
      <c r="AC35" s="407" t="s">
        <v>538</v>
      </c>
      <c r="AD35" s="420"/>
      <c r="AE35" s="420"/>
      <c r="AF35" s="420"/>
      <c r="AG35" s="420"/>
    </row>
    <row r="36" spans="2:33">
      <c r="B36" s="394" t="s">
        <v>399</v>
      </c>
      <c r="C36" s="426">
        <f>BS추정!H28</f>
        <v>18446</v>
      </c>
      <c r="D36" s="426">
        <f>BS추정!G28</f>
        <v>20268</v>
      </c>
      <c r="E36" s="426">
        <f>BS추정!F28</f>
        <v>14916</v>
      </c>
      <c r="F36" s="527"/>
      <c r="H36" s="425" t="s">
        <v>326</v>
      </c>
      <c r="J36" s="426" t="e">
        <f t="shared" ca="1" si="3"/>
        <v>#N/A</v>
      </c>
      <c r="K36" s="426" t="e">
        <f t="shared" ca="1" si="3"/>
        <v>#N/A</v>
      </c>
      <c r="L36" s="426" t="e">
        <f t="shared" ca="1" si="3"/>
        <v>#N/A</v>
      </c>
      <c r="M36" s="426" t="e">
        <f t="shared" ca="1" si="3"/>
        <v>#N/A</v>
      </c>
      <c r="N36" s="426" t="e">
        <f t="shared" ca="1" si="3"/>
        <v>#N/A</v>
      </c>
      <c r="AA36" s="399" t="s">
        <v>396</v>
      </c>
      <c r="AC36" s="407" t="s">
        <v>403</v>
      </c>
      <c r="AD36" s="420"/>
      <c r="AE36" s="420"/>
      <c r="AF36" s="420"/>
      <c r="AG36" s="420"/>
    </row>
    <row r="37" spans="2:33">
      <c r="B37" s="394" t="s">
        <v>400</v>
      </c>
      <c r="C37" s="426">
        <f>BS추정!H29</f>
        <v>0</v>
      </c>
      <c r="D37" s="426">
        <f>BS추정!G29</f>
        <v>115</v>
      </c>
      <c r="E37" s="426">
        <f>BS추정!F29</f>
        <v>98</v>
      </c>
      <c r="F37" s="527"/>
      <c r="H37" s="425" t="s">
        <v>329</v>
      </c>
      <c r="J37" s="426" t="e">
        <f t="shared" ca="1" si="3"/>
        <v>#N/A</v>
      </c>
      <c r="K37" s="426" t="e">
        <f t="shared" ca="1" si="3"/>
        <v>#N/A</v>
      </c>
      <c r="L37" s="426" t="e">
        <f t="shared" ca="1" si="3"/>
        <v>#N/A</v>
      </c>
      <c r="M37" s="426" t="e">
        <f t="shared" ca="1" si="3"/>
        <v>#N/A</v>
      </c>
      <c r="N37" s="426" t="e">
        <f t="shared" ca="1" si="3"/>
        <v>#N/A</v>
      </c>
      <c r="AA37" s="399" t="s">
        <v>398</v>
      </c>
      <c r="AC37" s="407" t="e">
        <f ca="1">AC34-AC35-AC36</f>
        <v>#VALUE!</v>
      </c>
      <c r="AD37" s="420"/>
      <c r="AE37" s="420"/>
      <c r="AF37" s="420"/>
      <c r="AG37" s="420"/>
    </row>
    <row r="38" spans="2:33">
      <c r="B38" s="394" t="s">
        <v>404</v>
      </c>
      <c r="C38" s="426">
        <f>BS추정!H30</f>
        <v>18446</v>
      </c>
      <c r="D38" s="426">
        <f>BS추정!G30</f>
        <v>20383</v>
      </c>
      <c r="E38" s="426">
        <f>BS추정!F30</f>
        <v>15014</v>
      </c>
      <c r="F38" s="527"/>
      <c r="H38" s="425" t="s">
        <v>401</v>
      </c>
      <c r="J38" s="426" t="e">
        <f t="shared" ca="1" si="3"/>
        <v>#N/A</v>
      </c>
      <c r="K38" s="426" t="e">
        <f t="shared" ca="1" si="3"/>
        <v>#N/A</v>
      </c>
      <c r="L38" s="426" t="e">
        <f t="shared" ca="1" si="3"/>
        <v>#N/A</v>
      </c>
      <c r="M38" s="426" t="e">
        <f t="shared" ca="1" si="3"/>
        <v>#N/A</v>
      </c>
      <c r="N38" s="426" t="e">
        <f t="shared" ca="1" si="3"/>
        <v>#N/A</v>
      </c>
      <c r="AA38" s="399" t="s">
        <v>718</v>
      </c>
      <c r="AC38" s="407" t="s">
        <v>539</v>
      </c>
      <c r="AD38" s="420"/>
      <c r="AE38" s="420"/>
      <c r="AF38" s="420"/>
      <c r="AG38" s="420"/>
    </row>
    <row r="39" spans="2:33">
      <c r="B39" s="394" t="s">
        <v>221</v>
      </c>
      <c r="C39" s="426">
        <f>BS추정!H36</f>
        <v>14642</v>
      </c>
      <c r="D39" s="426">
        <f>BS추정!G36</f>
        <v>17475</v>
      </c>
      <c r="E39" s="426">
        <f>BS추정!F36</f>
        <v>27959</v>
      </c>
      <c r="F39" s="527"/>
      <c r="H39" s="401" t="s">
        <v>219</v>
      </c>
      <c r="J39" s="402" t="e">
        <f ca="1">J30-J31</f>
        <v>#N/A</v>
      </c>
      <c r="K39" s="402" t="e">
        <f ca="1">K30-K31</f>
        <v>#N/A</v>
      </c>
      <c r="L39" s="402" t="e">
        <f ca="1">L30-L31</f>
        <v>#N/A</v>
      </c>
      <c r="M39" s="402" t="e">
        <f ca="1">M30-M31</f>
        <v>#N/A</v>
      </c>
      <c r="N39" s="402" t="e">
        <f ca="1">N30-N31</f>
        <v>#N/A</v>
      </c>
      <c r="AA39" s="399" t="s">
        <v>402</v>
      </c>
      <c r="AC39" s="407" t="s">
        <v>540</v>
      </c>
    </row>
    <row r="40" spans="2:33">
      <c r="B40" s="527"/>
      <c r="C40" s="527"/>
      <c r="D40" s="527"/>
      <c r="E40" s="527"/>
      <c r="F40" s="527"/>
      <c r="H40" s="403" t="s">
        <v>405</v>
      </c>
      <c r="J40" s="404" t="e">
        <f ca="1">J39/J6</f>
        <v>#N/A</v>
      </c>
      <c r="K40" s="404" t="e">
        <f ca="1">K39/K6</f>
        <v>#N/A</v>
      </c>
      <c r="L40" s="404" t="e">
        <f ca="1">L39/L6</f>
        <v>#N/A</v>
      </c>
      <c r="M40" s="404" t="e">
        <f ca="1">M39/M6</f>
        <v>#N/A</v>
      </c>
      <c r="N40" s="404" t="e">
        <f ca="1">N39/N6</f>
        <v>#N/A</v>
      </c>
    </row>
    <row r="41" spans="2:33">
      <c r="B41" s="389" t="s">
        <v>254</v>
      </c>
      <c r="C41" s="389" t="str">
        <f>LEFT(BS추정!$H$1,4)&amp;"년 "&amp;MID(BS추정!$H$1,5,2)&amp;"월"</f>
        <v>2023년 12월</v>
      </c>
      <c r="D41" s="389" t="str">
        <f>LEFT(BS추정!$G$1,4)&amp;"년 "&amp;MID(BS추정!$G$1,5,2)&amp;"월"</f>
        <v>2022년 12월</v>
      </c>
      <c r="E41" s="389" t="str">
        <f>LEFT(BS추정!$F$1,4)&amp;"년 "&amp;MID(BS추정!$F$1,5,2)&amp;"월"</f>
        <v>2021년 12월</v>
      </c>
      <c r="F41" s="527"/>
    </row>
    <row r="42" spans="2:33">
      <c r="B42" s="394" t="s">
        <v>218</v>
      </c>
      <c r="C42" s="426">
        <f>IS추정!H14</f>
        <v>37634</v>
      </c>
      <c r="D42" s="426">
        <f>IS추정!G14</f>
        <v>38252</v>
      </c>
      <c r="E42" s="426">
        <f>IS추정!F14</f>
        <v>24270</v>
      </c>
      <c r="F42" s="527"/>
      <c r="H42" s="390" t="s">
        <v>254</v>
      </c>
      <c r="J42" s="390" t="str">
        <f>LEFT(AC$4,4)&amp;"년"</f>
        <v>FCF추년</v>
      </c>
      <c r="K42" s="390" t="str">
        <f>LEFT(AD$4,4)&amp;"년"</f>
        <v>FCF추년</v>
      </c>
      <c r="L42" s="390" t="str">
        <f>LEFT(AE$4,4)&amp;"년"</f>
        <v>FCF추년</v>
      </c>
      <c r="M42" s="390" t="str">
        <f>LEFT(AF$4,4)&amp;"년"</f>
        <v>FCF추년</v>
      </c>
      <c r="N42" s="390" t="str">
        <f>LEFT(AG$4,4)&amp;"년"</f>
        <v>FCF추년</v>
      </c>
      <c r="AA42" s="525" t="s">
        <v>607</v>
      </c>
      <c r="AC42" s="525">
        <f ca="1">+민감도!G1/100</f>
        <v>1.3899999999999999E-2</v>
      </c>
      <c r="AD42" s="525">
        <f ca="1">+민감도!H1/100</f>
        <v>2.3900000000000001E-2</v>
      </c>
      <c r="AE42" s="525">
        <f ca="1">+민감도!I1/100</f>
        <v>3.39E-2</v>
      </c>
    </row>
    <row r="43" spans="2:33">
      <c r="B43" s="394" t="s">
        <v>303</v>
      </c>
      <c r="C43" s="426">
        <f>IS추정!H15</f>
        <v>23465</v>
      </c>
      <c r="D43" s="426">
        <f>IS추정!G15</f>
        <v>23322</v>
      </c>
      <c r="E43" s="426">
        <f>IS추정!F15</f>
        <v>12885</v>
      </c>
      <c r="F43" s="527"/>
      <c r="H43" s="391" t="s">
        <v>219</v>
      </c>
      <c r="J43" s="395" t="e">
        <f ca="1">J39</f>
        <v>#N/A</v>
      </c>
      <c r="K43" s="395" t="e">
        <f ca="1">K39</f>
        <v>#N/A</v>
      </c>
      <c r="L43" s="395" t="e">
        <f ca="1">L39</f>
        <v>#N/A</v>
      </c>
      <c r="M43" s="395" t="e">
        <f ca="1">M39</f>
        <v>#N/A</v>
      </c>
      <c r="N43" s="395" t="e">
        <f ca="1">N39</f>
        <v>#N/A</v>
      </c>
      <c r="AA43" s="414" t="str">
        <f>+민감도!F2</f>
        <v>0.0%</v>
      </c>
      <c r="AC43" s="407">
        <f ca="1">+민감도!B2</f>
        <v>27561911.180222254</v>
      </c>
      <c r="AD43" s="407">
        <f ca="1">+민감도!C2</f>
        <v>15427948.436921492</v>
      </c>
      <c r="AE43" s="407">
        <f ca="1">+민감도!D2</f>
        <v>10457145.613613138</v>
      </c>
    </row>
    <row r="44" spans="2:33">
      <c r="B44" s="394" t="s">
        <v>383</v>
      </c>
      <c r="C44" s="426">
        <f>IS추정!H16</f>
        <v>14169</v>
      </c>
      <c r="D44" s="426">
        <f>IS추정!G16</f>
        <v>14930</v>
      </c>
      <c r="E44" s="426">
        <f>IS추정!F16</f>
        <v>11386</v>
      </c>
      <c r="F44" s="527"/>
      <c r="H44" s="391" t="s">
        <v>406</v>
      </c>
      <c r="J44" s="395" t="e">
        <f ca="1">J43-J45</f>
        <v>#N/A</v>
      </c>
      <c r="K44" s="395" t="e">
        <f t="shared" ref="K44:N44" ca="1" si="4">K43-K45</f>
        <v>#N/A</v>
      </c>
      <c r="L44" s="395" t="e">
        <f t="shared" ca="1" si="4"/>
        <v>#N/A</v>
      </c>
      <c r="M44" s="395" t="e">
        <f t="shared" ca="1" si="4"/>
        <v>#N/A</v>
      </c>
      <c r="N44" s="395" t="e">
        <f t="shared" ca="1" si="4"/>
        <v>#N/A</v>
      </c>
      <c r="P44" s="203" t="s">
        <v>407</v>
      </c>
      <c r="AA44" s="414" t="str">
        <f>+민감도!F3</f>
        <v>0.5%</v>
      </c>
      <c r="AC44" s="407">
        <f ca="1">+민감도!B3</f>
        <v>42691340.579185672</v>
      </c>
      <c r="AD44" s="407">
        <f ca="1">+민감도!C3</f>
        <v>19363744.081612632</v>
      </c>
      <c r="AE44" s="407">
        <f ca="1">+민감도!D3</f>
        <v>12179510.38598158</v>
      </c>
    </row>
    <row r="45" spans="2:33">
      <c r="B45" s="394" t="s">
        <v>409</v>
      </c>
      <c r="C45" s="426">
        <f>IS추정!H17</f>
        <v>10378</v>
      </c>
      <c r="D45" s="426">
        <f>IS추정!G17</f>
        <v>6201</v>
      </c>
      <c r="E45" s="426">
        <f>IS추정!F17</f>
        <v>4518</v>
      </c>
      <c r="F45" s="527"/>
      <c r="H45" s="401" t="s">
        <v>408</v>
      </c>
      <c r="J45" s="402" t="s">
        <v>560</v>
      </c>
      <c r="K45" s="402" t="s">
        <v>561</v>
      </c>
      <c r="L45" s="402" t="s">
        <v>562</v>
      </c>
      <c r="M45" s="402" t="s">
        <v>563</v>
      </c>
      <c r="N45" s="402" t="s">
        <v>564</v>
      </c>
      <c r="AA45" s="414" t="str">
        <f>+민감도!F4</f>
        <v>1.0%</v>
      </c>
      <c r="AC45" s="407">
        <f ca="1">+민감도!B4</f>
        <v>96447030.392146125</v>
      </c>
      <c r="AD45" s="407">
        <f ca="1">+민감도!C4</f>
        <v>26127613.703906447</v>
      </c>
      <c r="AE45" s="407">
        <f ca="1">+민감도!D4</f>
        <v>14622021.356410965</v>
      </c>
    </row>
    <row r="46" spans="2:33">
      <c r="B46" s="394" t="s">
        <v>219</v>
      </c>
      <c r="C46" s="426">
        <f>IS추정!H25</f>
        <v>3791</v>
      </c>
      <c r="D46" s="426">
        <f>IS추정!G25</f>
        <v>8729</v>
      </c>
      <c r="E46" s="426">
        <f>IS추정!F25</f>
        <v>6867</v>
      </c>
      <c r="F46" s="527"/>
    </row>
    <row r="47" spans="2:33">
      <c r="B47"/>
      <c r="C47"/>
      <c r="D47"/>
      <c r="E47"/>
      <c r="F47"/>
      <c r="H47" s="390" t="s">
        <v>254</v>
      </c>
      <c r="J47" s="390" t="str">
        <f>LEFT(AC$4,4)&amp;"년"</f>
        <v>FCF추년</v>
      </c>
      <c r="K47" s="390" t="str">
        <f>LEFT(AD$4,4)&amp;"년"</f>
        <v>FCF추년</v>
      </c>
      <c r="L47" s="390" t="str">
        <f>LEFT(AE$4,4)&amp;"년"</f>
        <v>FCF추년</v>
      </c>
      <c r="M47" s="390" t="str">
        <f>LEFT(AF$4,4)&amp;"년"</f>
        <v>FCF추년</v>
      </c>
      <c r="N47" s="390" t="str">
        <f>LEFT(AG$4,4)&amp;"년"</f>
        <v>FCF추년</v>
      </c>
    </row>
    <row r="48" spans="2:33">
      <c r="B48"/>
      <c r="C48"/>
      <c r="D48"/>
      <c r="E48"/>
      <c r="F48"/>
      <c r="H48" s="428" t="s">
        <v>410</v>
      </c>
      <c r="J48" s="429" t="e">
        <f ca="1">OFFSET(BS추정!$I$14,5,AC2)</f>
        <v>#N/A</v>
      </c>
      <c r="K48" s="429" t="e">
        <f ca="1">OFFSET(BS추정!$I$14,5,AD2)</f>
        <v>#N/A</v>
      </c>
      <c r="L48" s="429" t="e">
        <f ca="1">OFFSET(BS추정!$I$14,5,AE2)</f>
        <v>#N/A</v>
      </c>
      <c r="M48" s="429" t="e">
        <f ca="1">OFFSET(BS추정!$I$14,5,AF2)</f>
        <v>#N/A</v>
      </c>
      <c r="N48" s="429" t="e">
        <f ca="1">OFFSET(BS추정!$I$14,5,AG2)</f>
        <v>#N/A</v>
      </c>
    </row>
    <row r="49" spans="2:14">
      <c r="B49"/>
      <c r="C49"/>
      <c r="D49"/>
      <c r="E49"/>
      <c r="F49"/>
      <c r="H49" s="391" t="s">
        <v>326</v>
      </c>
      <c r="J49" s="395" t="e">
        <f ca="1">OFFSET(BS추정!$I$14,8,AC2)</f>
        <v>#N/A</v>
      </c>
      <c r="K49" s="395" t="e">
        <f ca="1">OFFSET(BS추정!$I$14,8,AD2)</f>
        <v>#N/A</v>
      </c>
      <c r="L49" s="395" t="e">
        <f ca="1">OFFSET(BS추정!$I$14,8,AE2)</f>
        <v>#N/A</v>
      </c>
      <c r="M49" s="395" t="e">
        <f ca="1">OFFSET(BS추정!$I$14,8,AF2)</f>
        <v>#N/A</v>
      </c>
      <c r="N49" s="395" t="e">
        <f ca="1">OFFSET(BS추정!$I$14,8,AG2)</f>
        <v>#N/A</v>
      </c>
    </row>
    <row r="50" spans="2:14">
      <c r="B50"/>
      <c r="C50"/>
      <c r="D50"/>
      <c r="E50"/>
      <c r="F50"/>
      <c r="H50" s="428" t="s">
        <v>415</v>
      </c>
      <c r="J50" s="430" t="e">
        <f ca="1">OFFSET(BS추정!$I$14,9,AC2)</f>
        <v>#N/A</v>
      </c>
      <c r="K50" s="430" t="e">
        <f ca="1">OFFSET(BS추정!$I$14,9,AD2)</f>
        <v>#N/A</v>
      </c>
      <c r="L50" s="430" t="e">
        <f ca="1">OFFSET(BS추정!$I$14,9,AE2)</f>
        <v>#N/A</v>
      </c>
      <c r="M50" s="430" t="e">
        <f ca="1">OFFSET(BS추정!$I$14,9,AF2)</f>
        <v>#N/A</v>
      </c>
      <c r="N50" s="430" t="e">
        <f ca="1">OFFSET(BS추정!$I$14,9,AG2)</f>
        <v>#N/A</v>
      </c>
    </row>
    <row r="51" spans="2:14">
      <c r="B51"/>
      <c r="C51"/>
      <c r="D51"/>
      <c r="E51"/>
      <c r="F51"/>
      <c r="H51" s="391" t="s">
        <v>329</v>
      </c>
      <c r="J51" s="395" t="e">
        <f ca="1">OFFSET(BS추정!$I$14,10,AC2)</f>
        <v>#N/A</v>
      </c>
      <c r="K51" s="395" t="e">
        <f ca="1">OFFSET(BS추정!$I$14,10,AD2)</f>
        <v>#N/A</v>
      </c>
      <c r="L51" s="395" t="e">
        <f ca="1">OFFSET(BS추정!$I$14,10,AE2)</f>
        <v>#N/A</v>
      </c>
      <c r="M51" s="395" t="e">
        <f ca="1">OFFSET(BS추정!$I$14,10,AF2)</f>
        <v>#N/A</v>
      </c>
      <c r="N51" s="395" t="e">
        <f ca="1">OFFSET(BS추정!$I$14,10,AG2)</f>
        <v>#N/A</v>
      </c>
    </row>
    <row r="52" spans="2:14">
      <c r="H52" s="401" t="s">
        <v>420</v>
      </c>
      <c r="I52" s="203"/>
      <c r="J52" s="402" t="e">
        <f ca="1">OFFSET(감가상각추정!$I$36,-3,AC2)</f>
        <v>#N/A</v>
      </c>
      <c r="K52" s="402" t="e">
        <f ca="1">OFFSET(감가상각추정!$I$36,-3,AD2)</f>
        <v>#N/A</v>
      </c>
      <c r="L52" s="402" t="e">
        <f ca="1">OFFSET(감가상각추정!$I$36,-3,AE2)</f>
        <v>#N/A</v>
      </c>
      <c r="M52" s="402" t="e">
        <f ca="1">OFFSET(감가상각추정!$I$36,-3,AF2)</f>
        <v>#N/A</v>
      </c>
      <c r="N52" s="402" t="e">
        <f ca="1">OFFSET(감가상각추정!$I$36,-3,AG2)</f>
        <v>#N/A</v>
      </c>
    </row>
    <row r="54" spans="2:14">
      <c r="H54" s="390" t="s">
        <v>254</v>
      </c>
      <c r="J54" s="390" t="str">
        <f>LEFT(AC$4,4)&amp;"년"</f>
        <v>FCF추년</v>
      </c>
      <c r="K54" s="390" t="str">
        <f>LEFT(AD$4,4)&amp;"년"</f>
        <v>FCF추년</v>
      </c>
      <c r="L54" s="390" t="str">
        <f>LEFT(AE$4,4)&amp;"년"</f>
        <v>FCF추년</v>
      </c>
      <c r="M54" s="390" t="str">
        <f>LEFT(AF$4,4)&amp;"년"</f>
        <v>FCF추년</v>
      </c>
      <c r="N54" s="390" t="str">
        <f>LEFT(AG$4,4)&amp;"년"</f>
        <v>FCF추년</v>
      </c>
    </row>
    <row r="55" spans="2:14">
      <c r="H55" s="391" t="s">
        <v>421</v>
      </c>
      <c r="J55" s="395" t="s">
        <v>422</v>
      </c>
      <c r="K55" s="395" t="s">
        <v>423</v>
      </c>
      <c r="L55" s="395" t="s">
        <v>424</v>
      </c>
      <c r="M55" s="395" t="s">
        <v>425</v>
      </c>
      <c r="N55" s="395" t="s">
        <v>426</v>
      </c>
    </row>
    <row r="56" spans="2:14">
      <c r="H56" s="391" t="s">
        <v>427</v>
      </c>
      <c r="J56" s="395" t="s">
        <v>428</v>
      </c>
      <c r="K56" s="395" t="s">
        <v>429</v>
      </c>
      <c r="L56" s="395" t="s">
        <v>430</v>
      </c>
      <c r="M56" s="395" t="s">
        <v>431</v>
      </c>
      <c r="N56" s="395" t="s">
        <v>432</v>
      </c>
    </row>
    <row r="57" spans="2:14">
      <c r="H57" s="391" t="s">
        <v>433</v>
      </c>
      <c r="J57" s="395" t="s">
        <v>434</v>
      </c>
      <c r="K57" s="395" t="s">
        <v>435</v>
      </c>
      <c r="L57" s="395" t="s">
        <v>436</v>
      </c>
      <c r="M57" s="395" t="s">
        <v>437</v>
      </c>
      <c r="N57" s="395" t="s">
        <v>438</v>
      </c>
    </row>
    <row r="58" spans="2:14">
      <c r="H58" s="401" t="s">
        <v>439</v>
      </c>
      <c r="J58" s="402" t="s">
        <v>440</v>
      </c>
      <c r="K58" s="402" t="s">
        <v>441</v>
      </c>
      <c r="L58" s="402" t="s">
        <v>442</v>
      </c>
      <c r="M58" s="402" t="s">
        <v>443</v>
      </c>
      <c r="N58" s="402" t="s">
        <v>444</v>
      </c>
    </row>
    <row r="60" spans="2:14">
      <c r="H60" s="387" t="s">
        <v>254</v>
      </c>
      <c r="J60" s="388" t="s">
        <v>445</v>
      </c>
      <c r="L60" s="383" t="str">
        <f>NWC추정!J45</f>
        <v>WA 3Y</v>
      </c>
    </row>
    <row r="61" spans="2:14">
      <c r="H61" s="428" t="s">
        <v>446</v>
      </c>
      <c r="J61" s="431">
        <f>NWC추정!J46</f>
        <v>25.051851902994429</v>
      </c>
    </row>
    <row r="62" spans="2:14">
      <c r="H62" s="428" t="s">
        <v>447</v>
      </c>
      <c r="J62" s="431">
        <f>NWC추정!J47</f>
        <v>3.0790440722180166</v>
      </c>
    </row>
    <row r="63" spans="2:14">
      <c r="H63" s="428" t="s">
        <v>448</v>
      </c>
      <c r="J63" s="431">
        <f>NWC추정!J48</f>
        <v>251.90429958391121</v>
      </c>
    </row>
  </sheetData>
  <phoneticPr fontId="9" type="noConversion"/>
  <conditionalFormatting sqref="AC43:AE45">
    <cfRule type="cellIs" dxfId="0" priority="1" operator="equal">
      <formula>$AC$39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6" tint="0.39997558519241921"/>
  </sheetPr>
  <dimension ref="A1:T96"/>
  <sheetViews>
    <sheetView showGridLines="0" zoomScale="85" zoomScaleNormal="85" workbookViewId="0">
      <selection activeCell="L9" sqref="L9"/>
    </sheetView>
  </sheetViews>
  <sheetFormatPr defaultRowHeight="16.5"/>
  <cols>
    <col min="1" max="3" width="3.625" customWidth="1"/>
    <col min="4" max="4" width="20.625" customWidth="1"/>
    <col min="5" max="9" width="12.625" customWidth="1"/>
    <col min="10" max="10" width="3.625" customWidth="1"/>
  </cols>
  <sheetData>
    <row r="1" spans="1:20">
      <c r="A1" s="372"/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</row>
    <row r="2" spans="1:20">
      <c r="A2" s="372"/>
      <c r="B2" s="469" t="str">
        <f>"["&amp;TRIM(COMPANY!E2)&amp;"] 현금흐름할인법 평가결과 요약"</f>
        <v>[(주)루메나] 현금흐름할인법 평가결과 요약</v>
      </c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372"/>
      <c r="T2" s="372"/>
    </row>
    <row r="3" spans="1:20">
      <c r="A3" s="372"/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</row>
    <row r="4" spans="1:20">
      <c r="A4" s="372"/>
      <c r="B4" s="471" t="s">
        <v>479</v>
      </c>
      <c r="C4" s="372"/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/>
      <c r="Q4" s="372"/>
      <c r="R4" s="372"/>
      <c r="S4" s="372"/>
      <c r="T4" s="372"/>
    </row>
    <row r="5" spans="1:20">
      <c r="A5" s="372"/>
      <c r="B5" s="372"/>
      <c r="C5" s="372" t="s">
        <v>480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</row>
    <row r="6" spans="1:20">
      <c r="A6" s="372"/>
      <c r="B6" s="372"/>
      <c r="C6" s="372"/>
      <c r="D6" s="440" t="s">
        <v>481</v>
      </c>
      <c r="E6" s="441" t="str">
        <f>'보고서(일반)'!AC4</f>
        <v>FCF추정!F22</v>
      </c>
      <c r="F6" s="441" t="str">
        <f>'보고서(일반)'!AD4</f>
        <v>FCF추정!G22</v>
      </c>
      <c r="G6" s="441" t="str">
        <f>'보고서(일반)'!AE4</f>
        <v>FCF추정!H22</v>
      </c>
      <c r="H6" s="441" t="str">
        <f>'보고서(일반)'!AF4</f>
        <v>FCF추정!I22</v>
      </c>
      <c r="I6" s="441" t="str">
        <f>'보고서(일반)'!AG4</f>
        <v>FCF추정!J22</v>
      </c>
      <c r="J6" s="372"/>
      <c r="K6" s="372"/>
      <c r="L6" s="372"/>
      <c r="M6" s="372"/>
      <c r="N6" s="372"/>
      <c r="O6" s="372"/>
      <c r="P6" s="372"/>
      <c r="Q6" s="372"/>
      <c r="R6" s="372"/>
      <c r="S6" s="372"/>
      <c r="T6" s="372"/>
    </row>
    <row r="7" spans="1:20">
      <c r="A7" s="372"/>
      <c r="B7" s="372"/>
      <c r="C7" s="372"/>
      <c r="D7" s="440" t="s">
        <v>457</v>
      </c>
      <c r="E7" s="486"/>
      <c r="F7" s="486"/>
      <c r="G7" s="486"/>
      <c r="H7" s="486"/>
      <c r="I7" s="486"/>
      <c r="J7" s="372"/>
      <c r="K7" s="372"/>
      <c r="L7" s="487" t="s">
        <v>507</v>
      </c>
      <c r="M7" s="372"/>
      <c r="N7" s="372"/>
      <c r="O7" s="372"/>
      <c r="P7" s="372"/>
      <c r="Q7" s="372"/>
      <c r="R7" s="372"/>
      <c r="S7" s="372"/>
      <c r="T7" s="372"/>
    </row>
    <row r="8" spans="1:20">
      <c r="A8" s="372"/>
      <c r="B8" s="372"/>
      <c r="C8" s="372"/>
      <c r="D8" s="440" t="s">
        <v>458</v>
      </c>
      <c r="E8" s="486">
        <f>성장률추정!E8</f>
        <v>2.3220000000000001</v>
      </c>
      <c r="F8" s="486">
        <f>성장률추정!F8</f>
        <v>2.3370000000000002</v>
      </c>
      <c r="G8" s="486">
        <f>성장률추정!G8</f>
        <v>2.2120000000000002</v>
      </c>
      <c r="H8" s="486">
        <f>성장률추정!H8</f>
        <v>2.1309999999999998</v>
      </c>
      <c r="I8" s="486">
        <f>성장률추정!I8</f>
        <v>2.0840000000000001</v>
      </c>
      <c r="J8" s="372"/>
      <c r="K8" s="372"/>
      <c r="L8" s="372"/>
      <c r="M8" s="372"/>
      <c r="N8" s="372"/>
      <c r="O8" s="372"/>
      <c r="P8" s="372"/>
      <c r="Q8" s="372"/>
      <c r="R8" s="372"/>
      <c r="S8" s="372"/>
      <c r="T8" s="372"/>
    </row>
    <row r="9" spans="1:20">
      <c r="A9" s="372"/>
      <c r="B9" s="372"/>
      <c r="C9" s="372"/>
      <c r="D9" s="441" t="s">
        <v>459</v>
      </c>
      <c r="E9" s="486"/>
      <c r="F9" s="486"/>
      <c r="G9" s="486"/>
      <c r="H9" s="486"/>
      <c r="I9" s="486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</row>
    <row r="10" spans="1:20">
      <c r="A10" s="372"/>
      <c r="B10" s="372"/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372"/>
    </row>
    <row r="11" spans="1:20">
      <c r="A11" s="372"/>
      <c r="B11" s="372"/>
      <c r="C11" s="372" t="s">
        <v>482</v>
      </c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</row>
    <row r="12" spans="1:20">
      <c r="A12" s="372"/>
      <c r="B12" s="372"/>
      <c r="C12" s="372"/>
      <c r="D12" s="443" t="s">
        <v>460</v>
      </c>
      <c r="E12" s="442">
        <f>RATE!F3</f>
        <v>1.91</v>
      </c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2"/>
      <c r="Q12" s="372"/>
      <c r="R12" s="372"/>
      <c r="S12" s="372"/>
      <c r="T12" s="372"/>
    </row>
    <row r="13" spans="1:20">
      <c r="A13" s="372"/>
      <c r="B13" s="372"/>
      <c r="C13" s="372"/>
      <c r="D13" s="443" t="s">
        <v>461</v>
      </c>
      <c r="E13" s="442">
        <f>RATE!F4</f>
        <v>0.71</v>
      </c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</row>
    <row r="14" spans="1:20">
      <c r="A14" s="372"/>
      <c r="B14" s="372"/>
      <c r="C14" s="372"/>
      <c r="D14" s="443" t="s">
        <v>462</v>
      </c>
      <c r="E14" s="442">
        <f>RATE!F5</f>
        <v>1.91</v>
      </c>
      <c r="F14" s="372"/>
      <c r="G14" s="372"/>
      <c r="H14" s="372"/>
      <c r="I14" s="372"/>
      <c r="J14" s="372"/>
      <c r="K14" s="372"/>
      <c r="L14" s="372"/>
      <c r="M14" s="372"/>
      <c r="N14" s="372"/>
      <c r="O14" s="372"/>
      <c r="P14" s="372"/>
      <c r="Q14" s="372"/>
      <c r="R14" s="372"/>
      <c r="S14" s="372"/>
      <c r="T14" s="372"/>
    </row>
    <row r="15" spans="1:20">
      <c r="A15" s="372"/>
      <c r="B15" s="372"/>
      <c r="C15" s="372"/>
      <c r="D15" s="443" t="s">
        <v>449</v>
      </c>
      <c r="E15" s="442">
        <f>RATE!F7</f>
        <v>3.65</v>
      </c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</row>
    <row r="16" spans="1:20">
      <c r="A16" s="372"/>
      <c r="B16" s="372"/>
      <c r="C16" s="372"/>
      <c r="D16" s="443" t="s">
        <v>450</v>
      </c>
      <c r="E16" s="442">
        <f>RATE!F8</f>
        <v>11.4</v>
      </c>
      <c r="F16" s="372"/>
      <c r="G16" s="372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</row>
    <row r="17" spans="1:20">
      <c r="A17" s="372"/>
      <c r="B17" s="372"/>
      <c r="C17" s="372"/>
      <c r="D17" s="443" t="s">
        <v>463</v>
      </c>
      <c r="E17" s="442">
        <f>RATE!F9</f>
        <v>1.56</v>
      </c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</row>
    <row r="18" spans="1:20">
      <c r="A18" s="372"/>
      <c r="B18" s="372"/>
      <c r="C18" s="372"/>
      <c r="D18" s="462" t="s">
        <v>483</v>
      </c>
      <c r="E18" s="454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</row>
    <row r="19" spans="1:20">
      <c r="A19" s="372"/>
      <c r="B19" s="372"/>
      <c r="C19" s="372"/>
      <c r="D19" s="454"/>
      <c r="E19" s="454"/>
      <c r="F19" s="372"/>
      <c r="G19" s="372"/>
      <c r="H19" s="372"/>
      <c r="I19" s="372"/>
      <c r="J19" s="372"/>
      <c r="K19" s="372"/>
      <c r="L19" s="372"/>
      <c r="M19" s="372"/>
      <c r="N19" s="372"/>
      <c r="O19" s="372"/>
      <c r="P19" s="372"/>
      <c r="Q19" s="372"/>
      <c r="R19" s="372"/>
      <c r="S19" s="372"/>
      <c r="T19" s="372"/>
    </row>
    <row r="20" spans="1:20">
      <c r="A20" s="372"/>
      <c r="B20" s="372"/>
      <c r="C20" s="372" t="s">
        <v>484</v>
      </c>
      <c r="D20" s="372"/>
      <c r="E20" s="454"/>
      <c r="F20" s="454"/>
      <c r="G20" s="454"/>
      <c r="H20" s="372"/>
      <c r="I20" s="372"/>
      <c r="J20" s="372"/>
      <c r="K20" s="372"/>
      <c r="L20" s="372"/>
      <c r="M20" s="372"/>
      <c r="N20" s="372"/>
      <c r="O20" s="372"/>
      <c r="P20" s="372"/>
      <c r="Q20" s="372"/>
      <c r="R20" s="372"/>
      <c r="S20" s="372"/>
      <c r="T20" s="372"/>
    </row>
    <row r="21" spans="1:20">
      <c r="A21" s="372"/>
      <c r="B21" s="372"/>
      <c r="C21" s="372"/>
      <c r="D21" s="445" t="s">
        <v>485</v>
      </c>
      <c r="E21" s="440" t="s">
        <v>464</v>
      </c>
      <c r="F21" s="440" t="s">
        <v>465</v>
      </c>
      <c r="G21" s="440" t="s">
        <v>466</v>
      </c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</row>
    <row r="22" spans="1:20">
      <c r="A22" s="372"/>
      <c r="B22" s="372"/>
      <c r="C22" s="372"/>
      <c r="D22" s="443" t="s">
        <v>486</v>
      </c>
      <c r="E22" s="446">
        <v>200</v>
      </c>
      <c r="F22" s="442">
        <v>9.9</v>
      </c>
      <c r="G22" s="442">
        <v>0</v>
      </c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</row>
    <row r="23" spans="1:20">
      <c r="A23" s="372"/>
      <c r="B23" s="372"/>
      <c r="C23" s="372"/>
      <c r="D23" s="443" t="s">
        <v>487</v>
      </c>
      <c r="E23" s="446">
        <v>20000</v>
      </c>
      <c r="F23" s="442">
        <v>20.900000000000002</v>
      </c>
      <c r="G23" s="442">
        <v>22</v>
      </c>
      <c r="H23" s="372"/>
      <c r="I23" s="372"/>
      <c r="J23" s="372"/>
      <c r="K23" s="372"/>
      <c r="L23" s="372"/>
      <c r="M23" s="372"/>
      <c r="N23" s="372"/>
      <c r="O23" s="372"/>
      <c r="P23" s="372"/>
      <c r="Q23" s="372"/>
      <c r="R23" s="372"/>
      <c r="S23" s="372"/>
      <c r="T23" s="372"/>
    </row>
    <row r="24" spans="1:20">
      <c r="A24" s="372"/>
      <c r="B24" s="372"/>
      <c r="C24" s="372"/>
      <c r="D24" s="443" t="s">
        <v>488</v>
      </c>
      <c r="E24" s="446">
        <v>20000</v>
      </c>
      <c r="F24" s="442">
        <v>23.1</v>
      </c>
      <c r="G24" s="442">
        <v>462</v>
      </c>
      <c r="H24" s="372"/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2"/>
    </row>
    <row r="25" spans="1:20">
      <c r="A25" s="372"/>
      <c r="B25" s="372"/>
      <c r="C25" s="372"/>
      <c r="D25" s="443" t="s">
        <v>489</v>
      </c>
      <c r="E25" s="446">
        <v>300000</v>
      </c>
      <c r="F25" s="442">
        <v>26.400000000000002</v>
      </c>
      <c r="G25" s="442">
        <v>10362</v>
      </c>
      <c r="H25" s="372"/>
      <c r="I25" s="372"/>
      <c r="J25" s="372"/>
      <c r="K25" s="372"/>
      <c r="L25" s="372"/>
      <c r="M25" s="372"/>
      <c r="N25" s="372"/>
      <c r="O25" s="372"/>
      <c r="P25" s="372"/>
      <c r="Q25" s="372"/>
      <c r="R25" s="372"/>
      <c r="S25" s="372"/>
      <c r="T25" s="372"/>
    </row>
    <row r="26" spans="1:20">
      <c r="A26" s="372"/>
      <c r="B26" s="372"/>
      <c r="C26" s="372"/>
      <c r="D26" s="454"/>
      <c r="E26" s="454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</row>
    <row r="27" spans="1:20">
      <c r="A27" s="372"/>
      <c r="B27" s="471" t="s">
        <v>490</v>
      </c>
      <c r="C27" s="372"/>
      <c r="D27" s="372"/>
      <c r="E27" s="454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</row>
    <row r="28" spans="1:20">
      <c r="A28" s="372"/>
      <c r="B28" s="372"/>
      <c r="C28" s="454" t="s">
        <v>491</v>
      </c>
      <c r="D28" s="372"/>
      <c r="E28" s="454"/>
      <c r="F28" s="372"/>
      <c r="G28" s="372"/>
      <c r="H28" s="372"/>
      <c r="I28" s="372"/>
      <c r="J28" s="372"/>
      <c r="K28" s="372"/>
      <c r="L28" s="372"/>
      <c r="M28" s="372"/>
      <c r="N28" s="372"/>
      <c r="O28" s="372"/>
      <c r="P28" s="372"/>
      <c r="Q28" s="372"/>
      <c r="R28" s="372"/>
      <c r="S28" s="372"/>
      <c r="T28" s="372"/>
    </row>
    <row r="29" spans="1:20">
      <c r="A29" s="372"/>
      <c r="B29" s="372"/>
      <c r="C29" s="372"/>
      <c r="D29" s="447" t="s">
        <v>257</v>
      </c>
      <c r="E29" s="447" t="s">
        <v>258</v>
      </c>
      <c r="F29" s="447" t="s">
        <v>467</v>
      </c>
      <c r="G29" s="447" t="s">
        <v>260</v>
      </c>
      <c r="H29" s="447" t="s">
        <v>261</v>
      </c>
      <c r="I29" s="372"/>
      <c r="J29" s="372"/>
      <c r="K29" s="372"/>
      <c r="L29" s="487" t="s">
        <v>508</v>
      </c>
      <c r="M29" s="372"/>
      <c r="N29" s="372"/>
      <c r="O29" s="372"/>
      <c r="P29" s="372"/>
      <c r="Q29" s="372"/>
      <c r="R29" s="372"/>
      <c r="S29" s="372"/>
      <c r="T29" s="372"/>
    </row>
    <row r="30" spans="1:20">
      <c r="A30" s="372"/>
      <c r="B30" s="372"/>
      <c r="C30" s="372"/>
      <c r="D30" s="448" t="str">
        <f ca="1">'보고서(일반)'!U5</f>
        <v>롯데지주</v>
      </c>
      <c r="E30" s="481">
        <f ca="1">'보고서(일반)'!V5</f>
        <v>0.86399999999999999</v>
      </c>
      <c r="F30" s="482">
        <f ca="1">'보고서(일반)'!W5</f>
        <v>464.43825206521359</v>
      </c>
      <c r="G30" s="483">
        <f ca="1">'보고서(일반)'!X5</f>
        <v>0.18690705820202019</v>
      </c>
      <c r="H30" s="483">
        <f ca="1">'보고서(일반)'!Y5</f>
        <v>0.86399999999999999</v>
      </c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</row>
    <row r="31" spans="1:20">
      <c r="A31" s="372"/>
      <c r="B31" s="372"/>
      <c r="C31" s="372"/>
      <c r="D31" s="448" t="str">
        <f ca="1">'보고서(일반)'!U6</f>
        <v/>
      </c>
      <c r="E31" s="481" t="b">
        <f ca="1">'보고서(일반)'!V6</f>
        <v>0</v>
      </c>
      <c r="F31" s="482" t="b">
        <f ca="1">'보고서(일반)'!W6</f>
        <v>0</v>
      </c>
      <c r="G31" s="483" t="b">
        <f ca="1">'보고서(일반)'!X6</f>
        <v>0</v>
      </c>
      <c r="H31" s="483" t="b">
        <f ca="1">'보고서(일반)'!Y6</f>
        <v>0</v>
      </c>
      <c r="I31" s="372"/>
      <c r="J31" s="372"/>
      <c r="K31" s="372"/>
      <c r="L31" s="372"/>
      <c r="M31" s="372"/>
      <c r="N31" s="372"/>
      <c r="O31" s="372"/>
      <c r="P31" s="372"/>
      <c r="Q31" s="372"/>
      <c r="R31" s="372"/>
      <c r="S31" s="372"/>
      <c r="T31" s="372"/>
    </row>
    <row r="32" spans="1:20">
      <c r="A32" s="372"/>
      <c r="B32" s="372"/>
      <c r="C32" s="372"/>
      <c r="D32" s="448" t="str">
        <f ca="1">'보고서(일반)'!U7</f>
        <v/>
      </c>
      <c r="E32" s="481" t="b">
        <f ca="1">'보고서(일반)'!V7</f>
        <v>0</v>
      </c>
      <c r="F32" s="482" t="b">
        <f ca="1">'보고서(일반)'!W7</f>
        <v>0</v>
      </c>
      <c r="G32" s="483" t="b">
        <f ca="1">'보고서(일반)'!X7</f>
        <v>0</v>
      </c>
      <c r="H32" s="483" t="b">
        <f ca="1">'보고서(일반)'!Y7</f>
        <v>0</v>
      </c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</row>
    <row r="33" spans="1:20" s="203" customFormat="1">
      <c r="A33" s="372"/>
      <c r="B33" s="372"/>
      <c r="C33" s="372"/>
      <c r="D33" s="448" t="str">
        <f ca="1">'보고서(일반)'!U8</f>
        <v/>
      </c>
      <c r="E33" s="481" t="b">
        <f ca="1">'보고서(일반)'!V8</f>
        <v>0</v>
      </c>
      <c r="F33" s="482" t="b">
        <f ca="1">'보고서(일반)'!W8</f>
        <v>0</v>
      </c>
      <c r="G33" s="483" t="b">
        <f ca="1">'보고서(일반)'!X8</f>
        <v>0</v>
      </c>
      <c r="H33" s="483" t="b">
        <f ca="1">'보고서(일반)'!Y8</f>
        <v>0</v>
      </c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2"/>
    </row>
    <row r="34" spans="1:20" s="203" customFormat="1">
      <c r="A34" s="372"/>
      <c r="B34" s="372"/>
      <c r="C34" s="372"/>
      <c r="D34" s="448" t="str">
        <f ca="1">'보고서(일반)'!U9</f>
        <v/>
      </c>
      <c r="E34" s="481" t="b">
        <f ca="1">'보고서(일반)'!V9</f>
        <v>0</v>
      </c>
      <c r="F34" s="482" t="b">
        <f ca="1">'보고서(일반)'!W9</f>
        <v>0</v>
      </c>
      <c r="G34" s="483" t="b">
        <f ca="1">'보고서(일반)'!X9</f>
        <v>0</v>
      </c>
      <c r="H34" s="483" t="b">
        <f ca="1">'보고서(일반)'!Y9</f>
        <v>0</v>
      </c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</row>
    <row r="35" spans="1:20" s="203" customFormat="1">
      <c r="A35" s="372"/>
      <c r="B35" s="372"/>
      <c r="C35" s="372"/>
      <c r="D35" s="448" t="str">
        <f ca="1">'보고서(일반)'!U10</f>
        <v/>
      </c>
      <c r="E35" s="481" t="b">
        <f ca="1">'보고서(일반)'!V10</f>
        <v>0</v>
      </c>
      <c r="F35" s="482" t="b">
        <f ca="1">'보고서(일반)'!W10</f>
        <v>0</v>
      </c>
      <c r="G35" s="483" t="b">
        <f ca="1">'보고서(일반)'!X10</f>
        <v>0</v>
      </c>
      <c r="H35" s="483" t="b">
        <f ca="1">'보고서(일반)'!Y10</f>
        <v>0</v>
      </c>
      <c r="I35" s="372"/>
      <c r="J35" s="372"/>
      <c r="K35" s="372"/>
      <c r="L35" s="372"/>
      <c r="M35" s="372"/>
      <c r="N35" s="372"/>
      <c r="O35" s="372"/>
      <c r="P35" s="372"/>
      <c r="Q35" s="372"/>
      <c r="R35" s="372"/>
      <c r="S35" s="372"/>
      <c r="T35" s="372"/>
    </row>
    <row r="36" spans="1:20" s="203" customFormat="1">
      <c r="A36" s="372"/>
      <c r="B36" s="372"/>
      <c r="C36" s="372"/>
      <c r="D36" s="448" t="str">
        <f ca="1">'보고서(일반)'!U11</f>
        <v/>
      </c>
      <c r="E36" s="481" t="b">
        <f ca="1">'보고서(일반)'!V11</f>
        <v>0</v>
      </c>
      <c r="F36" s="482" t="b">
        <f ca="1">'보고서(일반)'!W11</f>
        <v>0</v>
      </c>
      <c r="G36" s="483" t="b">
        <f ca="1">'보고서(일반)'!X11</f>
        <v>0</v>
      </c>
      <c r="H36" s="483" t="b">
        <f ca="1">'보고서(일반)'!Y11</f>
        <v>0</v>
      </c>
      <c r="I36" s="372"/>
      <c r="J36" s="372"/>
      <c r="K36" s="372"/>
      <c r="L36" s="372"/>
      <c r="M36" s="372"/>
      <c r="N36" s="372"/>
      <c r="O36" s="372"/>
      <c r="P36" s="372"/>
      <c r="Q36" s="372"/>
      <c r="R36" s="372"/>
      <c r="S36" s="372"/>
      <c r="T36" s="372"/>
    </row>
    <row r="37" spans="1:20" s="203" customFormat="1">
      <c r="A37" s="372"/>
      <c r="B37" s="372"/>
      <c r="C37" s="372"/>
      <c r="D37" s="448" t="str">
        <f ca="1">'보고서(일반)'!U12</f>
        <v/>
      </c>
      <c r="E37" s="481" t="b">
        <f ca="1">'보고서(일반)'!V12</f>
        <v>0</v>
      </c>
      <c r="F37" s="482" t="b">
        <f ca="1">'보고서(일반)'!W12</f>
        <v>0</v>
      </c>
      <c r="G37" s="483" t="b">
        <f ca="1">'보고서(일반)'!X12</f>
        <v>0</v>
      </c>
      <c r="H37" s="483" t="b">
        <f ca="1">'보고서(일반)'!Y12</f>
        <v>0</v>
      </c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</row>
    <row r="38" spans="1:20" s="203" customFormat="1">
      <c r="A38" s="372"/>
      <c r="B38" s="372"/>
      <c r="C38" s="372"/>
      <c r="D38" s="448" t="str">
        <f ca="1">'보고서(일반)'!U13</f>
        <v/>
      </c>
      <c r="E38" s="481" t="b">
        <f ca="1">'보고서(일반)'!V13</f>
        <v>0</v>
      </c>
      <c r="F38" s="482" t="b">
        <f ca="1">'보고서(일반)'!W13</f>
        <v>0</v>
      </c>
      <c r="G38" s="483" t="b">
        <f ca="1">'보고서(일반)'!X13</f>
        <v>0</v>
      </c>
      <c r="H38" s="483" t="b">
        <f ca="1">'보고서(일반)'!Y13</f>
        <v>0</v>
      </c>
      <c r="I38" s="372"/>
      <c r="J38" s="372"/>
      <c r="K38" s="372"/>
      <c r="L38" s="372"/>
      <c r="M38" s="372"/>
      <c r="N38" s="372"/>
      <c r="O38" s="372"/>
      <c r="P38" s="372"/>
      <c r="Q38" s="372"/>
      <c r="R38" s="372"/>
      <c r="S38" s="372"/>
      <c r="T38" s="372"/>
    </row>
    <row r="39" spans="1:20" s="203" customFormat="1">
      <c r="A39" s="372"/>
      <c r="B39" s="372"/>
      <c r="C39" s="372"/>
      <c r="D39" s="448" t="str">
        <f ca="1">'보고서(일반)'!U14</f>
        <v/>
      </c>
      <c r="E39" s="481" t="b">
        <f ca="1">'보고서(일반)'!V14</f>
        <v>0</v>
      </c>
      <c r="F39" s="482" t="b">
        <f ca="1">'보고서(일반)'!W14</f>
        <v>0</v>
      </c>
      <c r="G39" s="483" t="b">
        <f ca="1">'보고서(일반)'!X14</f>
        <v>0</v>
      </c>
      <c r="H39" s="483" t="b">
        <f ca="1">'보고서(일반)'!Y14</f>
        <v>0</v>
      </c>
      <c r="I39" s="372"/>
      <c r="J39" s="372"/>
      <c r="K39" s="372"/>
      <c r="L39" s="372"/>
      <c r="M39" s="372"/>
      <c r="N39" s="372"/>
      <c r="O39" s="372"/>
      <c r="P39" s="372"/>
      <c r="Q39" s="372"/>
      <c r="R39" s="372"/>
      <c r="S39" s="372"/>
      <c r="T39" s="372"/>
    </row>
    <row r="40" spans="1:20" s="203" customFormat="1">
      <c r="A40" s="372"/>
      <c r="B40" s="372"/>
      <c r="C40" s="372"/>
      <c r="D40" s="448" t="str">
        <f ca="1">'보고서(일반)'!U15</f>
        <v/>
      </c>
      <c r="E40" s="481" t="b">
        <f ca="1">'보고서(일반)'!V15</f>
        <v>0</v>
      </c>
      <c r="F40" s="482" t="b">
        <f ca="1">'보고서(일반)'!W15</f>
        <v>0</v>
      </c>
      <c r="G40" s="483" t="b">
        <f ca="1">'보고서(일반)'!X15</f>
        <v>0</v>
      </c>
      <c r="H40" s="483" t="b">
        <f ca="1">'보고서(일반)'!Y15</f>
        <v>0</v>
      </c>
      <c r="I40" s="372"/>
      <c r="J40" s="372"/>
      <c r="K40" s="372"/>
      <c r="L40" s="372"/>
      <c r="M40" s="372"/>
      <c r="N40" s="372"/>
      <c r="O40" s="372"/>
      <c r="P40" s="372"/>
      <c r="Q40" s="372"/>
      <c r="R40" s="372"/>
      <c r="S40" s="372"/>
      <c r="T40" s="372"/>
    </row>
    <row r="41" spans="1:20" s="203" customFormat="1">
      <c r="A41" s="372"/>
      <c r="B41" s="372"/>
      <c r="C41" s="372"/>
      <c r="D41" s="448" t="str">
        <f ca="1">'보고서(일반)'!U16</f>
        <v/>
      </c>
      <c r="E41" s="481" t="b">
        <f ca="1">'보고서(일반)'!V16</f>
        <v>0</v>
      </c>
      <c r="F41" s="482" t="b">
        <f ca="1">'보고서(일반)'!W16</f>
        <v>0</v>
      </c>
      <c r="G41" s="483" t="b">
        <f ca="1">'보고서(일반)'!X16</f>
        <v>0</v>
      </c>
      <c r="H41" s="483" t="b">
        <f ca="1">'보고서(일반)'!Y16</f>
        <v>0</v>
      </c>
      <c r="I41" s="372"/>
      <c r="J41" s="372"/>
      <c r="K41" s="372"/>
      <c r="L41" s="372"/>
      <c r="M41" s="372"/>
      <c r="N41" s="372"/>
      <c r="O41" s="372"/>
      <c r="P41" s="372"/>
      <c r="Q41" s="372"/>
      <c r="R41" s="372"/>
      <c r="S41" s="372"/>
      <c r="T41" s="372"/>
    </row>
    <row r="42" spans="1:20" s="203" customFormat="1">
      <c r="A42" s="372"/>
      <c r="B42" s="372"/>
      <c r="C42" s="372"/>
      <c r="D42" s="448" t="str">
        <f ca="1">'보고서(일반)'!U17</f>
        <v/>
      </c>
      <c r="E42" s="481" t="b">
        <f ca="1">'보고서(일반)'!V17</f>
        <v>0</v>
      </c>
      <c r="F42" s="482" t="b">
        <f ca="1">'보고서(일반)'!W17</f>
        <v>0</v>
      </c>
      <c r="G42" s="483" t="b">
        <f ca="1">'보고서(일반)'!X17</f>
        <v>0</v>
      </c>
      <c r="H42" s="483" t="b">
        <f ca="1">'보고서(일반)'!Y17</f>
        <v>0</v>
      </c>
      <c r="I42" s="372"/>
      <c r="J42" s="372"/>
      <c r="K42" s="372"/>
      <c r="L42" s="372"/>
      <c r="M42" s="372"/>
      <c r="N42" s="372"/>
      <c r="O42" s="372"/>
      <c r="P42" s="372"/>
      <c r="Q42" s="372"/>
      <c r="R42" s="372"/>
      <c r="S42" s="372"/>
      <c r="T42" s="372"/>
    </row>
    <row r="43" spans="1:20" s="203" customFormat="1">
      <c r="A43" s="372"/>
      <c r="B43" s="372"/>
      <c r="C43" s="372"/>
      <c r="D43" s="448" t="str">
        <f ca="1">'보고서(일반)'!U18</f>
        <v/>
      </c>
      <c r="E43" s="481" t="b">
        <f ca="1">'보고서(일반)'!V18</f>
        <v>0</v>
      </c>
      <c r="F43" s="482" t="b">
        <f ca="1">'보고서(일반)'!W18</f>
        <v>0</v>
      </c>
      <c r="G43" s="483" t="b">
        <f ca="1">'보고서(일반)'!X18</f>
        <v>0</v>
      </c>
      <c r="H43" s="483" t="b">
        <f ca="1">'보고서(일반)'!Y18</f>
        <v>0</v>
      </c>
      <c r="I43" s="372"/>
      <c r="J43" s="372"/>
      <c r="K43" s="372"/>
      <c r="L43" s="372"/>
      <c r="M43" s="372"/>
      <c r="N43" s="372"/>
      <c r="O43" s="372"/>
      <c r="P43" s="372"/>
      <c r="Q43" s="372"/>
      <c r="R43" s="372"/>
      <c r="S43" s="372"/>
      <c r="T43" s="372"/>
    </row>
    <row r="44" spans="1:20" s="203" customFormat="1">
      <c r="A44" s="372"/>
      <c r="B44" s="372"/>
      <c r="C44" s="372"/>
      <c r="D44" s="448" t="str">
        <f ca="1">'보고서(일반)'!U19</f>
        <v/>
      </c>
      <c r="E44" s="481" t="b">
        <f ca="1">'보고서(일반)'!V19</f>
        <v>0</v>
      </c>
      <c r="F44" s="482" t="b">
        <f ca="1">'보고서(일반)'!W19</f>
        <v>0</v>
      </c>
      <c r="G44" s="483" t="b">
        <f ca="1">'보고서(일반)'!X19</f>
        <v>0</v>
      </c>
      <c r="H44" s="483" t="b">
        <f ca="1">'보고서(일반)'!Y19</f>
        <v>0</v>
      </c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372"/>
    </row>
    <row r="45" spans="1:20">
      <c r="A45" s="372"/>
      <c r="B45" s="372"/>
      <c r="C45" s="372"/>
      <c r="D45" s="484" t="str">
        <f>'보고서(일반)'!U20</f>
        <v>Average</v>
      </c>
      <c r="E45" s="485">
        <f ca="1">'보고서(일반)'!V20</f>
        <v>0.86399999999999999</v>
      </c>
      <c r="F45" s="485">
        <f ca="1">'보고서(일반)'!W20</f>
        <v>464.43825206521359</v>
      </c>
      <c r="G45" s="485">
        <f ca="1">'보고서(일반)'!X20</f>
        <v>0.18690705820202019</v>
      </c>
      <c r="H45" s="485">
        <f ca="1">'보고서(일반)'!Y20</f>
        <v>0.86399999999999999</v>
      </c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2"/>
    </row>
    <row r="46" spans="1:20">
      <c r="A46" s="372"/>
      <c r="B46" s="372"/>
      <c r="C46" s="372"/>
      <c r="D46" s="454"/>
      <c r="E46" s="454"/>
      <c r="F46" s="372"/>
      <c r="G46" s="372"/>
      <c r="H46" s="372"/>
      <c r="I46" s="372"/>
      <c r="J46" s="372"/>
      <c r="K46" s="372"/>
      <c r="L46" s="372"/>
      <c r="M46" s="372"/>
      <c r="N46" s="372"/>
      <c r="O46" s="372"/>
      <c r="P46" s="372"/>
      <c r="Q46" s="372"/>
      <c r="R46" s="372"/>
      <c r="S46" s="372"/>
      <c r="T46" s="372"/>
    </row>
    <row r="47" spans="1:20">
      <c r="A47" s="372"/>
      <c r="B47" s="372"/>
      <c r="C47" s="454" t="s">
        <v>492</v>
      </c>
      <c r="D47" s="372"/>
      <c r="E47" s="454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</row>
    <row r="48" spans="1:20">
      <c r="A48" s="372"/>
      <c r="B48" s="372"/>
      <c r="C48" s="372"/>
      <c r="D48" s="449" t="s">
        <v>343</v>
      </c>
      <c r="E48" s="449" t="s">
        <v>345</v>
      </c>
      <c r="F48" s="449" t="s">
        <v>344</v>
      </c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</row>
    <row r="49" spans="1:20">
      <c r="A49" s="372"/>
      <c r="B49" s="372"/>
      <c r="C49" s="372"/>
      <c r="D49" s="450" t="s">
        <v>542</v>
      </c>
      <c r="E49" s="479">
        <f ca="1">'보고서(일반)'!X23</f>
        <v>0.86399999999999999</v>
      </c>
      <c r="F49" s="451" t="s">
        <v>468</v>
      </c>
      <c r="G49" s="372"/>
      <c r="H49" s="372"/>
      <c r="I49" s="372"/>
      <c r="J49" s="372"/>
      <c r="K49" s="372"/>
      <c r="L49" s="372"/>
      <c r="M49" s="372"/>
      <c r="N49" s="372"/>
      <c r="O49" s="372"/>
      <c r="P49" s="372"/>
      <c r="Q49" s="372"/>
      <c r="R49" s="372"/>
      <c r="S49" s="372"/>
      <c r="T49" s="372"/>
    </row>
    <row r="50" spans="1:20">
      <c r="A50" s="372"/>
      <c r="B50" s="372"/>
      <c r="C50" s="372"/>
      <c r="D50" s="450" t="s">
        <v>351</v>
      </c>
      <c r="E50" s="480">
        <f>'보고서(일반)'!X24</f>
        <v>3.6499999999999998E-2</v>
      </c>
      <c r="F50" s="451" t="s">
        <v>469</v>
      </c>
      <c r="G50" s="372"/>
      <c r="H50" s="372"/>
      <c r="I50" s="372"/>
      <c r="J50" s="372"/>
      <c r="K50" s="372"/>
      <c r="L50" s="372"/>
      <c r="M50" s="372"/>
      <c r="N50" s="372"/>
      <c r="O50" s="372"/>
      <c r="P50" s="372"/>
      <c r="Q50" s="372"/>
      <c r="R50" s="372"/>
      <c r="S50" s="372"/>
      <c r="T50" s="372"/>
    </row>
    <row r="51" spans="1:20">
      <c r="A51" s="372"/>
      <c r="B51" s="372"/>
      <c r="C51" s="372"/>
      <c r="D51" s="450" t="s">
        <v>354</v>
      </c>
      <c r="E51" s="480">
        <f>'보고서(일반)'!X25</f>
        <v>0.114</v>
      </c>
      <c r="F51" s="452" t="s">
        <v>355</v>
      </c>
      <c r="G51" s="372"/>
      <c r="H51" s="372"/>
      <c r="I51" s="372"/>
      <c r="J51" s="372"/>
      <c r="K51" s="372"/>
      <c r="L51" s="372"/>
      <c r="M51" s="372"/>
      <c r="N51" s="372"/>
      <c r="O51" s="372"/>
      <c r="P51" s="372"/>
      <c r="Q51" s="372"/>
      <c r="R51" s="372"/>
      <c r="S51" s="372"/>
      <c r="T51" s="372"/>
    </row>
    <row r="52" spans="1:20">
      <c r="A52" s="372"/>
      <c r="B52" s="372"/>
      <c r="C52" s="372"/>
      <c r="D52" s="450" t="s">
        <v>359</v>
      </c>
      <c r="E52" s="480">
        <f>'보고서(일반)'!X26</f>
        <v>0</v>
      </c>
      <c r="F52" s="452" t="s">
        <v>360</v>
      </c>
      <c r="G52" s="372"/>
      <c r="H52" s="372"/>
      <c r="I52" s="372"/>
      <c r="J52" s="372"/>
      <c r="K52" s="372"/>
      <c r="L52" s="372"/>
      <c r="M52" s="372"/>
      <c r="N52" s="372"/>
      <c r="O52" s="372"/>
      <c r="P52" s="372"/>
      <c r="Q52" s="372"/>
      <c r="R52" s="372"/>
      <c r="S52" s="372"/>
      <c r="T52" s="372"/>
    </row>
    <row r="53" spans="1:20">
      <c r="A53" s="372"/>
      <c r="B53" s="372"/>
      <c r="C53" s="372"/>
      <c r="D53" s="450" t="s">
        <v>370</v>
      </c>
      <c r="E53" s="480">
        <f ca="1">'보고서(일반)'!X27</f>
        <v>0.134996</v>
      </c>
      <c r="F53" s="452" t="s">
        <v>470</v>
      </c>
      <c r="G53" s="372"/>
      <c r="H53" s="372"/>
      <c r="I53" s="372"/>
      <c r="J53" s="372"/>
      <c r="K53" s="372"/>
      <c r="L53" s="372"/>
      <c r="M53" s="372"/>
      <c r="N53" s="372"/>
      <c r="O53" s="372"/>
      <c r="P53" s="372"/>
      <c r="Q53" s="372"/>
      <c r="R53" s="372"/>
      <c r="S53" s="372"/>
      <c r="T53" s="372"/>
    </row>
    <row r="54" spans="1:20">
      <c r="A54" s="372"/>
      <c r="B54" s="372"/>
      <c r="C54" s="372"/>
      <c r="D54" s="450" t="s">
        <v>376</v>
      </c>
      <c r="E54" s="480">
        <f>'보고서(일반)'!X28</f>
        <v>0.22</v>
      </c>
      <c r="F54" s="452" t="s">
        <v>377</v>
      </c>
      <c r="G54" s="372"/>
      <c r="H54" s="372"/>
      <c r="I54" s="372"/>
      <c r="J54" s="372"/>
      <c r="K54" s="372"/>
      <c r="L54" s="372"/>
      <c r="M54" s="372"/>
      <c r="N54" s="372"/>
      <c r="O54" s="372"/>
      <c r="P54" s="372"/>
      <c r="Q54" s="372"/>
      <c r="R54" s="372"/>
      <c r="S54" s="372"/>
      <c r="T54" s="372"/>
    </row>
    <row r="55" spans="1:20">
      <c r="A55" s="372"/>
      <c r="B55" s="372"/>
      <c r="C55" s="372"/>
      <c r="D55" s="450" t="s">
        <v>379</v>
      </c>
      <c r="E55" s="480">
        <f>'보고서(일반)'!X29</f>
        <v>0</v>
      </c>
      <c r="F55" s="452" t="s">
        <v>380</v>
      </c>
      <c r="G55" s="372"/>
      <c r="H55" s="372"/>
      <c r="I55" s="372"/>
      <c r="J55" s="372"/>
      <c r="K55" s="372"/>
      <c r="L55" s="372"/>
      <c r="M55" s="372"/>
      <c r="N55" s="372"/>
      <c r="O55" s="372"/>
      <c r="P55" s="372"/>
      <c r="Q55" s="372"/>
      <c r="R55" s="372"/>
      <c r="S55" s="372"/>
      <c r="T55" s="372"/>
    </row>
    <row r="56" spans="1:20">
      <c r="A56" s="372"/>
      <c r="B56" s="372"/>
      <c r="C56" s="372"/>
      <c r="D56" s="450" t="s">
        <v>384</v>
      </c>
      <c r="E56" s="480">
        <f ca="1">'보고서(일반)'!X31</f>
        <v>2.3916876559316354E-2</v>
      </c>
      <c r="F56" s="452" t="s">
        <v>471</v>
      </c>
      <c r="G56" s="372"/>
      <c r="H56" s="372"/>
      <c r="I56" s="372"/>
      <c r="J56" s="372"/>
      <c r="K56" s="372"/>
      <c r="L56" s="372"/>
      <c r="M56" s="372"/>
      <c r="N56" s="372"/>
      <c r="O56" s="372"/>
      <c r="P56" s="372"/>
      <c r="Q56" s="372"/>
      <c r="R56" s="372"/>
      <c r="S56" s="372"/>
      <c r="T56" s="372"/>
    </row>
    <row r="57" spans="1:20">
      <c r="A57" s="372"/>
      <c r="B57" s="372"/>
      <c r="C57" s="372"/>
      <c r="D57" s="372"/>
      <c r="E57" s="453"/>
      <c r="F57" s="453"/>
      <c r="G57" s="453"/>
      <c r="H57" s="453"/>
      <c r="I57" s="453"/>
      <c r="J57" s="372"/>
      <c r="K57" s="372"/>
      <c r="L57" s="372"/>
      <c r="M57" s="372"/>
      <c r="N57" s="372"/>
      <c r="O57" s="372"/>
      <c r="P57" s="372"/>
      <c r="Q57" s="372"/>
      <c r="R57" s="372"/>
      <c r="S57" s="372"/>
      <c r="T57" s="372"/>
    </row>
    <row r="58" spans="1:20">
      <c r="A58" s="372"/>
      <c r="B58" s="471" t="s">
        <v>493</v>
      </c>
      <c r="C58" s="372"/>
      <c r="D58" s="372"/>
      <c r="E58" s="453"/>
      <c r="F58" s="453"/>
      <c r="G58" s="453"/>
      <c r="H58" s="453"/>
      <c r="I58" s="453"/>
      <c r="J58" s="372"/>
      <c r="K58" s="372"/>
      <c r="L58" s="372"/>
      <c r="M58" s="372"/>
      <c r="N58" s="372"/>
      <c r="O58" s="372"/>
      <c r="P58" s="372"/>
      <c r="Q58" s="372"/>
      <c r="R58" s="372"/>
      <c r="S58" s="372"/>
      <c r="T58" s="372"/>
    </row>
    <row r="59" spans="1:20">
      <c r="A59" s="372"/>
      <c r="B59" s="372"/>
      <c r="C59" s="372"/>
      <c r="D59" s="445" t="s">
        <v>254</v>
      </c>
      <c r="E59" s="441" t="str">
        <f>+표_19</f>
        <v>FCF추정!F22</v>
      </c>
      <c r="F59" s="441" t="str">
        <f>+표_19</f>
        <v>FCF추정!F22</v>
      </c>
      <c r="G59" s="441" t="str">
        <f>+표_19</f>
        <v>FCF추정!F22</v>
      </c>
      <c r="H59" s="441" t="str">
        <f>+표_19</f>
        <v>FCF추정!F22</v>
      </c>
      <c r="I59" s="441" t="str">
        <f>+표_19</f>
        <v>FCF추정!F22</v>
      </c>
      <c r="J59" s="472"/>
      <c r="K59" s="372"/>
      <c r="L59" s="372"/>
      <c r="M59" s="372"/>
      <c r="N59" s="372"/>
      <c r="O59" s="372"/>
      <c r="P59" s="372"/>
      <c r="Q59" s="454"/>
      <c r="R59" s="473"/>
      <c r="S59" s="372"/>
      <c r="T59" s="372"/>
    </row>
    <row r="60" spans="1:20">
      <c r="A60" s="372"/>
      <c r="B60" s="372"/>
      <c r="C60" s="372"/>
      <c r="D60" s="443" t="s">
        <v>272</v>
      </c>
      <c r="E60" s="475" t="e">
        <f ca="1">'보고서(일반)'!AC5</f>
        <v>#N/A</v>
      </c>
      <c r="F60" s="475" t="e">
        <f ca="1">'보고서(일반)'!AD5</f>
        <v>#N/A</v>
      </c>
      <c r="G60" s="475" t="e">
        <f ca="1">'보고서(일반)'!AE5</f>
        <v>#N/A</v>
      </c>
      <c r="H60" s="475" t="e">
        <f ca="1">'보고서(일반)'!AF5</f>
        <v>#N/A</v>
      </c>
      <c r="I60" s="475" t="e">
        <f ca="1">'보고서(일반)'!AG5</f>
        <v>#N/A</v>
      </c>
      <c r="J60" s="472"/>
      <c r="K60" s="372"/>
      <c r="L60" s="372"/>
      <c r="M60" s="372"/>
      <c r="N60" s="372"/>
      <c r="O60" s="372"/>
      <c r="P60" s="372"/>
      <c r="Q60" s="454"/>
      <c r="R60" s="473"/>
      <c r="S60" s="372"/>
      <c r="T60" s="372"/>
    </row>
    <row r="61" spans="1:20">
      <c r="A61" s="372"/>
      <c r="B61" s="372"/>
      <c r="C61" s="372"/>
      <c r="D61" s="443" t="s">
        <v>279</v>
      </c>
      <c r="E61" s="475" t="e">
        <f ca="1">'보고서(일반)'!AC6</f>
        <v>#N/A</v>
      </c>
      <c r="F61" s="475" t="e">
        <f ca="1">'보고서(일반)'!AD6</f>
        <v>#N/A</v>
      </c>
      <c r="G61" s="475" t="e">
        <f ca="1">'보고서(일반)'!AE6</f>
        <v>#N/A</v>
      </c>
      <c r="H61" s="475" t="e">
        <f ca="1">'보고서(일반)'!AF6</f>
        <v>#N/A</v>
      </c>
      <c r="I61" s="475" t="e">
        <f ca="1">'보고서(일반)'!AG6</f>
        <v>#N/A</v>
      </c>
      <c r="J61" s="474"/>
      <c r="K61" s="372"/>
      <c r="L61" s="372"/>
      <c r="M61" s="372"/>
      <c r="N61" s="372"/>
      <c r="O61" s="372"/>
      <c r="P61" s="372"/>
      <c r="Q61" s="454"/>
      <c r="R61" s="473"/>
      <c r="S61" s="372"/>
      <c r="T61" s="372"/>
    </row>
    <row r="62" spans="1:20">
      <c r="A62" s="372"/>
      <c r="B62" s="372"/>
      <c r="C62" s="372"/>
      <c r="D62" s="443" t="s">
        <v>286</v>
      </c>
      <c r="E62" s="475" t="e">
        <f ca="1">'보고서(일반)'!AC7</f>
        <v>#N/A</v>
      </c>
      <c r="F62" s="475" t="e">
        <f ca="1">'보고서(일반)'!AD7</f>
        <v>#N/A</v>
      </c>
      <c r="G62" s="475" t="e">
        <f ca="1">'보고서(일반)'!AE7</f>
        <v>#N/A</v>
      </c>
      <c r="H62" s="475" t="e">
        <f ca="1">'보고서(일반)'!AF7</f>
        <v>#N/A</v>
      </c>
      <c r="I62" s="475" t="e">
        <f ca="1">'보고서(일반)'!AG7</f>
        <v>#N/A</v>
      </c>
      <c r="J62" s="458"/>
      <c r="K62" s="458"/>
      <c r="L62" s="454"/>
      <c r="M62" s="455"/>
      <c r="N62" s="454"/>
      <c r="O62" s="454"/>
      <c r="P62" s="454"/>
      <c r="Q62" s="454"/>
      <c r="R62" s="454"/>
      <c r="S62" s="372"/>
      <c r="T62" s="372"/>
    </row>
    <row r="63" spans="1:20">
      <c r="A63" s="372"/>
      <c r="B63" s="372"/>
      <c r="C63" s="372"/>
      <c r="D63" s="443" t="s">
        <v>292</v>
      </c>
      <c r="E63" s="475" t="e">
        <f ca="1">'보고서(일반)'!AC8</f>
        <v>#N/A</v>
      </c>
      <c r="F63" s="475" t="e">
        <f ca="1">'보고서(일반)'!AD8</f>
        <v>#N/A</v>
      </c>
      <c r="G63" s="475" t="e">
        <f ca="1">'보고서(일반)'!AE8</f>
        <v>#N/A</v>
      </c>
      <c r="H63" s="475" t="e">
        <f ca="1">'보고서(일반)'!AF8</f>
        <v>#N/A</v>
      </c>
      <c r="I63" s="475" t="e">
        <f ca="1">'보고서(일반)'!AG8</f>
        <v>#N/A</v>
      </c>
      <c r="J63" s="458"/>
      <c r="K63" s="458"/>
      <c r="L63" s="454"/>
      <c r="M63" s="456"/>
      <c r="N63" s="454"/>
      <c r="O63" s="454"/>
      <c r="P63" s="454"/>
      <c r="Q63" s="454"/>
      <c r="R63" s="473"/>
      <c r="S63" s="372"/>
      <c r="T63" s="372"/>
    </row>
    <row r="64" spans="1:20">
      <c r="A64" s="372"/>
      <c r="B64" s="372"/>
      <c r="C64" s="372"/>
      <c r="D64" s="457" t="s">
        <v>298</v>
      </c>
      <c r="E64" s="476" t="e">
        <f ca="1">'보고서(일반)'!AC9</f>
        <v>#N/A</v>
      </c>
      <c r="F64" s="476" t="e">
        <f ca="1">'보고서(일반)'!AD9</f>
        <v>#N/A</v>
      </c>
      <c r="G64" s="476" t="e">
        <f ca="1">'보고서(일반)'!AE9</f>
        <v>#N/A</v>
      </c>
      <c r="H64" s="476" t="e">
        <f ca="1">'보고서(일반)'!AF9</f>
        <v>#N/A</v>
      </c>
      <c r="I64" s="476" t="e">
        <f ca="1">'보고서(일반)'!AG9</f>
        <v>#N/A</v>
      </c>
      <c r="J64" s="372"/>
      <c r="K64" s="458" t="s">
        <v>494</v>
      </c>
      <c r="L64" s="454"/>
      <c r="M64" s="454"/>
      <c r="N64" s="454"/>
      <c r="O64" s="454"/>
      <c r="P64" s="454"/>
      <c r="Q64" s="454"/>
      <c r="R64" s="454"/>
      <c r="S64" s="372"/>
      <c r="T64" s="372"/>
    </row>
    <row r="65" spans="1:20">
      <c r="A65" s="372"/>
      <c r="B65" s="372"/>
      <c r="C65" s="372"/>
      <c r="D65" s="457" t="s">
        <v>305</v>
      </c>
      <c r="E65" s="476" t="e">
        <f ca="1">'보고서(일반)'!AC10</f>
        <v>#N/A</v>
      </c>
      <c r="F65" s="476" t="e">
        <f ca="1">'보고서(일반)'!AD10</f>
        <v>#N/A</v>
      </c>
      <c r="G65" s="476" t="e">
        <f ca="1">'보고서(일반)'!AE10</f>
        <v>#N/A</v>
      </c>
      <c r="H65" s="476" t="e">
        <f ca="1">'보고서(일반)'!AF10</f>
        <v>#N/A</v>
      </c>
      <c r="I65" s="476" t="e">
        <f ca="1">'보고서(일반)'!AG10</f>
        <v>#N/A</v>
      </c>
      <c r="J65" s="372"/>
      <c r="K65" s="458" t="s">
        <v>472</v>
      </c>
      <c r="L65" s="454"/>
      <c r="M65" s="454"/>
      <c r="N65" s="454"/>
      <c r="O65" s="454"/>
      <c r="P65" s="454"/>
      <c r="Q65" s="454"/>
      <c r="R65" s="454"/>
      <c r="S65" s="372"/>
      <c r="T65" s="372"/>
    </row>
    <row r="66" spans="1:20">
      <c r="A66" s="372"/>
      <c r="B66" s="372"/>
      <c r="C66" s="372"/>
      <c r="D66" s="457" t="s">
        <v>307</v>
      </c>
      <c r="E66" s="476" t="e">
        <f ca="1">'보고서(일반)'!AC11</f>
        <v>#N/A</v>
      </c>
      <c r="F66" s="476" t="e">
        <f ca="1">'보고서(일반)'!AD11</f>
        <v>#N/A</v>
      </c>
      <c r="G66" s="476" t="e">
        <f ca="1">'보고서(일반)'!AE11</f>
        <v>#N/A</v>
      </c>
      <c r="H66" s="476" t="e">
        <f ca="1">'보고서(일반)'!AF11</f>
        <v>#N/A</v>
      </c>
      <c r="I66" s="476" t="e">
        <f ca="1">'보고서(일반)'!AG11</f>
        <v>#N/A</v>
      </c>
      <c r="J66" s="372"/>
      <c r="K66" s="458" t="s">
        <v>495</v>
      </c>
      <c r="L66" s="454"/>
      <c r="M66" s="454"/>
      <c r="N66" s="454"/>
      <c r="O66" s="454"/>
      <c r="P66" s="454"/>
      <c r="Q66" s="454"/>
      <c r="R66" s="454"/>
      <c r="S66" s="372"/>
      <c r="T66" s="372"/>
    </row>
    <row r="67" spans="1:20">
      <c r="A67" s="372"/>
      <c r="B67" s="372"/>
      <c r="C67" s="372"/>
      <c r="D67" s="457" t="s">
        <v>310</v>
      </c>
      <c r="E67" s="476" t="e">
        <f ca="1">'보고서(일반)'!AC12</f>
        <v>#N/A</v>
      </c>
      <c r="F67" s="476" t="e">
        <f ca="1">'보고서(일반)'!AD12</f>
        <v>#N/A</v>
      </c>
      <c r="G67" s="476" t="e">
        <f ca="1">'보고서(일반)'!AE12</f>
        <v>#N/A</v>
      </c>
      <c r="H67" s="476" t="e">
        <f ca="1">'보고서(일반)'!AF12</f>
        <v>#N/A</v>
      </c>
      <c r="I67" s="476" t="e">
        <f ca="1">'보고서(일반)'!AG12</f>
        <v>#N/A</v>
      </c>
      <c r="J67" s="372"/>
      <c r="K67" s="458" t="s">
        <v>496</v>
      </c>
      <c r="L67" s="454"/>
      <c r="M67" s="454"/>
      <c r="N67" s="454"/>
      <c r="O67" s="454"/>
      <c r="P67" s="454"/>
      <c r="Q67" s="454"/>
      <c r="R67" s="454"/>
      <c r="S67" s="372"/>
      <c r="T67" s="372"/>
    </row>
    <row r="68" spans="1:20">
      <c r="A68" s="372"/>
      <c r="B68" s="372"/>
      <c r="C68" s="372"/>
      <c r="D68" s="459" t="s">
        <v>313</v>
      </c>
      <c r="E68" s="476" t="e">
        <f ca="1">'보고서(일반)'!AC13</f>
        <v>#N/A</v>
      </c>
      <c r="F68" s="476" t="e">
        <f ca="1">'보고서(일반)'!AD13</f>
        <v>#N/A</v>
      </c>
      <c r="G68" s="476" t="e">
        <f ca="1">'보고서(일반)'!AE13</f>
        <v>#N/A</v>
      </c>
      <c r="H68" s="476" t="e">
        <f ca="1">'보고서(일반)'!AF13</f>
        <v>#N/A</v>
      </c>
      <c r="I68" s="476" t="e">
        <f ca="1">'보고서(일반)'!AG13</f>
        <v>#N/A</v>
      </c>
      <c r="J68" s="372"/>
      <c r="K68" s="458" t="s">
        <v>497</v>
      </c>
      <c r="L68" s="454"/>
      <c r="M68" s="454"/>
      <c r="N68" s="454"/>
      <c r="O68" s="454"/>
      <c r="P68" s="454"/>
      <c r="Q68" s="454"/>
      <c r="R68" s="454"/>
      <c r="S68" s="372"/>
      <c r="T68" s="372"/>
    </row>
    <row r="69" spans="1:20">
      <c r="A69" s="372"/>
      <c r="B69" s="372"/>
      <c r="C69" s="372"/>
      <c r="D69" s="459" t="s">
        <v>314</v>
      </c>
      <c r="E69" s="476" t="e">
        <f ca="1">'보고서(일반)'!AC14</f>
        <v>#N/A</v>
      </c>
      <c r="F69" s="476" t="e">
        <f ca="1">'보고서(일반)'!AD14</f>
        <v>#N/A</v>
      </c>
      <c r="G69" s="476" t="e">
        <f ca="1">'보고서(일반)'!AE14</f>
        <v>#N/A</v>
      </c>
      <c r="H69" s="476" t="e">
        <f ca="1">'보고서(일반)'!AF14</f>
        <v>#N/A</v>
      </c>
      <c r="I69" s="476" t="e">
        <f ca="1">'보고서(일반)'!AG14</f>
        <v>#N/A</v>
      </c>
      <c r="J69" s="372"/>
      <c r="K69" s="458" t="s">
        <v>498</v>
      </c>
      <c r="L69" s="454"/>
      <c r="M69" s="454"/>
      <c r="N69" s="454"/>
      <c r="O69" s="454"/>
      <c r="P69" s="454"/>
      <c r="Q69" s="454"/>
      <c r="R69" s="454"/>
      <c r="S69" s="372"/>
      <c r="T69" s="372"/>
    </row>
    <row r="70" spans="1:20">
      <c r="A70" s="372"/>
      <c r="B70" s="372"/>
      <c r="C70" s="372"/>
      <c r="D70" s="460" t="s">
        <v>316</v>
      </c>
      <c r="E70" s="476" t="e">
        <f ca="1">'보고서(일반)'!AC15</f>
        <v>#N/A</v>
      </c>
      <c r="F70" s="476" t="e">
        <f ca="1">'보고서(일반)'!AD15</f>
        <v>#N/A</v>
      </c>
      <c r="G70" s="476" t="e">
        <f ca="1">'보고서(일반)'!AE15</f>
        <v>#N/A</v>
      </c>
      <c r="H70" s="476" t="e">
        <f ca="1">'보고서(일반)'!AF15</f>
        <v>#N/A</v>
      </c>
      <c r="I70" s="476" t="e">
        <f ca="1">'보고서(일반)'!AG15</f>
        <v>#N/A</v>
      </c>
      <c r="J70" s="372"/>
      <c r="K70" s="454"/>
      <c r="L70" s="454"/>
      <c r="M70" s="454"/>
      <c r="N70" s="454"/>
      <c r="O70" s="454"/>
      <c r="P70" s="454"/>
      <c r="Q70" s="454"/>
      <c r="R70" s="454"/>
      <c r="S70" s="372"/>
      <c r="T70" s="372"/>
    </row>
    <row r="71" spans="1:20">
      <c r="A71" s="372"/>
      <c r="B71" s="372"/>
      <c r="C71" s="372"/>
      <c r="D71" s="460" t="s">
        <v>319</v>
      </c>
      <c r="E71" s="476" t="e">
        <f ca="1">'보고서(일반)'!AC16</f>
        <v>#N/A</v>
      </c>
      <c r="F71" s="476" t="e">
        <f ca="1">'보고서(일반)'!AD16</f>
        <v>#N/A</v>
      </c>
      <c r="G71" s="476" t="e">
        <f ca="1">'보고서(일반)'!AE16</f>
        <v>#N/A</v>
      </c>
      <c r="H71" s="476" t="e">
        <f ca="1">'보고서(일반)'!AF16</f>
        <v>#N/A</v>
      </c>
      <c r="I71" s="476" t="e">
        <f ca="1">'보고서(일반)'!AG16</f>
        <v>#N/A</v>
      </c>
      <c r="J71" s="454"/>
      <c r="K71" s="454"/>
      <c r="L71" s="454"/>
      <c r="M71" s="454"/>
      <c r="N71" s="454"/>
      <c r="O71" s="454"/>
      <c r="P71" s="454"/>
      <c r="Q71" s="454"/>
      <c r="R71" s="454"/>
      <c r="S71" s="372"/>
      <c r="T71" s="372"/>
    </row>
    <row r="72" spans="1:20">
      <c r="A72" s="372"/>
      <c r="B72" s="372"/>
      <c r="C72" s="372"/>
      <c r="D72" s="460" t="s">
        <v>322</v>
      </c>
      <c r="E72" s="476" t="e">
        <f ca="1">'보고서(일반)'!AC17</f>
        <v>#N/A</v>
      </c>
      <c r="F72" s="476" t="e">
        <f ca="1">'보고서(일반)'!AD17</f>
        <v>#N/A</v>
      </c>
      <c r="G72" s="476" t="e">
        <f ca="1">'보고서(일반)'!AE17</f>
        <v>#N/A</v>
      </c>
      <c r="H72" s="476" t="e">
        <f ca="1">'보고서(일반)'!AF17</f>
        <v>#N/A</v>
      </c>
      <c r="I72" s="476" t="e">
        <f ca="1">'보고서(일반)'!AG17</f>
        <v>#N/A</v>
      </c>
      <c r="J72" s="454"/>
      <c r="K72" s="454"/>
      <c r="L72" s="454"/>
      <c r="M72" s="454"/>
      <c r="N72" s="454"/>
      <c r="O72" s="454"/>
      <c r="P72" s="454"/>
      <c r="Q72" s="454"/>
      <c r="R72" s="454"/>
      <c r="S72" s="372"/>
      <c r="T72" s="372"/>
    </row>
    <row r="73" spans="1:20">
      <c r="A73" s="372"/>
      <c r="B73" s="372"/>
      <c r="C73" s="372"/>
      <c r="D73" s="460" t="s">
        <v>473</v>
      </c>
      <c r="E73" s="476" t="e">
        <f ca="1">'보고서(일반)'!AC18</f>
        <v>#N/A</v>
      </c>
      <c r="F73" s="476" t="e">
        <f ca="1">'보고서(일반)'!AD18</f>
        <v>#N/A</v>
      </c>
      <c r="G73" s="476" t="e">
        <f ca="1">'보고서(일반)'!AE18</f>
        <v>#N/A</v>
      </c>
      <c r="H73" s="476" t="e">
        <f ca="1">'보고서(일반)'!AF18</f>
        <v>#N/A</v>
      </c>
      <c r="I73" s="476" t="e">
        <f ca="1">'보고서(일반)'!AG18</f>
        <v>#N/A</v>
      </c>
      <c r="J73" s="454"/>
      <c r="K73" s="454"/>
      <c r="L73" s="454"/>
      <c r="M73" s="454"/>
      <c r="N73" s="454"/>
      <c r="O73" s="454"/>
      <c r="P73" s="454"/>
      <c r="Q73" s="454"/>
      <c r="R73" s="454"/>
      <c r="S73" s="372"/>
      <c r="T73" s="372"/>
    </row>
    <row r="74" spans="1:20">
      <c r="A74" s="372"/>
      <c r="B74" s="372"/>
      <c r="C74" s="372"/>
      <c r="D74" s="459" t="s">
        <v>328</v>
      </c>
      <c r="E74" s="476" t="e">
        <f ca="1">'보고서(일반)'!AC19</f>
        <v>#N/A</v>
      </c>
      <c r="F74" s="476" t="e">
        <f ca="1">'보고서(일반)'!AD19</f>
        <v>#N/A</v>
      </c>
      <c r="G74" s="476" t="e">
        <f ca="1">'보고서(일반)'!AE19</f>
        <v>#N/A</v>
      </c>
      <c r="H74" s="476" t="e">
        <f ca="1">'보고서(일반)'!AF19</f>
        <v>#N/A</v>
      </c>
      <c r="I74" s="476" t="e">
        <f ca="1">'보고서(일반)'!AG19</f>
        <v>#N/A</v>
      </c>
      <c r="J74" s="372"/>
      <c r="K74" s="454" t="s">
        <v>474</v>
      </c>
      <c r="L74" s="454"/>
      <c r="M74" s="454"/>
      <c r="N74" s="454"/>
      <c r="O74" s="454"/>
      <c r="P74" s="454"/>
      <c r="Q74" s="454"/>
      <c r="R74" s="454"/>
      <c r="S74" s="372"/>
      <c r="T74" s="372"/>
    </row>
    <row r="75" spans="1:20">
      <c r="A75" s="372"/>
      <c r="B75" s="372"/>
      <c r="C75" s="372"/>
      <c r="D75" s="459" t="s">
        <v>332</v>
      </c>
      <c r="E75" s="476" t="str">
        <f>'보고서(일반)'!AC20</f>
        <v>FCF추정!F19</v>
      </c>
      <c r="F75" s="476" t="str">
        <f>'보고서(일반)'!AD20</f>
        <v>FCF추정!G19</v>
      </c>
      <c r="G75" s="476" t="str">
        <f>'보고서(일반)'!AE20</f>
        <v>FCF추정!H19</v>
      </c>
      <c r="H75" s="476" t="str">
        <f>'보고서(일반)'!AF20</f>
        <v>FCF추정!I19</v>
      </c>
      <c r="I75" s="476" t="str">
        <f>'보고서(일반)'!AG20</f>
        <v>FCF추정!J19</v>
      </c>
      <c r="J75" s="372"/>
      <c r="K75" s="454" t="s">
        <v>505</v>
      </c>
      <c r="L75" s="454"/>
      <c r="M75" s="454"/>
      <c r="N75" s="454"/>
      <c r="O75" s="454"/>
      <c r="P75" s="454"/>
      <c r="Q75" s="454"/>
      <c r="R75" s="454"/>
      <c r="S75" s="372"/>
      <c r="T75" s="372"/>
    </row>
    <row r="76" spans="1:20">
      <c r="A76" s="372"/>
      <c r="B76" s="372"/>
      <c r="C76" s="372"/>
      <c r="D76" s="459" t="s">
        <v>340</v>
      </c>
      <c r="E76" s="475" t="e">
        <f ca="1">'보고서(일반)'!AC21</f>
        <v>#N/A</v>
      </c>
      <c r="F76" s="475" t="e">
        <f ca="1">'보고서(일반)'!AD21</f>
        <v>#N/A</v>
      </c>
      <c r="G76" s="475" t="e">
        <f ca="1">'보고서(일반)'!AE21</f>
        <v>#N/A</v>
      </c>
      <c r="H76" s="475" t="e">
        <f ca="1">'보고서(일반)'!AF21</f>
        <v>#N/A</v>
      </c>
      <c r="I76" s="475" t="e">
        <f ca="1">'보고서(일반)'!AG21</f>
        <v>#N/A</v>
      </c>
      <c r="J76" s="372"/>
      <c r="K76" s="462" t="s">
        <v>506</v>
      </c>
      <c r="L76" s="454"/>
      <c r="M76" s="454"/>
      <c r="N76" s="454"/>
      <c r="O76" s="454"/>
      <c r="P76" s="454"/>
      <c r="Q76" s="454"/>
      <c r="R76" s="454"/>
      <c r="S76" s="372"/>
      <c r="T76" s="372"/>
    </row>
    <row r="77" spans="1:20">
      <c r="A77" s="372"/>
      <c r="B77" s="372"/>
      <c r="C77" s="372"/>
      <c r="D77" s="460" t="s">
        <v>346</v>
      </c>
      <c r="E77" s="476" t="e">
        <f ca="1">'보고서(일반)'!AC22</f>
        <v>#N/A</v>
      </c>
      <c r="F77" s="476" t="e">
        <f ca="1">'보고서(일반)'!AD22</f>
        <v>#N/A</v>
      </c>
      <c r="G77" s="476" t="e">
        <f ca="1">'보고서(일반)'!AE22</f>
        <v>#N/A</v>
      </c>
      <c r="H77" s="476" t="e">
        <f ca="1">'보고서(일반)'!AF22</f>
        <v>#N/A</v>
      </c>
      <c r="I77" s="476" t="e">
        <f ca="1">'보고서(일반)'!AG22</f>
        <v>#N/A</v>
      </c>
      <c r="J77" s="372"/>
      <c r="K77" s="462" t="s">
        <v>504</v>
      </c>
      <c r="L77" s="454"/>
      <c r="M77" s="454"/>
      <c r="N77" s="454"/>
      <c r="O77" s="454"/>
      <c r="P77" s="454"/>
      <c r="Q77" s="454"/>
      <c r="R77" s="454"/>
      <c r="S77" s="372"/>
      <c r="T77" s="372"/>
    </row>
    <row r="78" spans="1:20">
      <c r="A78" s="372"/>
      <c r="B78" s="372"/>
      <c r="C78" s="372"/>
      <c r="D78" s="459" t="s">
        <v>350</v>
      </c>
      <c r="E78" s="477">
        <f ca="1">'보고서(일반)'!AC23</f>
        <v>2.3916876559316354E-2</v>
      </c>
      <c r="F78" s="477">
        <f ca="1">'보고서(일반)'!AD23</f>
        <v>2.3916876559316354E-2</v>
      </c>
      <c r="G78" s="477">
        <f ca="1">'보고서(일반)'!AE23</f>
        <v>2.3916876559316354E-2</v>
      </c>
      <c r="H78" s="477">
        <f ca="1">'보고서(일반)'!AF23</f>
        <v>2.3916876559316354E-2</v>
      </c>
      <c r="I78" s="477">
        <f ca="1">'보고서(일반)'!AG23</f>
        <v>2.3916876559316354E-2</v>
      </c>
      <c r="J78" s="372"/>
      <c r="K78" s="462" t="s">
        <v>503</v>
      </c>
      <c r="L78" s="372"/>
      <c r="M78" s="454"/>
      <c r="N78" s="454"/>
      <c r="O78" s="454"/>
      <c r="P78" s="454"/>
      <c r="Q78" s="454"/>
      <c r="R78" s="454"/>
      <c r="S78" s="372"/>
      <c r="T78" s="372"/>
    </row>
    <row r="79" spans="1:20">
      <c r="A79" s="372"/>
      <c r="B79" s="372"/>
      <c r="C79" s="372"/>
      <c r="D79" s="459" t="s">
        <v>353</v>
      </c>
      <c r="E79" s="478" t="str">
        <f>'보고서(일반)'!AC24</f>
        <v>FCF추정!F24</v>
      </c>
      <c r="F79" s="478" t="str">
        <f>'보고서(일반)'!AD24</f>
        <v>FCF추정!G24</v>
      </c>
      <c r="G79" s="478" t="str">
        <f>'보고서(일반)'!AE24</f>
        <v>FCF추정!H24</v>
      </c>
      <c r="H79" s="478" t="str">
        <f>'보고서(일반)'!AF24</f>
        <v>FCF추정!I24</v>
      </c>
      <c r="I79" s="478" t="str">
        <f>'보고서(일반)'!AG24</f>
        <v>FCF추정!J24</v>
      </c>
      <c r="J79" s="372"/>
      <c r="K79" s="454" t="s">
        <v>499</v>
      </c>
      <c r="L79" s="454"/>
      <c r="M79" s="454"/>
      <c r="N79" s="454"/>
      <c r="O79" s="454"/>
      <c r="P79" s="454"/>
      <c r="Q79" s="454"/>
      <c r="R79" s="454"/>
      <c r="S79" s="372"/>
      <c r="T79" s="372"/>
    </row>
    <row r="80" spans="1:20">
      <c r="A80" s="372"/>
      <c r="B80" s="372"/>
      <c r="C80" s="372"/>
      <c r="D80" s="457" t="s">
        <v>252</v>
      </c>
      <c r="E80" s="478" t="str">
        <f>'보고서(일반)'!AC25</f>
        <v>FCF추정!F5</v>
      </c>
      <c r="F80" s="478" t="str">
        <f>'보고서(일반)'!AD25</f>
        <v>FCF추정!G5</v>
      </c>
      <c r="G80" s="478" t="str">
        <f>'보고서(일반)'!AE25</f>
        <v>FCF추정!H5</v>
      </c>
      <c r="H80" s="478" t="str">
        <f>'보고서(일반)'!AF25</f>
        <v>FCF추정!I5</v>
      </c>
      <c r="I80" s="478" t="str">
        <f>'보고서(일반)'!AG25</f>
        <v>FCF추정!J5</v>
      </c>
      <c r="J80" s="454"/>
      <c r="K80" s="454"/>
      <c r="L80" s="454"/>
      <c r="M80" s="454"/>
      <c r="N80" s="454"/>
      <c r="O80" s="454"/>
      <c r="P80" s="454"/>
      <c r="Q80" s="454"/>
      <c r="R80" s="454"/>
      <c r="S80" s="372"/>
      <c r="T80" s="372"/>
    </row>
    <row r="81" spans="1:20">
      <c r="A81" s="372"/>
      <c r="B81" s="372"/>
      <c r="C81" s="372"/>
      <c r="D81" s="457" t="s">
        <v>475</v>
      </c>
      <c r="E81" s="478" t="str">
        <f>'보고서(일반)'!AC27</f>
        <v>FCF추정!F23</v>
      </c>
      <c r="F81" s="478" t="str">
        <f>'보고서(일반)'!AD27</f>
        <v>FCF추정!G23</v>
      </c>
      <c r="G81" s="478" t="str">
        <f>'보고서(일반)'!AE27</f>
        <v>FCF추정!H23</v>
      </c>
      <c r="H81" s="478" t="str">
        <f>'보고서(일반)'!AF27</f>
        <v>FCF추정!I23</v>
      </c>
      <c r="I81" s="478" t="str">
        <f>'보고서(일반)'!AG27</f>
        <v>FCF추정!J23</v>
      </c>
      <c r="J81" s="454"/>
      <c r="K81" s="454"/>
      <c r="L81" s="454"/>
      <c r="M81" s="454"/>
      <c r="N81" s="454"/>
      <c r="O81" s="454"/>
      <c r="P81" s="454"/>
      <c r="Q81" s="454"/>
      <c r="R81" s="454"/>
      <c r="S81" s="372"/>
      <c r="T81" s="372"/>
    </row>
    <row r="82" spans="1:20">
      <c r="A82" s="372"/>
      <c r="B82" s="372"/>
      <c r="C82" s="372"/>
      <c r="D82" s="457" t="s">
        <v>372</v>
      </c>
      <c r="E82" s="475" t="e">
        <f ca="1">'보고서(일반)'!AC28</f>
        <v>#N/A</v>
      </c>
      <c r="F82" s="475" t="e">
        <f ca="1">'보고서(일반)'!AD28</f>
        <v>#N/A</v>
      </c>
      <c r="G82" s="475" t="e">
        <f ca="1">'보고서(일반)'!AE28</f>
        <v>#N/A</v>
      </c>
      <c r="H82" s="475" t="e">
        <f ca="1">'보고서(일반)'!AF28</f>
        <v>#N/A</v>
      </c>
      <c r="I82" s="475" t="e">
        <f ca="1">'보고서(일반)'!AG28</f>
        <v>#N/A</v>
      </c>
      <c r="J82" s="454"/>
      <c r="K82" s="454"/>
      <c r="L82" s="454"/>
      <c r="M82" s="454"/>
      <c r="N82" s="454"/>
      <c r="O82" s="454"/>
      <c r="P82" s="454"/>
      <c r="Q82" s="454"/>
      <c r="R82" s="454"/>
      <c r="S82" s="372"/>
      <c r="T82" s="372"/>
    </row>
    <row r="83" spans="1:20">
      <c r="A83" s="372"/>
      <c r="B83" s="372"/>
      <c r="C83" s="372"/>
      <c r="D83" s="372"/>
      <c r="E83" s="372"/>
      <c r="F83" s="372"/>
      <c r="G83" s="372"/>
      <c r="H83" s="372"/>
      <c r="I83" s="372"/>
      <c r="J83" s="454"/>
      <c r="K83" s="454"/>
      <c r="L83" s="454"/>
      <c r="M83" s="454"/>
      <c r="N83" s="454"/>
      <c r="O83" s="454"/>
      <c r="P83" s="454"/>
      <c r="Q83" s="454"/>
      <c r="R83" s="454"/>
      <c r="S83" s="372"/>
      <c r="T83" s="372"/>
    </row>
    <row r="84" spans="1:20">
      <c r="A84" s="372"/>
      <c r="B84" s="471" t="s">
        <v>500</v>
      </c>
      <c r="C84" s="372"/>
      <c r="D84" s="372"/>
      <c r="E84" s="372"/>
      <c r="F84" s="372"/>
      <c r="G84" s="372"/>
      <c r="H84" s="372"/>
      <c r="I84" s="372"/>
      <c r="J84" s="454"/>
      <c r="K84" s="454"/>
      <c r="L84" s="454"/>
      <c r="M84" s="454"/>
      <c r="N84" s="454"/>
      <c r="O84" s="454"/>
      <c r="P84" s="454"/>
      <c r="Q84" s="454"/>
      <c r="R84" s="454"/>
      <c r="S84" s="372"/>
      <c r="T84" s="372"/>
    </row>
    <row r="85" spans="1:20">
      <c r="A85" s="372"/>
      <c r="B85" s="372"/>
      <c r="C85" s="372"/>
      <c r="D85" s="443" t="s">
        <v>476</v>
      </c>
      <c r="E85" s="475" t="e">
        <f ca="1">'보고서(일반)'!AC30</f>
        <v>#N/A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372"/>
      <c r="T85" s="372"/>
    </row>
    <row r="86" spans="1:20">
      <c r="A86" s="372"/>
      <c r="B86" s="372"/>
      <c r="C86" s="372"/>
      <c r="D86" s="461" t="s">
        <v>477</v>
      </c>
      <c r="E86" s="475" t="str">
        <f>'보고서(일반)'!AC31</f>
        <v>FCF추정!K21</v>
      </c>
      <c r="F86" s="462" t="str">
        <f>"회사는 평가대상회사가 속한 산업의 특성과 IMF에서 추정한 한국의 GDP성장률 및 소비자물가상승률 등을 고려하여 영구성장률을 "&amp;영구g&amp;"%로 가정하였습니다."</f>
        <v>회사는 평가대상회사가 속한 산업의 특성과 IMF에서 추정한 한국의 GDP성장률 및 소비자물가상승률 등을 고려하여 영구성장률을 0%로 가정하였습니다.</v>
      </c>
      <c r="G86" s="372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372"/>
      <c r="T86" s="372"/>
    </row>
    <row r="87" spans="1:20">
      <c r="A87" s="372"/>
      <c r="B87" s="372"/>
      <c r="C87" s="372"/>
      <c r="D87" s="461" t="s">
        <v>478</v>
      </c>
      <c r="E87" s="475" t="e">
        <f ca="1">'보고서(일반)'!AC32</f>
        <v>#VALUE!</v>
      </c>
      <c r="F87" s="462"/>
      <c r="G87" s="372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372"/>
      <c r="T87" s="372"/>
    </row>
    <row r="88" spans="1:20">
      <c r="A88" s="372"/>
      <c r="B88" s="372"/>
      <c r="C88" s="372"/>
      <c r="D88" s="443" t="s">
        <v>391</v>
      </c>
      <c r="E88" s="475" t="str">
        <f>'보고서(일반)'!AC33</f>
        <v>FCF추정!E54</v>
      </c>
      <c r="F88" s="462" t="s">
        <v>501</v>
      </c>
      <c r="G88" s="372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372"/>
      <c r="T88" s="372"/>
    </row>
    <row r="89" spans="1:20">
      <c r="A89" s="372"/>
      <c r="B89" s="372"/>
      <c r="C89" s="372"/>
      <c r="D89" s="443" t="s">
        <v>392</v>
      </c>
      <c r="E89" s="475" t="e">
        <f ca="1">'보고서(일반)'!AC34</f>
        <v>#VALUE!</v>
      </c>
      <c r="F89" s="462"/>
      <c r="G89" s="372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372"/>
      <c r="T89" s="372"/>
    </row>
    <row r="90" spans="1:20">
      <c r="A90" s="372"/>
      <c r="B90" s="372"/>
      <c r="C90" s="372"/>
      <c r="D90" s="443" t="s">
        <v>394</v>
      </c>
      <c r="E90" s="475" t="str">
        <f>'보고서(일반)'!AC35</f>
        <v>FCF추정!E56</v>
      </c>
      <c r="F90" s="462" t="s">
        <v>502</v>
      </c>
      <c r="G90" s="372"/>
      <c r="H90" s="463"/>
      <c r="I90" s="464"/>
      <c r="J90" s="454"/>
      <c r="K90" s="454"/>
      <c r="L90" s="454"/>
      <c r="M90" s="454"/>
      <c r="N90" s="454"/>
      <c r="O90" s="454"/>
      <c r="P90" s="454"/>
      <c r="Q90" s="454"/>
      <c r="R90" s="454"/>
      <c r="S90" s="372"/>
      <c r="T90" s="372"/>
    </row>
    <row r="91" spans="1:20">
      <c r="A91" s="372"/>
      <c r="B91" s="372"/>
      <c r="C91" s="372"/>
      <c r="D91" s="443" t="s">
        <v>396</v>
      </c>
      <c r="E91" s="475" t="str">
        <f>'보고서(일반)'!AC36</f>
        <v>FCF추정!E57</v>
      </c>
      <c r="G91" s="372"/>
      <c r="H91" s="463"/>
      <c r="I91" s="464"/>
      <c r="J91" s="454"/>
      <c r="K91" s="454"/>
      <c r="L91" s="454"/>
      <c r="M91" s="454"/>
      <c r="N91" s="454"/>
      <c r="O91" s="454"/>
      <c r="P91" s="454"/>
      <c r="Q91" s="454"/>
      <c r="R91" s="454"/>
      <c r="S91" s="372"/>
      <c r="T91" s="372"/>
    </row>
    <row r="92" spans="1:20">
      <c r="A92" s="372"/>
      <c r="B92" s="372"/>
      <c r="C92" s="372"/>
      <c r="D92" s="443" t="s">
        <v>398</v>
      </c>
      <c r="E92" s="475" t="e">
        <f ca="1">'보고서(일반)'!AC37</f>
        <v>#VALUE!</v>
      </c>
      <c r="G92" s="466"/>
      <c r="H92" s="467"/>
      <c r="I92" s="468"/>
      <c r="J92" s="454"/>
      <c r="K92" s="454"/>
      <c r="L92" s="454"/>
      <c r="M92" s="454"/>
      <c r="N92" s="454"/>
      <c r="O92" s="454"/>
      <c r="P92" s="454"/>
      <c r="Q92" s="454"/>
      <c r="R92" s="454"/>
      <c r="S92" s="372"/>
      <c r="T92" s="372"/>
    </row>
    <row r="93" spans="1:20">
      <c r="A93" s="372"/>
      <c r="B93" s="372"/>
      <c r="C93" s="372"/>
      <c r="D93" s="443" t="s">
        <v>718</v>
      </c>
      <c r="E93" s="475" t="str">
        <f>'보고서(일반)'!AC38</f>
        <v>FCF추정!E59</v>
      </c>
      <c r="F93" s="465"/>
      <c r="G93" s="465"/>
      <c r="H93" s="465"/>
      <c r="I93" s="465"/>
      <c r="J93" s="454"/>
      <c r="K93" s="454"/>
      <c r="L93" s="454"/>
      <c r="M93" s="454"/>
      <c r="N93" s="454"/>
      <c r="O93" s="454"/>
      <c r="P93" s="454"/>
      <c r="Q93" s="454"/>
      <c r="R93" s="454"/>
      <c r="S93" s="372"/>
      <c r="T93" s="372"/>
    </row>
    <row r="94" spans="1:20">
      <c r="A94" s="372"/>
      <c r="B94" s="372"/>
      <c r="C94" s="372"/>
      <c r="D94" s="443" t="s">
        <v>402</v>
      </c>
      <c r="E94" s="475" t="str">
        <f>'보고서(일반)'!AC39</f>
        <v>FCF추정!E60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372"/>
      <c r="T94" s="372"/>
    </row>
    <row r="95" spans="1:20">
      <c r="B95" s="203"/>
      <c r="C95" s="203"/>
      <c r="D95" s="444"/>
      <c r="E95" s="444"/>
      <c r="F95" s="444"/>
      <c r="G95" s="444"/>
      <c r="H95" s="444"/>
      <c r="I95" s="444"/>
      <c r="J95" s="444"/>
      <c r="K95" s="444"/>
      <c r="L95" s="444"/>
      <c r="M95" s="444"/>
      <c r="N95" s="444"/>
      <c r="O95" s="444"/>
      <c r="P95" s="444"/>
      <c r="Q95" s="444"/>
      <c r="R95" s="444"/>
    </row>
    <row r="96" spans="1:20">
      <c r="B96" s="203"/>
      <c r="C96" s="203"/>
      <c r="D96" s="203"/>
      <c r="E96" s="203"/>
      <c r="F96" s="444"/>
      <c r="G96" s="444"/>
      <c r="H96" s="444"/>
      <c r="I96" s="444"/>
      <c r="J96" s="444"/>
      <c r="K96" s="444"/>
      <c r="L96" s="444"/>
      <c r="M96" s="444"/>
      <c r="N96" s="444"/>
      <c r="O96" s="444"/>
      <c r="P96" s="444"/>
      <c r="Q96" s="444"/>
      <c r="R96" s="444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72"/>
  <sheetViews>
    <sheetView showGridLines="0" topLeftCell="D43" zoomScale="85" zoomScaleNormal="85" workbookViewId="0">
      <selection activeCell="E72" sqref="E72"/>
    </sheetView>
  </sheetViews>
  <sheetFormatPr defaultRowHeight="16.5"/>
  <cols>
    <col min="1" max="2" width="9" hidden="1" customWidth="1"/>
    <col min="3" max="3" width="18.625" hidden="1" customWidth="1"/>
    <col min="4" max="4" width="20.625" customWidth="1"/>
    <col min="5" max="6" width="19.375" bestFit="1" customWidth="1"/>
  </cols>
  <sheetData>
    <row r="1" spans="1:6">
      <c r="A1" s="564"/>
      <c r="B1" s="564"/>
      <c r="C1" s="565"/>
      <c r="D1" s="564" t="s">
        <v>626</v>
      </c>
      <c r="E1" s="564" t="s">
        <v>627</v>
      </c>
      <c r="F1" s="564" t="s">
        <v>628</v>
      </c>
    </row>
    <row r="2" spans="1:6">
      <c r="A2" s="564"/>
      <c r="B2" s="564"/>
      <c r="C2" s="566"/>
      <c r="D2" s="203" t="s">
        <v>629</v>
      </c>
      <c r="E2" s="203">
        <f t="shared" ref="E2:E17" ca="1" si="0">INDIRECT(F2)</f>
        <v>36</v>
      </c>
      <c r="F2" s="203" t="s">
        <v>630</v>
      </c>
    </row>
    <row r="3" spans="1:6">
      <c r="A3" s="564"/>
      <c r="B3" s="564"/>
      <c r="C3" s="566"/>
      <c r="D3" s="203" t="s">
        <v>631</v>
      </c>
      <c r="E3" s="203">
        <f t="shared" ca="1" si="0"/>
        <v>4</v>
      </c>
      <c r="F3" s="203" t="s">
        <v>632</v>
      </c>
    </row>
    <row r="4" spans="1:6">
      <c r="A4" s="564"/>
      <c r="B4" s="564"/>
      <c r="C4" s="566"/>
      <c r="D4" s="203" t="s">
        <v>633</v>
      </c>
      <c r="E4" s="203">
        <f t="shared" ca="1" si="0"/>
        <v>68</v>
      </c>
      <c r="F4" s="203" t="s">
        <v>634</v>
      </c>
    </row>
    <row r="5" spans="1:6">
      <c r="A5" s="564" t="s">
        <v>14</v>
      </c>
      <c r="B5" s="564"/>
      <c r="C5" s="566" t="s">
        <v>17470</v>
      </c>
      <c r="D5" s="203" t="s">
        <v>17471</v>
      </c>
      <c r="E5" s="203">
        <f t="shared" ca="1" si="0"/>
        <v>5</v>
      </c>
      <c r="F5" s="203" t="s">
        <v>635</v>
      </c>
    </row>
    <row r="6" spans="1:6">
      <c r="A6" s="564" t="s">
        <v>14</v>
      </c>
      <c r="B6" s="564"/>
      <c r="C6" s="566" t="s">
        <v>17472</v>
      </c>
      <c r="D6" s="203" t="s">
        <v>17473</v>
      </c>
      <c r="E6" s="203">
        <f t="shared" ca="1" si="0"/>
        <v>16</v>
      </c>
      <c r="F6" s="203" t="s">
        <v>636</v>
      </c>
    </row>
    <row r="7" spans="1:6">
      <c r="A7" s="564" t="s">
        <v>14</v>
      </c>
      <c r="B7" s="564"/>
      <c r="C7" s="566" t="s">
        <v>17474</v>
      </c>
      <c r="D7" s="203" t="s">
        <v>17475</v>
      </c>
      <c r="E7" s="203">
        <f t="shared" ca="1" si="0"/>
        <v>6</v>
      </c>
      <c r="F7" s="203" t="s">
        <v>637</v>
      </c>
    </row>
    <row r="8" spans="1:6">
      <c r="A8" s="564"/>
      <c r="B8" s="564"/>
      <c r="C8" s="566"/>
      <c r="D8" s="203" t="s">
        <v>638</v>
      </c>
      <c r="E8" s="203">
        <f t="shared" ca="1" si="0"/>
        <v>4</v>
      </c>
      <c r="F8" s="203" t="s">
        <v>639</v>
      </c>
    </row>
    <row r="9" spans="1:6">
      <c r="A9" s="564"/>
      <c r="B9" s="564"/>
      <c r="C9" s="566"/>
      <c r="D9" s="203" t="s">
        <v>640</v>
      </c>
      <c r="E9" s="203">
        <f t="shared" ca="1" si="0"/>
        <v>23</v>
      </c>
      <c r="F9" s="203" t="s">
        <v>641</v>
      </c>
    </row>
    <row r="10" spans="1:6">
      <c r="A10" s="564"/>
      <c r="B10" s="564"/>
      <c r="C10" s="566"/>
      <c r="D10" s="203" t="s">
        <v>642</v>
      </c>
      <c r="E10" s="203">
        <f t="shared" ca="1" si="0"/>
        <v>20</v>
      </c>
      <c r="F10" s="203" t="s">
        <v>643</v>
      </c>
    </row>
    <row r="11" spans="1:6">
      <c r="A11" s="564"/>
      <c r="B11" s="564"/>
      <c r="C11" s="566"/>
      <c r="D11" s="203" t="s">
        <v>644</v>
      </c>
      <c r="E11" s="203">
        <f t="shared" ca="1" si="0"/>
        <v>9</v>
      </c>
      <c r="F11" s="203" t="s">
        <v>645</v>
      </c>
    </row>
    <row r="12" spans="1:6">
      <c r="A12" s="564"/>
      <c r="B12" s="564"/>
      <c r="C12" s="566"/>
      <c r="D12" s="203" t="s">
        <v>646</v>
      </c>
      <c r="E12" s="203">
        <f t="shared" ca="1" si="0"/>
        <v>41</v>
      </c>
      <c r="F12" s="203" t="s">
        <v>647</v>
      </c>
    </row>
    <row r="13" spans="1:6">
      <c r="A13" s="564"/>
      <c r="B13" s="564"/>
      <c r="C13" s="566"/>
      <c r="D13" s="203" t="s">
        <v>648</v>
      </c>
      <c r="E13" s="203">
        <f t="shared" ca="1" si="0"/>
        <v>4</v>
      </c>
      <c r="F13" s="203" t="s">
        <v>649</v>
      </c>
    </row>
    <row r="14" spans="1:6">
      <c r="A14" s="564"/>
      <c r="B14" s="564"/>
      <c r="C14" s="566"/>
      <c r="D14" s="203" t="s">
        <v>650</v>
      </c>
      <c r="E14" s="203">
        <f t="shared" ca="1" si="0"/>
        <v>40</v>
      </c>
      <c r="F14" s="203" t="s">
        <v>651</v>
      </c>
    </row>
    <row r="15" spans="1:6">
      <c r="A15" s="564"/>
      <c r="B15" s="564"/>
      <c r="C15" s="566"/>
      <c r="D15" s="203" t="s">
        <v>652</v>
      </c>
      <c r="E15" s="203">
        <f t="shared" ca="1" si="0"/>
        <v>7</v>
      </c>
      <c r="F15" s="203" t="s">
        <v>653</v>
      </c>
    </row>
    <row r="16" spans="1:6">
      <c r="A16" s="564"/>
      <c r="B16" s="564"/>
      <c r="C16" s="566"/>
      <c r="D16" s="203" t="s">
        <v>654</v>
      </c>
      <c r="E16" s="203">
        <f t="shared" ca="1" si="0"/>
        <v>37</v>
      </c>
      <c r="F16" s="203" t="s">
        <v>655</v>
      </c>
    </row>
    <row r="17" spans="1:6">
      <c r="A17" s="564"/>
      <c r="B17" s="564"/>
      <c r="C17" s="566"/>
      <c r="D17" s="203" t="s">
        <v>656</v>
      </c>
      <c r="E17" s="203">
        <f t="shared" ca="1" si="0"/>
        <v>1</v>
      </c>
      <c r="F17" s="203" t="s">
        <v>657</v>
      </c>
    </row>
    <row r="18" spans="1:6">
      <c r="A18" s="564"/>
      <c r="B18" s="564"/>
      <c r="C18" s="203"/>
    </row>
    <row r="19" spans="1:6">
      <c r="A19" s="564"/>
      <c r="B19" s="564"/>
      <c r="C19" s="203"/>
      <c r="D19" s="203"/>
      <c r="E19" s="203"/>
      <c r="F19" s="203"/>
    </row>
    <row r="20" spans="1:6">
      <c r="A20" s="564"/>
      <c r="B20" s="564"/>
      <c r="C20" s="203"/>
      <c r="F20" s="203"/>
    </row>
    <row r="21" spans="1:6">
      <c r="A21" s="564"/>
      <c r="B21" s="564"/>
      <c r="C21" s="564"/>
      <c r="D21" s="564" t="s">
        <v>626</v>
      </c>
      <c r="E21" s="564" t="s">
        <v>627</v>
      </c>
      <c r="F21" s="564" t="s">
        <v>628</v>
      </c>
    </row>
    <row r="22" spans="1:6">
      <c r="A22" s="564"/>
      <c r="B22" s="564"/>
      <c r="C22" s="566"/>
      <c r="D22" s="203" t="s">
        <v>658</v>
      </c>
      <c r="E22" s="203"/>
    </row>
    <row r="23" spans="1:6">
      <c r="A23" s="564"/>
      <c r="B23" s="564"/>
      <c r="C23" s="566"/>
      <c r="D23" s="203" t="s">
        <v>662</v>
      </c>
      <c r="E23" s="203"/>
    </row>
    <row r="24" spans="1:6">
      <c r="A24" s="564"/>
      <c r="B24" s="564"/>
      <c r="C24" s="566"/>
      <c r="D24" s="203" t="s">
        <v>659</v>
      </c>
      <c r="E24" s="203"/>
    </row>
    <row r="25" spans="1:6">
      <c r="A25" s="564"/>
      <c r="B25" s="564"/>
      <c r="C25" s="566"/>
      <c r="D25" s="203" t="s">
        <v>660</v>
      </c>
      <c r="E25" s="569">
        <f ca="1">INDIRECT(F25)</f>
        <v>0</v>
      </c>
      <c r="F25" t="s">
        <v>691</v>
      </c>
    </row>
    <row r="26" spans="1:6">
      <c r="A26" s="564"/>
      <c r="B26" s="564"/>
      <c r="C26" s="564"/>
      <c r="D26" s="203" t="s">
        <v>661</v>
      </c>
      <c r="E26" s="203"/>
    </row>
    <row r="27" spans="1:6">
      <c r="D27" t="s">
        <v>715</v>
      </c>
      <c r="E27" t="str">
        <f>"DCF_"&amp;E28&amp;"("&amp;평가기준일&amp;")"&amp;".xlsm"</f>
        <v>DCF_루메나(2024-05-31).xlsm</v>
      </c>
    </row>
    <row r="28" spans="1:6">
      <c r="D28" t="s">
        <v>716</v>
      </c>
      <c r="E28" t="str">
        <f>SUBSTITUTE(TRIM(COMPANY!E2),"(주)","")</f>
        <v>루메나</v>
      </c>
    </row>
    <row r="29" spans="1:6">
      <c r="D29" t="s">
        <v>724</v>
      </c>
      <c r="E29" t="str">
        <f>"(KAP)("&amp;평가기준일&amp;")"&amp;TRIM(COMPANY!E2)&amp;" 평가보고서"</f>
        <v>(KAP)(2024-05-31)(주)루메나 평가보고서</v>
      </c>
    </row>
    <row r="30" spans="1:6">
      <c r="D30" t="s">
        <v>717</v>
      </c>
      <c r="E30">
        <v>5</v>
      </c>
    </row>
    <row r="50" spans="4:6">
      <c r="D50" s="564" t="s">
        <v>626</v>
      </c>
      <c r="E50" s="564" t="s">
        <v>627</v>
      </c>
      <c r="F50" s="564" t="s">
        <v>628</v>
      </c>
    </row>
    <row r="51" spans="4:6">
      <c r="D51" t="s">
        <v>727</v>
      </c>
      <c r="E51" s="686">
        <f ca="1">평가값</f>
        <v>15427948.43692149</v>
      </c>
    </row>
    <row r="52" spans="4:6">
      <c r="D52" t="s">
        <v>728</v>
      </c>
      <c r="E52" t="str">
        <f>평가회사명</f>
        <v>루메나</v>
      </c>
    </row>
    <row r="53" spans="4:6">
      <c r="D53" t="s">
        <v>729</v>
      </c>
      <c r="E53" t="str">
        <f>TRIM(+COMPANY!E10)</f>
        <v>기타 가정용 전기기기 제조업</v>
      </c>
    </row>
    <row r="54" spans="4:6">
      <c r="D54" t="s">
        <v>660</v>
      </c>
      <c r="E54" s="689">
        <f>영구g/100</f>
        <v>0</v>
      </c>
    </row>
    <row r="55" spans="4:6">
      <c r="D55" t="s">
        <v>730</v>
      </c>
      <c r="E55" s="690">
        <f ca="1">+Bloomberg!P6</f>
        <v>0.18690705820202019</v>
      </c>
    </row>
    <row r="56" spans="4:6">
      <c r="D56" t="s">
        <v>731</v>
      </c>
      <c r="E56" s="690">
        <f ca="1">+Bloomberg!R6</f>
        <v>0.86399999999999999</v>
      </c>
    </row>
    <row r="57" spans="4:6">
      <c r="D57" t="s">
        <v>740</v>
      </c>
      <c r="E57" s="689">
        <f>+RATE!F7/100</f>
        <v>3.6499999999999998E-2</v>
      </c>
    </row>
    <row r="58" spans="4:6">
      <c r="D58" t="s">
        <v>733</v>
      </c>
      <c r="E58" s="689">
        <f>+RATE!F8/100</f>
        <v>0.114</v>
      </c>
    </row>
    <row r="59" spans="4:6">
      <c r="D59" t="s">
        <v>732</v>
      </c>
      <c r="E59" s="689">
        <f>+WACC!E43/100</f>
        <v>0</v>
      </c>
    </row>
    <row r="60" spans="4:6">
      <c r="D60" t="s">
        <v>735</v>
      </c>
      <c r="E60" s="637" t="e">
        <f ca="1">+'보고서(일반)'!J5</f>
        <v>#N/A</v>
      </c>
    </row>
    <row r="61" spans="4:6">
      <c r="D61" s="203" t="s">
        <v>741</v>
      </c>
      <c r="E61" s="637" t="e">
        <f ca="1">+'보고서(일반)'!J11+'보고서(일반)'!J22</f>
        <v>#N/A</v>
      </c>
    </row>
    <row r="62" spans="4:6">
      <c r="D62" t="s">
        <v>734</v>
      </c>
      <c r="E62" s="637" t="e">
        <f ca="1">+'보고서(일반)'!J44</f>
        <v>#N/A</v>
      </c>
    </row>
    <row r="63" spans="4:6">
      <c r="D63" t="s">
        <v>744</v>
      </c>
      <c r="E63" s="637" t="str">
        <f>+'보고서(일반)'!J58</f>
        <v>FCF추정!F19</v>
      </c>
    </row>
    <row r="64" spans="4:6">
      <c r="D64" t="s">
        <v>736</v>
      </c>
      <c r="E64" s="637" t="e">
        <f ca="1">+'보고서(일반)'!J49+'보고서(일반)'!J51</f>
        <v>#N/A</v>
      </c>
    </row>
    <row r="65" spans="4:6">
      <c r="D65" t="s">
        <v>737</v>
      </c>
      <c r="E65" s="637" t="e">
        <f ca="1">+'보고서(일반)'!J52</f>
        <v>#N/A</v>
      </c>
    </row>
    <row r="66" spans="4:6" s="203" customFormat="1">
      <c r="D66" s="203" t="s">
        <v>739</v>
      </c>
      <c r="E66" s="637" t="str">
        <f>+'보고서(일반)'!AC31</f>
        <v>FCF추정!K21</v>
      </c>
    </row>
    <row r="67" spans="4:6" s="203" customFormat="1">
      <c r="E67" s="637"/>
    </row>
    <row r="68" spans="4:6">
      <c r="D68" t="s">
        <v>738</v>
      </c>
      <c r="E68" s="637" t="str">
        <f>+'보고서(일반)'!AC33</f>
        <v>FCF추정!E54</v>
      </c>
    </row>
    <row r="69" spans="4:6">
      <c r="D69" t="s">
        <v>675</v>
      </c>
      <c r="E69" s="637" t="str">
        <f>+'보고서(일반)'!AC35</f>
        <v>FCF추정!E56</v>
      </c>
    </row>
    <row r="70" spans="4:6">
      <c r="D70" t="s">
        <v>742</v>
      </c>
      <c r="E70" s="637" t="str">
        <f>+'보고서(일반)'!AC38</f>
        <v>FCF추정!E59</v>
      </c>
    </row>
    <row r="71" spans="4:6">
      <c r="D71" t="s">
        <v>764</v>
      </c>
      <c r="E71" t="str" cm="1">
        <f t="array" aca="1" ref="E71" ca="1">INDIRECT(F71)</f>
        <v>2028-12-31</v>
      </c>
      <c r="F71" t="s">
        <v>762</v>
      </c>
    </row>
    <row r="72" spans="4:6">
      <c r="D72" t="s">
        <v>763</v>
      </c>
      <c r="E72">
        <f ca="1">YEAR(E71)+보고서연도설정-5</f>
        <v>2028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18</vt:i4>
      </vt:variant>
      <vt:variant>
        <vt:lpstr>이름이 지정된 범위</vt:lpstr>
      </vt:variant>
      <vt:variant>
        <vt:i4>44</vt:i4>
      </vt:variant>
    </vt:vector>
  </HeadingPairs>
  <TitlesOfParts>
    <vt:vector size="62" baseType="lpstr">
      <vt:lpstr>COMPANY</vt:lpstr>
      <vt:lpstr>RATE</vt:lpstr>
      <vt:lpstr>BETA</vt:lpstr>
      <vt:lpstr>Bloomberg</vt:lpstr>
      <vt:lpstr>TABLE</vt:lpstr>
      <vt:lpstr>재무적정보</vt:lpstr>
      <vt:lpstr>WACC</vt:lpstr>
      <vt:lpstr>감가상각추정</vt:lpstr>
      <vt:lpstr>비용추정</vt:lpstr>
      <vt:lpstr>IS추정</vt:lpstr>
      <vt:lpstr>NWC추정</vt:lpstr>
      <vt:lpstr>BS추정</vt:lpstr>
      <vt:lpstr>FCF추정</vt:lpstr>
      <vt:lpstr>성장률추정</vt:lpstr>
      <vt:lpstr>민감도</vt:lpstr>
      <vt:lpstr>보고서(일반)</vt:lpstr>
      <vt:lpstr>평가요약시트</vt:lpstr>
      <vt:lpstr>Settings</vt:lpstr>
      <vt:lpstr>BS_tbl1_rows</vt:lpstr>
      <vt:lpstr>BS_tbl2_rows</vt:lpstr>
      <vt:lpstr>Cost_tbl1_rows</vt:lpstr>
      <vt:lpstr>Cost_tbl2_rows</vt:lpstr>
      <vt:lpstr>Depr_tbl1_rows</vt:lpstr>
      <vt:lpstr>Depr_tbl2_rows</vt:lpstr>
      <vt:lpstr>Depr_tbl3_rows</vt:lpstr>
      <vt:lpstr>FCF_tbl1_rows</vt:lpstr>
      <vt:lpstr>FCF_tbl2_rows</vt:lpstr>
      <vt:lpstr>FCF_tbl3_rows</vt:lpstr>
      <vt:lpstr>IS_tbl1_rows</vt:lpstr>
      <vt:lpstr>IS_tbl2_rows</vt:lpstr>
      <vt:lpstr>NWC_tbl1_rows</vt:lpstr>
      <vt:lpstr>NWC_tbl2_rows</vt:lpstr>
      <vt:lpstr>WACC_tbl1_rows</vt:lpstr>
      <vt:lpstr>WACC_tbl2_rows</vt:lpstr>
      <vt:lpstr>보고서연도설정</vt:lpstr>
      <vt:lpstr>보고서파일명</vt:lpstr>
      <vt:lpstr>영구g</vt:lpstr>
      <vt:lpstr>저장파일명</vt:lpstr>
      <vt:lpstr>평가값</vt:lpstr>
      <vt:lpstr>평가기준일</vt:lpstr>
      <vt:lpstr>평가회사명</vt:lpstr>
      <vt:lpstr>표_1</vt:lpstr>
      <vt:lpstr>표_10</vt:lpstr>
      <vt:lpstr>표_11</vt:lpstr>
      <vt:lpstr>표_12</vt:lpstr>
      <vt:lpstr>표_13</vt:lpstr>
      <vt:lpstr>표_14</vt:lpstr>
      <vt:lpstr>표_15</vt:lpstr>
      <vt:lpstr>표_16</vt:lpstr>
      <vt:lpstr>표_17</vt:lpstr>
      <vt:lpstr>표_18</vt:lpstr>
      <vt:lpstr>표_19</vt:lpstr>
      <vt:lpstr>표_2</vt:lpstr>
      <vt:lpstr>표_20</vt:lpstr>
      <vt:lpstr>표_21</vt:lpstr>
      <vt:lpstr>표_3</vt:lpstr>
      <vt:lpstr>표_4</vt:lpstr>
      <vt:lpstr>표_5</vt:lpstr>
      <vt:lpstr>표_6</vt:lpstr>
      <vt:lpstr>표_7</vt:lpstr>
      <vt:lpstr>표_8</vt:lpstr>
      <vt:lpstr>표_9</vt:lpstr>
    </vt:vector>
  </TitlesOfParts>
  <Company>KBP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cp:lastPrinted>2022-02-18T08:16:17Z</cp:lastPrinted>
  <dcterms:created xsi:type="dcterms:W3CDTF">2009-11-25T05:04:35Z</dcterms:created>
  <dcterms:modified xsi:type="dcterms:W3CDTF">2024-05-24T02:21:11Z</dcterms:modified>
</cp:coreProperties>
</file>